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2"/>
  <workbookPr/>
  <mc:AlternateContent xmlns:mc="http://schemas.openxmlformats.org/markup-compatibility/2006">
    <mc:Choice Requires="x15">
      <x15ac:absPath xmlns:x15ac="http://schemas.microsoft.com/office/spreadsheetml/2010/11/ac" url="https://uccl0-my.sharepoint.com/personal/dtorreb_uc_cl/Documents/ICC/Vial/Proyecto/Parte 1/"/>
    </mc:Choice>
  </mc:AlternateContent>
  <xr:revisionPtr revIDLastSave="3356" documentId="13_ncr:1_{5CF4B632-8E1F-4E93-A40C-9DD12552D1E9}" xr6:coauthVersionLast="47" xr6:coauthVersionMax="47" xr10:uidLastSave="{8EE8841E-B65B-40E6-A2D5-6F11EDD53EAE}"/>
  <bookViews>
    <workbookView xWindow="-108" yWindow="-108" windowWidth="23256" windowHeight="12456" firstSheet="2" activeTab="4" xr2:uid="{00000000-000D-0000-FFFF-FFFF00000000}"/>
  </bookViews>
  <sheets>
    <sheet name="Tránsito" sheetId="3" r:id="rId1"/>
    <sheet name="Tramificación" sheetId="2" r:id="rId2"/>
    <sheet name="Tramificación 2 " sheetId="7" r:id="rId3"/>
    <sheet name="Diseño Asfalto" sheetId="1" r:id="rId4"/>
    <sheet name="Diseño Hormigón" sheetId="6" r:id="rId5"/>
    <sheet name="Análisis de Costos" sheetId="5" r:id="rId6"/>
    <sheet name="Imagenes" sheetId="4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69" i="7" l="1"/>
  <c r="AA68" i="7"/>
  <c r="AI67" i="7"/>
  <c r="AI66" i="7"/>
  <c r="AG67" i="7"/>
  <c r="AG66" i="7"/>
  <c r="AH67" i="7"/>
  <c r="AH66" i="7"/>
  <c r="AF67" i="7"/>
  <c r="AF66" i="7"/>
  <c r="AA61" i="7"/>
  <c r="AA60" i="7"/>
  <c r="Y61" i="7"/>
  <c r="Y60" i="7"/>
  <c r="Z61" i="7"/>
  <c r="Z60" i="7"/>
  <c r="X61" i="7"/>
  <c r="X60" i="7"/>
  <c r="W61" i="7"/>
  <c r="W60" i="7"/>
  <c r="V61" i="7"/>
  <c r="V60" i="7"/>
  <c r="U61" i="7"/>
  <c r="U60" i="7"/>
  <c r="O65" i="7"/>
  <c r="O64" i="7"/>
  <c r="R61" i="7"/>
  <c r="R60" i="7"/>
  <c r="V23" i="7"/>
  <c r="V16" i="7"/>
  <c r="H8" i="7"/>
  <c r="O16" i="7"/>
  <c r="N16" i="7"/>
  <c r="V17" i="7"/>
  <c r="H26" i="7"/>
  <c r="H91" i="7"/>
  <c r="H51" i="7"/>
  <c r="B5" i="7"/>
  <c r="K26" i="5"/>
  <c r="K27" i="5"/>
  <c r="K28" i="5"/>
  <c r="K29" i="5"/>
  <c r="K30" i="5"/>
  <c r="K25" i="5"/>
  <c r="E25" i="5"/>
  <c r="E26" i="5"/>
  <c r="E27" i="5"/>
  <c r="C59" i="6"/>
  <c r="M25" i="3"/>
  <c r="L25" i="3"/>
  <c r="X21" i="3"/>
  <c r="X19" i="3"/>
  <c r="X18" i="3"/>
  <c r="X17" i="3"/>
  <c r="X14" i="3"/>
  <c r="J12" i="5"/>
  <c r="F9" i="2"/>
  <c r="J11" i="5"/>
  <c r="F19" i="2"/>
  <c r="C28" i="3"/>
  <c r="L46" i="6"/>
  <c r="K46" i="6"/>
  <c r="K49" i="6"/>
  <c r="J49" i="6"/>
  <c r="L49" i="6" s="1"/>
  <c r="N46" i="6" s="1"/>
  <c r="J46" i="6"/>
  <c r="F59" i="6"/>
  <c r="F44" i="6"/>
  <c r="F37" i="6"/>
  <c r="J40" i="6"/>
  <c r="J48" i="6" s="1"/>
  <c r="L48" i="6" s="1"/>
  <c r="N43" i="6" s="1"/>
  <c r="C44" i="6"/>
  <c r="C37" i="6"/>
  <c r="E14" i="6"/>
  <c r="C16" i="6" s="1"/>
  <c r="C34" i="6" s="1"/>
  <c r="C31" i="6"/>
  <c r="C25" i="6"/>
  <c r="D14" i="6"/>
  <c r="C14" i="6"/>
  <c r="O4" i="6"/>
  <c r="Q4" i="6" s="1"/>
  <c r="C41" i="6" s="1"/>
  <c r="O3" i="6"/>
  <c r="Q3" i="6" s="1"/>
  <c r="K36" i="1"/>
  <c r="D20" i="5"/>
  <c r="D19" i="5"/>
  <c r="N47" i="2" a="1"/>
  <c r="N47" i="2"/>
  <c r="N31" i="2" a="1"/>
  <c r="N31" i="2"/>
  <c r="H69" i="1"/>
  <c r="H60" i="1"/>
  <c r="H50" i="1"/>
  <c r="H40" i="1"/>
  <c r="G12" i="5"/>
  <c r="I12" i="5" s="1"/>
  <c r="G11" i="5"/>
  <c r="I11" i="5" s="1"/>
  <c r="X61" i="1"/>
  <c r="X60" i="1"/>
  <c r="X59" i="1"/>
  <c r="X58" i="1"/>
  <c r="AB61" i="1"/>
  <c r="AB60" i="1"/>
  <c r="AB59" i="1"/>
  <c r="AB58" i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I69" i="1" s="1"/>
  <c r="W20" i="3"/>
  <c r="X20" i="3"/>
  <c r="X13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P11" i="2"/>
  <c r="P10" i="2"/>
  <c r="L31" i="2"/>
  <c r="M31" i="2"/>
  <c r="M47" i="2"/>
  <c r="L47" i="2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I60" i="1" s="1"/>
  <c r="F49" i="1"/>
  <c r="I49" i="1" s="1"/>
  <c r="F48" i="1"/>
  <c r="I48" i="1" s="1"/>
  <c r="F47" i="1"/>
  <c r="I47" i="1" s="1"/>
  <c r="F46" i="1"/>
  <c r="I46" i="1" s="1"/>
  <c r="F45" i="1"/>
  <c r="I45" i="1" s="1"/>
  <c r="Q44" i="1" s="1"/>
  <c r="F44" i="1"/>
  <c r="I44" i="1" s="1"/>
  <c r="F36" i="1"/>
  <c r="F37" i="1"/>
  <c r="I37" i="1"/>
  <c r="G31" i="1"/>
  <c r="D8" i="5" s="1"/>
  <c r="S40" i="1"/>
  <c r="F39" i="1"/>
  <c r="F38" i="1"/>
  <c r="F35" i="1"/>
  <c r="F34" i="1"/>
  <c r="I34" i="1" s="1"/>
  <c r="S35" i="1"/>
  <c r="S36" i="1" s="1"/>
  <c r="S26" i="1" s="1"/>
  <c r="I35" i="1"/>
  <c r="I36" i="1"/>
  <c r="I38" i="1"/>
  <c r="I39" i="1"/>
  <c r="K25" i="1"/>
  <c r="N37" i="1" s="1"/>
  <c r="G25" i="1"/>
  <c r="N36" i="1" s="1"/>
  <c r="C25" i="1"/>
  <c r="N35" i="1" s="1"/>
  <c r="X35" i="1"/>
  <c r="X36" i="1"/>
  <c r="X37" i="1"/>
  <c r="X38" i="1"/>
  <c r="X39" i="1"/>
  <c r="X40" i="1"/>
  <c r="X41" i="1"/>
  <c r="X42" i="1"/>
  <c r="X43" i="1"/>
  <c r="X44" i="1"/>
  <c r="X45" i="1"/>
  <c r="X34" i="1"/>
  <c r="X46" i="1" s="1"/>
  <c r="X47" i="1" s="1"/>
  <c r="AA34" i="1"/>
  <c r="W17" i="3"/>
  <c r="X15" i="3"/>
  <c r="W13" i="3"/>
  <c r="W18" i="3"/>
  <c r="W14" i="3"/>
  <c r="W19" i="3"/>
  <c r="W22" i="3" s="1"/>
  <c r="W21" i="3"/>
  <c r="C54" i="6" l="1"/>
  <c r="C55" i="6" s="1"/>
  <c r="C56" i="6" s="1"/>
  <c r="Z66" i="7"/>
  <c r="Z67" i="7"/>
  <c r="Y66" i="7"/>
  <c r="Y67" i="7"/>
  <c r="X66" i="7"/>
  <c r="W66" i="7"/>
  <c r="X67" i="7"/>
  <c r="W67" i="7"/>
  <c r="V19" i="7"/>
  <c r="V20" i="7" s="1"/>
  <c r="P16" i="7"/>
  <c r="Q16" i="7" s="1"/>
  <c r="R16" i="7" s="1"/>
  <c r="X22" i="3"/>
  <c r="L11" i="5"/>
  <c r="L12" i="5"/>
  <c r="C28" i="6"/>
  <c r="C48" i="6"/>
  <c r="J43" i="6"/>
  <c r="L43" i="6" s="1"/>
  <c r="J44" i="6"/>
  <c r="L44" i="6" s="1"/>
  <c r="N44" i="6" s="1"/>
  <c r="G27" i="5"/>
  <c r="S41" i="1"/>
  <c r="I50" i="1"/>
  <c r="AC61" i="1"/>
  <c r="AC59" i="1"/>
  <c r="K68" i="1"/>
  <c r="K67" i="1"/>
  <c r="K66" i="1"/>
  <c r="K65" i="1"/>
  <c r="K64" i="1"/>
  <c r="K63" i="1"/>
  <c r="K69" i="1" s="1"/>
  <c r="I27" i="5" s="1"/>
  <c r="I40" i="1"/>
  <c r="K59" i="1"/>
  <c r="K58" i="1"/>
  <c r="K57" i="1"/>
  <c r="K56" i="1"/>
  <c r="K55" i="1"/>
  <c r="K54" i="1"/>
  <c r="K60" i="1" s="1"/>
  <c r="I26" i="5" s="1"/>
  <c r="K49" i="1"/>
  <c r="K48" i="1"/>
  <c r="K47" i="1"/>
  <c r="K46" i="1"/>
  <c r="K45" i="1"/>
  <c r="K44" i="1"/>
  <c r="K50" i="1" s="1"/>
  <c r="I25" i="5" s="1"/>
  <c r="K35" i="1"/>
  <c r="K37" i="1"/>
  <c r="K38" i="1"/>
  <c r="K39" i="1"/>
  <c r="K34" i="1"/>
  <c r="AB37" i="1"/>
  <c r="W15" i="3"/>
  <c r="Z22" i="1"/>
  <c r="Y22" i="1"/>
  <c r="S23" i="1"/>
  <c r="S22" i="1"/>
  <c r="V22" i="1" s="1"/>
  <c r="B28" i="3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D16" i="3"/>
  <c r="D17" i="3" s="1"/>
  <c r="D19" i="3" s="1"/>
  <c r="D27" i="3" s="1"/>
  <c r="D28" i="3" s="1"/>
  <c r="K28" i="3" s="1"/>
  <c r="E16" i="3"/>
  <c r="E17" i="3" s="1"/>
  <c r="E19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F16" i="3"/>
  <c r="F17" i="3" s="1"/>
  <c r="F19" i="3" s="1"/>
  <c r="F27" i="3" s="1"/>
  <c r="M27" i="3" s="1"/>
  <c r="C16" i="3"/>
  <c r="C17" i="3" s="1"/>
  <c r="C35" i="6" l="1"/>
  <c r="AA67" i="7"/>
  <c r="AA66" i="7"/>
  <c r="L13" i="5"/>
  <c r="G25" i="5"/>
  <c r="G26" i="5"/>
  <c r="K40" i="1"/>
  <c r="C19" i="3"/>
  <c r="C27" i="3" s="1"/>
  <c r="G17" i="3"/>
  <c r="L28" i="3"/>
  <c r="K27" i="3"/>
  <c r="J27" i="3"/>
  <c r="G27" i="3"/>
  <c r="H27" i="3" s="1"/>
  <c r="L33" i="3"/>
  <c r="L27" i="3"/>
  <c r="N27" i="3" s="1"/>
  <c r="O27" i="3" s="1"/>
  <c r="S27" i="3" s="1"/>
  <c r="L35" i="3"/>
  <c r="L32" i="3"/>
  <c r="L29" i="3"/>
  <c r="L36" i="3"/>
  <c r="L30" i="3"/>
  <c r="L34" i="3"/>
  <c r="L31" i="3"/>
  <c r="E37" i="3"/>
  <c r="D29" i="3"/>
  <c r="K29" i="3" s="1"/>
  <c r="F28" i="3"/>
  <c r="E38" i="3" l="1"/>
  <c r="E39" i="3" s="1"/>
  <c r="L37" i="3"/>
  <c r="F29" i="3"/>
  <c r="M28" i="3"/>
  <c r="L38" i="3"/>
  <c r="C29" i="3"/>
  <c r="J28" i="3"/>
  <c r="D30" i="3"/>
  <c r="G28" i="3"/>
  <c r="H28" i="3" s="1"/>
  <c r="N28" i="3" l="1"/>
  <c r="O28" i="3" s="1"/>
  <c r="S28" i="3" s="1"/>
  <c r="G29" i="3"/>
  <c r="H29" i="3" s="1"/>
  <c r="E40" i="3"/>
  <c r="L39" i="3"/>
  <c r="F30" i="3"/>
  <c r="M29" i="3"/>
  <c r="D31" i="3"/>
  <c r="K30" i="3"/>
  <c r="C30" i="3"/>
  <c r="J29" i="3"/>
  <c r="N29" i="3" s="1"/>
  <c r="G30" i="3"/>
  <c r="H30" i="3" s="1"/>
  <c r="O29" i="3" l="1"/>
  <c r="S29" i="3" s="1"/>
  <c r="E41" i="3"/>
  <c r="L40" i="3"/>
  <c r="F31" i="3"/>
  <c r="M30" i="3"/>
  <c r="D32" i="3"/>
  <c r="K31" i="3"/>
  <c r="C31" i="3"/>
  <c r="J30" i="3"/>
  <c r="N30" i="3" l="1"/>
  <c r="O30" i="3" s="1"/>
  <c r="S30" i="3" s="1"/>
  <c r="E42" i="3"/>
  <c r="L41" i="3"/>
  <c r="F32" i="3"/>
  <c r="M31" i="3"/>
  <c r="D33" i="3"/>
  <c r="K32" i="3"/>
  <c r="C32" i="3"/>
  <c r="J31" i="3"/>
  <c r="N31" i="3" s="1"/>
  <c r="G31" i="3"/>
  <c r="H31" i="3" s="1"/>
  <c r="O31" i="3" l="1"/>
  <c r="S31" i="3" s="1"/>
  <c r="E43" i="3"/>
  <c r="L42" i="3"/>
  <c r="F33" i="3"/>
  <c r="M32" i="3"/>
  <c r="D34" i="3"/>
  <c r="K33" i="3"/>
  <c r="J32" i="3"/>
  <c r="N32" i="3" s="1"/>
  <c r="C33" i="3"/>
  <c r="G32" i="3"/>
  <c r="H32" i="3" s="1"/>
  <c r="O32" i="3" l="1"/>
  <c r="S32" i="3" s="1"/>
  <c r="E44" i="3"/>
  <c r="L43" i="3"/>
  <c r="F34" i="3"/>
  <c r="M33" i="3"/>
  <c r="D35" i="3"/>
  <c r="K34" i="3"/>
  <c r="J33" i="3"/>
  <c r="N33" i="3" s="1"/>
  <c r="C34" i="3"/>
  <c r="G33" i="3"/>
  <c r="H33" i="3" s="1"/>
  <c r="O33" i="3" l="1"/>
  <c r="S33" i="3" s="1"/>
  <c r="E45" i="3"/>
  <c r="L44" i="3"/>
  <c r="F35" i="3"/>
  <c r="M34" i="3"/>
  <c r="D36" i="3"/>
  <c r="K35" i="3"/>
  <c r="J34" i="3"/>
  <c r="N34" i="3" s="1"/>
  <c r="C35" i="3"/>
  <c r="G34" i="3"/>
  <c r="H34" i="3" s="1"/>
  <c r="O34" i="3" l="1"/>
  <c r="S34" i="3" s="1"/>
  <c r="E46" i="3"/>
  <c r="L45" i="3"/>
  <c r="M35" i="3"/>
  <c r="F36" i="3"/>
  <c r="K36" i="3"/>
  <c r="D37" i="3"/>
  <c r="C36" i="3"/>
  <c r="J35" i="3"/>
  <c r="N35" i="3" s="1"/>
  <c r="G35" i="3"/>
  <c r="H35" i="3" s="1"/>
  <c r="O35" i="3" l="1"/>
  <c r="S35" i="3" s="1"/>
  <c r="E47" i="3"/>
  <c r="L47" i="3" s="1"/>
  <c r="L46" i="3"/>
  <c r="F37" i="3"/>
  <c r="M36" i="3"/>
  <c r="K37" i="3"/>
  <c r="D38" i="3"/>
  <c r="C37" i="3"/>
  <c r="J36" i="3"/>
  <c r="N36" i="3" s="1"/>
  <c r="O36" i="3" s="1"/>
  <c r="S36" i="3" s="1"/>
  <c r="G36" i="3"/>
  <c r="H36" i="3" s="1"/>
  <c r="F38" i="3" l="1"/>
  <c r="M37" i="3"/>
  <c r="K38" i="3"/>
  <c r="D39" i="3"/>
  <c r="C38" i="3"/>
  <c r="J37" i="3"/>
  <c r="G37" i="3"/>
  <c r="H37" i="3" s="1"/>
  <c r="N37" i="3" l="1"/>
  <c r="O37" i="3" s="1"/>
  <c r="S37" i="3" s="1"/>
  <c r="F39" i="3"/>
  <c r="M38" i="3"/>
  <c r="K39" i="3"/>
  <c r="D40" i="3"/>
  <c r="C39" i="3"/>
  <c r="J38" i="3"/>
  <c r="G38" i="3"/>
  <c r="H38" i="3" s="1"/>
  <c r="N38" i="3" l="1"/>
  <c r="O38" i="3" s="1"/>
  <c r="S38" i="3" s="1"/>
  <c r="F40" i="3"/>
  <c r="M39" i="3"/>
  <c r="K40" i="3"/>
  <c r="D41" i="3"/>
  <c r="C40" i="3"/>
  <c r="J39" i="3"/>
  <c r="G39" i="3"/>
  <c r="H39" i="3" s="1"/>
  <c r="N39" i="3" l="1"/>
  <c r="O39" i="3" s="1"/>
  <c r="S39" i="3" s="1"/>
  <c r="F41" i="3"/>
  <c r="M40" i="3"/>
  <c r="K41" i="3"/>
  <c r="D42" i="3"/>
  <c r="C41" i="3"/>
  <c r="J40" i="3"/>
  <c r="G40" i="3"/>
  <c r="H40" i="3" s="1"/>
  <c r="N40" i="3" l="1"/>
  <c r="O40" i="3" s="1"/>
  <c r="S40" i="3" s="1"/>
  <c r="F42" i="3"/>
  <c r="M41" i="3"/>
  <c r="K42" i="3"/>
  <c r="D43" i="3"/>
  <c r="C42" i="3"/>
  <c r="J41" i="3"/>
  <c r="G41" i="3"/>
  <c r="H41" i="3" s="1"/>
  <c r="C6" i="2"/>
  <c r="E10" i="2"/>
  <c r="F10" i="2" s="1"/>
  <c r="E11" i="2"/>
  <c r="F11" i="2" s="1"/>
  <c r="E12" i="2"/>
  <c r="F12" i="2" s="1"/>
  <c r="E13" i="2"/>
  <c r="F13" i="2" s="1"/>
  <c r="E14" i="2"/>
  <c r="F14" i="2" s="1"/>
  <c r="E15" i="2"/>
  <c r="F15" i="2" s="1"/>
  <c r="E16" i="2"/>
  <c r="F16" i="2" s="1"/>
  <c r="E17" i="2"/>
  <c r="F17" i="2" s="1"/>
  <c r="E18" i="2"/>
  <c r="F18" i="2" s="1"/>
  <c r="E19" i="2"/>
  <c r="E20" i="2"/>
  <c r="E21" i="2"/>
  <c r="E22" i="2"/>
  <c r="E23" i="2"/>
  <c r="E24" i="2"/>
  <c r="E25" i="2"/>
  <c r="E26" i="2"/>
  <c r="E27" i="2"/>
  <c r="E28" i="2"/>
  <c r="F28" i="2" s="1"/>
  <c r="E29" i="2"/>
  <c r="F29" i="2" s="1"/>
  <c r="E30" i="2"/>
  <c r="F30" i="2" s="1"/>
  <c r="E31" i="2"/>
  <c r="F31" i="2" s="1"/>
  <c r="E32" i="2"/>
  <c r="F32" i="2" s="1"/>
  <c r="E33" i="2"/>
  <c r="F33" i="2" s="1"/>
  <c r="E34" i="2"/>
  <c r="F34" i="2" s="1"/>
  <c r="E35" i="2"/>
  <c r="F35" i="2" s="1"/>
  <c r="E36" i="2"/>
  <c r="F36" i="2" s="1"/>
  <c r="E37" i="2"/>
  <c r="F37" i="2" s="1"/>
  <c r="E38" i="2"/>
  <c r="F38" i="2" s="1"/>
  <c r="E39" i="2"/>
  <c r="F39" i="2" s="1"/>
  <c r="E40" i="2"/>
  <c r="F40" i="2" s="1"/>
  <c r="E41" i="2"/>
  <c r="F41" i="2" s="1"/>
  <c r="E42" i="2"/>
  <c r="F42" i="2" s="1"/>
  <c r="E43" i="2"/>
  <c r="F43" i="2" s="1"/>
  <c r="E44" i="2"/>
  <c r="F44" i="2" s="1"/>
  <c r="E45" i="2"/>
  <c r="F45" i="2" s="1"/>
  <c r="E46" i="2"/>
  <c r="F46" i="2" s="1"/>
  <c r="E47" i="2"/>
  <c r="F47" i="2" s="1"/>
  <c r="E48" i="2"/>
  <c r="F48" i="2" s="1"/>
  <c r="E49" i="2"/>
  <c r="F49" i="2" s="1"/>
  <c r="E50" i="2"/>
  <c r="F50" i="2" s="1"/>
  <c r="E51" i="2"/>
  <c r="E52" i="2"/>
  <c r="E53" i="2"/>
  <c r="E54" i="2"/>
  <c r="E55" i="2"/>
  <c r="E56" i="2"/>
  <c r="E57" i="2"/>
  <c r="F57" i="2" s="1"/>
  <c r="E9" i="2"/>
  <c r="N41" i="3" l="1"/>
  <c r="O41" i="3" s="1"/>
  <c r="S41" i="3" s="1"/>
  <c r="G31" i="2"/>
  <c r="H31" i="2"/>
  <c r="I31" i="2" s="1"/>
  <c r="G13" i="1" s="1"/>
  <c r="F20" i="2"/>
  <c r="F21" i="2"/>
  <c r="F22" i="2"/>
  <c r="F23" i="2"/>
  <c r="F24" i="2"/>
  <c r="F25" i="2"/>
  <c r="F26" i="2"/>
  <c r="F27" i="2"/>
  <c r="F51" i="2"/>
  <c r="F52" i="2"/>
  <c r="F53" i="2"/>
  <c r="F54" i="2"/>
  <c r="F55" i="2"/>
  <c r="F56" i="2"/>
  <c r="F43" i="3"/>
  <c r="M42" i="3"/>
  <c r="K43" i="3"/>
  <c r="D44" i="3"/>
  <c r="C43" i="3"/>
  <c r="J42" i="3"/>
  <c r="N42" i="3" s="1"/>
  <c r="O42" i="3" s="1"/>
  <c r="S42" i="3" s="1"/>
  <c r="G42" i="3"/>
  <c r="H42" i="3" s="1"/>
  <c r="H47" i="2" l="1"/>
  <c r="G47" i="2"/>
  <c r="G9" i="2"/>
  <c r="H9" i="2"/>
  <c r="I9" i="2" s="1"/>
  <c r="C13" i="1" s="1"/>
  <c r="G11" i="1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31" i="2"/>
  <c r="F44" i="3"/>
  <c r="M43" i="3"/>
  <c r="K44" i="3"/>
  <c r="D45" i="3"/>
  <c r="J43" i="3"/>
  <c r="C44" i="3"/>
  <c r="G43" i="3"/>
  <c r="H43" i="3" s="1"/>
  <c r="N43" i="3" l="1"/>
  <c r="O43" i="3" s="1"/>
  <c r="S43" i="3" s="1"/>
  <c r="P9" i="2"/>
  <c r="M9" i="2"/>
  <c r="L9" i="2"/>
  <c r="N9" i="2" s="1" a="1"/>
  <c r="N9" i="2" s="1"/>
  <c r="G12" i="1"/>
  <c r="AA41" i="1"/>
  <c r="C11" i="1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9" i="2"/>
  <c r="K11" i="1"/>
  <c r="J48" i="2"/>
  <c r="J49" i="2"/>
  <c r="J50" i="2"/>
  <c r="J51" i="2"/>
  <c r="J52" i="2"/>
  <c r="J53" i="2"/>
  <c r="J54" i="2"/>
  <c r="J55" i="2"/>
  <c r="J56" i="2"/>
  <c r="J57" i="2"/>
  <c r="J47" i="2"/>
  <c r="I47" i="2"/>
  <c r="K13" i="1" s="1"/>
  <c r="F45" i="3"/>
  <c r="M44" i="3"/>
  <c r="K45" i="3"/>
  <c r="D46" i="3"/>
  <c r="J44" i="3"/>
  <c r="N44" i="3" s="1"/>
  <c r="O44" i="3" s="1"/>
  <c r="S44" i="3" s="1"/>
  <c r="C45" i="3"/>
  <c r="G44" i="3"/>
  <c r="H44" i="3" s="1"/>
  <c r="K12" i="1" l="1"/>
  <c r="AA42" i="1"/>
  <c r="C12" i="1"/>
  <c r="AA22" i="1" s="1"/>
  <c r="AA40" i="1"/>
  <c r="F46" i="3"/>
  <c r="M45" i="3"/>
  <c r="K46" i="3"/>
  <c r="D47" i="3"/>
  <c r="K47" i="3" s="1"/>
  <c r="J45" i="3"/>
  <c r="N45" i="3" s="1"/>
  <c r="O45" i="3" s="1"/>
  <c r="S45" i="3" s="1"/>
  <c r="C46" i="3"/>
  <c r="G45" i="3"/>
  <c r="H45" i="3" s="1"/>
  <c r="F47" i="3" l="1"/>
  <c r="M47" i="3" s="1"/>
  <c r="M46" i="3"/>
  <c r="J46" i="3"/>
  <c r="C47" i="3"/>
  <c r="G46" i="3"/>
  <c r="H46" i="3" s="1"/>
  <c r="N46" i="3" l="1"/>
  <c r="O46" i="3" s="1"/>
  <c r="S46" i="3" s="1"/>
  <c r="J47" i="3"/>
  <c r="N47" i="3" s="1"/>
  <c r="G47" i="3"/>
  <c r="H47" i="3" s="1"/>
  <c r="O47" i="3" l="1"/>
  <c r="C10" i="1"/>
  <c r="AA33" i="1" s="1"/>
  <c r="AA35" i="1" s="1"/>
  <c r="S47" i="3"/>
  <c r="K10" i="1"/>
  <c r="G10" i="1"/>
  <c r="S21" i="1" l="1"/>
  <c r="U22" i="1" s="1"/>
  <c r="W22" i="1" s="1"/>
  <c r="W2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<sst xmlns="http://schemas.openxmlformats.org/spreadsheetml/2006/main" count="754" uniqueCount="407">
  <si>
    <t>ejes cargados al 85% del peso máximo legal</t>
  </si>
  <si>
    <t>Tipo de Via:</t>
  </si>
  <si>
    <t>Autopista InterUrbana de 2 pistas</t>
  </si>
  <si>
    <t>Capacidad Máxima:</t>
  </si>
  <si>
    <t>Veq/hr pista</t>
  </si>
  <si>
    <t>Dato TMDA:</t>
  </si>
  <si>
    <t>Periodo Análisis:</t>
  </si>
  <si>
    <t>2025-2045</t>
  </si>
  <si>
    <t>Veh. Livianos</t>
  </si>
  <si>
    <t>Buses</t>
  </si>
  <si>
    <t>Camión 2E</t>
  </si>
  <si>
    <t>Camión + 2E</t>
  </si>
  <si>
    <t>TMDA 2022</t>
  </si>
  <si>
    <t>Tasa 0 (desde 2022)</t>
  </si>
  <si>
    <t>Tasa 1 (desde 2025)</t>
  </si>
  <si>
    <t>Camión</t>
  </si>
  <si>
    <t>EJE</t>
  </si>
  <si>
    <t>max legal (ton)</t>
  </si>
  <si>
    <t>eje est.</t>
  </si>
  <si>
    <t>FEE asf</t>
  </si>
  <si>
    <t>FEE hor</t>
  </si>
  <si>
    <t>Tasa 2 (desde 2034)</t>
  </si>
  <si>
    <t>ESRD</t>
  </si>
  <si>
    <t>Aumento TMDA 2034</t>
  </si>
  <si>
    <t>EDRD</t>
  </si>
  <si>
    <t>FD</t>
  </si>
  <si>
    <t>n</t>
  </si>
  <si>
    <t>asfalto</t>
  </si>
  <si>
    <t>Flujo 1 Dirección</t>
  </si>
  <si>
    <t>hormigón</t>
  </si>
  <si>
    <t>Flujo 2025</t>
  </si>
  <si>
    <t>ESRS</t>
  </si>
  <si>
    <t>Factor Pista</t>
  </si>
  <si>
    <t>Flujo/pista 2025</t>
  </si>
  <si>
    <t>ANALISIS DE CAPACIDAD</t>
  </si>
  <si>
    <t>DETERMINACIÓN DE EJES EQUIVALENTES</t>
  </si>
  <si>
    <t>Ejes Equivalentes por tipo de vehiculo</t>
  </si>
  <si>
    <t>EE Anuales</t>
  </si>
  <si>
    <t>EE Anuales Acumulados</t>
  </si>
  <si>
    <t>Factor Veh Equiv.</t>
  </si>
  <si>
    <t>Restricción Capacidad</t>
  </si>
  <si>
    <t>Año</t>
  </si>
  <si>
    <t>Veh.Eq/dia</t>
  </si>
  <si>
    <t>Veh.Eq/hora/pista</t>
  </si>
  <si>
    <t>Veh. L.</t>
  </si>
  <si>
    <t>BIU</t>
  </si>
  <si>
    <t>Suelo de reemplazo/mejora</t>
  </si>
  <si>
    <t>h reemp.</t>
  </si>
  <si>
    <t>m</t>
  </si>
  <si>
    <t>h mej.</t>
  </si>
  <si>
    <t>CBR</t>
  </si>
  <si>
    <t>%</t>
  </si>
  <si>
    <t>Mr1</t>
  </si>
  <si>
    <t>MPa</t>
  </si>
  <si>
    <t>Calicata</t>
  </si>
  <si>
    <t>Km</t>
  </si>
  <si>
    <t>CBR (%)</t>
  </si>
  <si>
    <t>Mr (Mpa)</t>
  </si>
  <si>
    <t>Mr,d</t>
  </si>
  <si>
    <t>Mr Promedio (MPa)</t>
  </si>
  <si>
    <t>Desv. Estándar (MPa)</t>
  </si>
  <si>
    <t>CV (%)</t>
  </si>
  <si>
    <t>Mr + 2 Desv</t>
  </si>
  <si>
    <t>Mr - 2 Desv</t>
  </si>
  <si>
    <t>Verificación</t>
  </si>
  <si>
    <t>se reemplaza y tomamos MR1</t>
  </si>
  <si>
    <t xml:space="preserve">cambia a </t>
  </si>
  <si>
    <t>Mpa</t>
  </si>
  <si>
    <t>0-0</t>
  </si>
  <si>
    <t>135-194</t>
  </si>
  <si>
    <t>W18</t>
  </si>
  <si>
    <t>Propuesta 1</t>
  </si>
  <si>
    <t>CBR %</t>
  </si>
  <si>
    <t>Mr (MPa)</t>
  </si>
  <si>
    <t>k (MPa/m)</t>
  </si>
  <si>
    <t>Propuesta 2</t>
  </si>
  <si>
    <t>1-325</t>
  </si>
  <si>
    <t>&lt;135</t>
  </si>
  <si>
    <t>Confiabilidad R(%)</t>
  </si>
  <si>
    <t>5-750</t>
  </si>
  <si>
    <t>Zr</t>
  </si>
  <si>
    <t>2-150</t>
  </si>
  <si>
    <t>0-125</t>
  </si>
  <si>
    <t>11-200</t>
  </si>
  <si>
    <t>So</t>
  </si>
  <si>
    <t>5-250</t>
  </si>
  <si>
    <t>0-250</t>
  </si>
  <si>
    <t>11-990</t>
  </si>
  <si>
    <t>final</t>
  </si>
  <si>
    <t>Serviciabilidad inicial Pi</t>
  </si>
  <si>
    <t>10-325</t>
  </si>
  <si>
    <t>0-375</t>
  </si>
  <si>
    <t>Serviciabilidad final Pf</t>
  </si>
  <si>
    <t>11-300</t>
  </si>
  <si>
    <t>0-500</t>
  </si>
  <si>
    <t>CBR0</t>
  </si>
  <si>
    <t>CBR1</t>
  </si>
  <si>
    <t>Cd se asume</t>
  </si>
  <si>
    <t>0-625</t>
  </si>
  <si>
    <t>J base granular</t>
  </si>
  <si>
    <t>0-750</t>
  </si>
  <si>
    <t>Rmf (psi)</t>
  </si>
  <si>
    <t>0-875</t>
  </si>
  <si>
    <t>Mr0</t>
  </si>
  <si>
    <t>1/F</t>
  </si>
  <si>
    <t>Md</t>
  </si>
  <si>
    <t>CBRd %</t>
  </si>
  <si>
    <t>subbase</t>
  </si>
  <si>
    <t>1-0</t>
  </si>
  <si>
    <t>granular</t>
  </si>
  <si>
    <t>k1 (MPa/m)</t>
  </si>
  <si>
    <t>1-125</t>
  </si>
  <si>
    <t>subrasante</t>
  </si>
  <si>
    <t>k0 (MPa/m)</t>
  </si>
  <si>
    <t>1-250</t>
  </si>
  <si>
    <t>h (cm)</t>
  </si>
  <si>
    <t>1-375</t>
  </si>
  <si>
    <t>kc (MPa/m)</t>
  </si>
  <si>
    <t>1-500</t>
  </si>
  <si>
    <t>kc (pci)</t>
  </si>
  <si>
    <t>1-625</t>
  </si>
  <si>
    <t>E (psi)</t>
  </si>
  <si>
    <t>1-750</t>
  </si>
  <si>
    <t>D (in)</t>
  </si>
  <si>
    <t>1-875</t>
  </si>
  <si>
    <t>D (cm)</t>
  </si>
  <si>
    <t>2-0</t>
  </si>
  <si>
    <t>D requerido</t>
  </si>
  <si>
    <t>2-125</t>
  </si>
  <si>
    <t>2-250</t>
  </si>
  <si>
    <t>2-375</t>
  </si>
  <si>
    <t>2-500</t>
  </si>
  <si>
    <t>2-625</t>
  </si>
  <si>
    <t>2-750</t>
  </si>
  <si>
    <t>2-875</t>
  </si>
  <si>
    <t>3-0</t>
  </si>
  <si>
    <t>3-125</t>
  </si>
  <si>
    <t>3-250</t>
  </si>
  <si>
    <t>3-375</t>
  </si>
  <si>
    <t>3-500</t>
  </si>
  <si>
    <t>3-625</t>
  </si>
  <si>
    <t>3-750</t>
  </si>
  <si>
    <t>3-875</t>
  </si>
  <si>
    <t>4-0</t>
  </si>
  <si>
    <t>4-125</t>
  </si>
  <si>
    <t>4-250</t>
  </si>
  <si>
    <t>4-375</t>
  </si>
  <si>
    <t>4-500</t>
  </si>
  <si>
    <t>4-625</t>
  </si>
  <si>
    <t>4-750</t>
  </si>
  <si>
    <t>4-875</t>
  </si>
  <si>
    <t>5-0</t>
  </si>
  <si>
    <t>5-125</t>
  </si>
  <si>
    <t>5-375</t>
  </si>
  <si>
    <t>5-500</t>
  </si>
  <si>
    <t>5-625</t>
  </si>
  <si>
    <t>5-875</t>
  </si>
  <si>
    <t>6-0</t>
  </si>
  <si>
    <t>6-125</t>
  </si>
  <si>
    <t>6-250</t>
  </si>
  <si>
    <t>Costos</t>
  </si>
  <si>
    <t>6-375</t>
  </si>
  <si>
    <t>Fill</t>
  </si>
  <si>
    <t>Cut</t>
  </si>
  <si>
    <t>Rellenar</t>
  </si>
  <si>
    <t>Cortar</t>
  </si>
  <si>
    <t>Largos (m)</t>
  </si>
  <si>
    <t>Ancho (m)</t>
  </si>
  <si>
    <t>Espesor (m)</t>
  </si>
  <si>
    <t>Precio hormigón</t>
  </si>
  <si>
    <t>Reemplazo</t>
  </si>
  <si>
    <t>Largo reem</t>
  </si>
  <si>
    <t>Mejora</t>
  </si>
  <si>
    <t>Largo mejora</t>
  </si>
  <si>
    <t>Subbase</t>
  </si>
  <si>
    <t>6-500</t>
  </si>
  <si>
    <t>tr1</t>
  </si>
  <si>
    <t>m3</t>
  </si>
  <si>
    <t>6-625</t>
  </si>
  <si>
    <t>tr2</t>
  </si>
  <si>
    <t>6-750</t>
  </si>
  <si>
    <t>6-875</t>
  </si>
  <si>
    <t>espesor 0.25</t>
  </si>
  <si>
    <t>espesor 1.5</t>
  </si>
  <si>
    <t>espesor 1</t>
  </si>
  <si>
    <t>espesor 0.15</t>
  </si>
  <si>
    <t>7-0</t>
  </si>
  <si>
    <t>no se gasta en relleno</t>
  </si>
  <si>
    <t>7-125</t>
  </si>
  <si>
    <t>Hormigon</t>
  </si>
  <si>
    <t>Total (pesos)</t>
  </si>
  <si>
    <t>Trazado</t>
  </si>
  <si>
    <t>km</t>
  </si>
  <si>
    <t>V corte (m³)</t>
  </si>
  <si>
    <t>35% corte (m³)</t>
  </si>
  <si>
    <t>V relleno (m³)</t>
  </si>
  <si>
    <t>$ total</t>
  </si>
  <si>
    <t>7-250</t>
  </si>
  <si>
    <t>7-375</t>
  </si>
  <si>
    <t>~12</t>
  </si>
  <si>
    <t>7-500</t>
  </si>
  <si>
    <t>7-625</t>
  </si>
  <si>
    <t>7-750</t>
  </si>
  <si>
    <t>7-875</t>
  </si>
  <si>
    <t>8-0</t>
  </si>
  <si>
    <t>8-125</t>
  </si>
  <si>
    <t>8-250</t>
  </si>
  <si>
    <t>8-375</t>
  </si>
  <si>
    <t>8-500</t>
  </si>
  <si>
    <t>8-625</t>
  </si>
  <si>
    <t>8-750</t>
  </si>
  <si>
    <t>8-875</t>
  </si>
  <si>
    <t>9-0</t>
  </si>
  <si>
    <t>9-125</t>
  </si>
  <si>
    <t>9-250</t>
  </si>
  <si>
    <t>9-375</t>
  </si>
  <si>
    <t>9-500</t>
  </si>
  <si>
    <t>9-625</t>
  </si>
  <si>
    <t>9-750</t>
  </si>
  <si>
    <t>9-875</t>
  </si>
  <si>
    <t>10-0</t>
  </si>
  <si>
    <t>10-125</t>
  </si>
  <si>
    <t>10-250</t>
  </si>
  <si>
    <t>10-375</t>
  </si>
  <si>
    <t>10-500</t>
  </si>
  <si>
    <t>10-625</t>
  </si>
  <si>
    <t>10-750</t>
  </si>
  <si>
    <t>10-875</t>
  </si>
  <si>
    <t>11-0</t>
  </si>
  <si>
    <t>11-125</t>
  </si>
  <si>
    <t>11-250</t>
  </si>
  <si>
    <t>11-375</t>
  </si>
  <si>
    <t>11-500</t>
  </si>
  <si>
    <t>11-625</t>
  </si>
  <si>
    <t>11-750</t>
  </si>
  <si>
    <t>11-875</t>
  </si>
  <si>
    <t>12-0</t>
  </si>
  <si>
    <t>DEMANDA</t>
  </si>
  <si>
    <t>Tramo 1:</t>
  </si>
  <si>
    <t>Tramo 2:</t>
  </si>
  <si>
    <t>Tramo 3:</t>
  </si>
  <si>
    <t>Variables:</t>
  </si>
  <si>
    <t>Zona</t>
  </si>
  <si>
    <t>Metropolitana</t>
  </si>
  <si>
    <t>Mr Subrasante</t>
  </si>
  <si>
    <t>psi</t>
  </si>
  <si>
    <t>CV Subrasante (%):</t>
  </si>
  <si>
    <t>Parámetros:</t>
  </si>
  <si>
    <t>?</t>
  </si>
  <si>
    <t>Serviciabilidad Pi</t>
  </si>
  <si>
    <t>Serviciabilidad Pf</t>
  </si>
  <si>
    <t>EE</t>
  </si>
  <si>
    <t>[1]</t>
  </si>
  <si>
    <t>[2]</t>
  </si>
  <si>
    <t>[3]</t>
  </si>
  <si>
    <t>[4]</t>
  </si>
  <si>
    <t>[5]</t>
  </si>
  <si>
    <t>[6]</t>
  </si>
  <si>
    <t>[7]</t>
  </si>
  <si>
    <t>[8]</t>
  </si>
  <si>
    <t>Determinación SN requerido:</t>
  </si>
  <si>
    <t>S0</t>
  </si>
  <si>
    <t>SN</t>
  </si>
  <si>
    <t>in</t>
  </si>
  <si>
    <t>pi</t>
  </si>
  <si>
    <t>-</t>
  </si>
  <si>
    <t>SN ([3])</t>
  </si>
  <si>
    <t>cm</t>
  </si>
  <si>
    <t>pf</t>
  </si>
  <si>
    <t>MR</t>
  </si>
  <si>
    <t>SN_iter</t>
  </si>
  <si>
    <t>DISEÑO</t>
  </si>
  <si>
    <t>Longitud tramo</t>
  </si>
  <si>
    <t>Espesores mínimos razonables para capas granulares de 12cm</t>
  </si>
  <si>
    <t>Ancho</t>
  </si>
  <si>
    <t>VERIFICACIÓN POR CAPAS (AASHTO)</t>
  </si>
  <si>
    <t>VERIFICACIÓN POR CAPAS (MC)</t>
  </si>
  <si>
    <t>Area superficial</t>
  </si>
  <si>
    <t>m^2</t>
  </si>
  <si>
    <t>Materiales disponibles asfalto</t>
  </si>
  <si>
    <t>Características</t>
  </si>
  <si>
    <t>c. estructural</t>
  </si>
  <si>
    <t>c. drenaje</t>
  </si>
  <si>
    <t>SN (cm)</t>
  </si>
  <si>
    <t>P.U. ($/m^3)</t>
  </si>
  <si>
    <t>COSTO total</t>
  </si>
  <si>
    <t>solo</t>
  </si>
  <si>
    <t xml:space="preserve">TMMA </t>
  </si>
  <si>
    <t>Wi</t>
  </si>
  <si>
    <t>Concreto asfáltico (capa superior)</t>
  </si>
  <si>
    <t>E.M. = 9000 N</t>
  </si>
  <si>
    <t>Tramo</t>
  </si>
  <si>
    <t>SN req</t>
  </si>
  <si>
    <t>Base</t>
  </si>
  <si>
    <t>Enero</t>
  </si>
  <si>
    <t>Fr</t>
  </si>
  <si>
    <t>Concreto Asfáltico (capa intermedia)</t>
  </si>
  <si>
    <t>E.M. = 8000 N</t>
  </si>
  <si>
    <t>Febrero</t>
  </si>
  <si>
    <t>EE*Fr</t>
  </si>
  <si>
    <t>Base asfáltica grad gruesa (capa inferior)</t>
  </si>
  <si>
    <t>E.M. = 6000 N</t>
  </si>
  <si>
    <t>Marzo</t>
  </si>
  <si>
    <t>E = 1500 MPa</t>
  </si>
  <si>
    <t>Abril</t>
  </si>
  <si>
    <t>SN ofertado</t>
  </si>
  <si>
    <t>Base granular</t>
  </si>
  <si>
    <t>CBR = 80%</t>
  </si>
  <si>
    <t>Mayo</t>
  </si>
  <si>
    <t>Subbase granular</t>
  </si>
  <si>
    <t>CBR = 40%</t>
  </si>
  <si>
    <t>Junio</t>
  </si>
  <si>
    <t>MR (MPa)</t>
  </si>
  <si>
    <t>SN req (cm)</t>
  </si>
  <si>
    <t>Julio</t>
  </si>
  <si>
    <t>Agosto</t>
  </si>
  <si>
    <t>SNAPSHOTS</t>
  </si>
  <si>
    <t>Setiembre</t>
  </si>
  <si>
    <t>DISEÑO 1</t>
  </si>
  <si>
    <t>Octubre</t>
  </si>
  <si>
    <t>Diseño 1</t>
  </si>
  <si>
    <t>Noviembre</t>
  </si>
  <si>
    <t>Diseño 2</t>
  </si>
  <si>
    <t>Diciembre</t>
  </si>
  <si>
    <t>Promedio</t>
  </si>
  <si>
    <t>Base asfáltica reciclada (capa inferior)</t>
  </si>
  <si>
    <t>TMAPA (°C):</t>
  </si>
  <si>
    <t>TMAPA ADOPT (°C):</t>
  </si>
  <si>
    <t>la tabla mas cercana</t>
  </si>
  <si>
    <t>VERIFICACIÓN EST. EXISTENTE</t>
  </si>
  <si>
    <t>Capa</t>
  </si>
  <si>
    <t>Rodado</t>
  </si>
  <si>
    <t>Grietas piel de cocodrilo de severidad media (15%)</t>
  </si>
  <si>
    <t>no cumple nada, y los coeficientes son mucho mas bajos que los que se obtienen conociendo E.M. y esas cosas</t>
  </si>
  <si>
    <t>Inferior</t>
  </si>
  <si>
    <t>--</t>
  </si>
  <si>
    <t>degradación y contaminación de finos</t>
  </si>
  <si>
    <t>Diseño 3</t>
  </si>
  <si>
    <t xml:space="preserve"> </t>
  </si>
  <si>
    <t>Diseño 1 (cm)</t>
  </si>
  <si>
    <t>Diseño 2 (cm)</t>
  </si>
  <si>
    <t>3 diseños: se despeja el espesor de losa D, probando hormigón 1 vs hormigón 2 con subbase granular y con el que sea mejor probamos subbase cementada.</t>
  </si>
  <si>
    <t>P.U. $/m3</t>
  </si>
  <si>
    <t>Hormigón 1</t>
  </si>
  <si>
    <t>St</t>
  </si>
  <si>
    <t>kgf/cm2</t>
  </si>
  <si>
    <t>Hormigón 2</t>
  </si>
  <si>
    <t>Subbase cementada</t>
  </si>
  <si>
    <t>E</t>
  </si>
  <si>
    <t>Se considera como tramo de diseño el tramo con menor balasto (rigidez) según desarrolla mayores deformaciones</t>
  </si>
  <si>
    <t>Tramo 1</t>
  </si>
  <si>
    <t>Tramo 2</t>
  </si>
  <si>
    <t>Tramo 3</t>
  </si>
  <si>
    <t>J base cementada</t>
  </si>
  <si>
    <t>Hormigon 1 + subbase granular</t>
  </si>
  <si>
    <t>min 15</t>
  </si>
  <si>
    <t>pci</t>
  </si>
  <si>
    <t>D</t>
  </si>
  <si>
    <t>''</t>
  </si>
  <si>
    <t>DISEÑO 2</t>
  </si>
  <si>
    <t>Hormigon 2 + subbase granular</t>
  </si>
  <si>
    <t>Solo cambia el Rmf</t>
  </si>
  <si>
    <t>Diseño 1 es mejor en costo</t>
  </si>
  <si>
    <t>P.U.</t>
  </si>
  <si>
    <t>total</t>
  </si>
  <si>
    <t>+subbase</t>
  </si>
  <si>
    <t>Diseño 1 (H1)</t>
  </si>
  <si>
    <t>Diseño 2 (H2)</t>
  </si>
  <si>
    <t>Diseño 3 (H1)</t>
  </si>
  <si>
    <t>DISEÑO 3</t>
  </si>
  <si>
    <t>Hormigon 1 + subbase cementada</t>
  </si>
  <si>
    <t>subbase granular</t>
  </si>
  <si>
    <t>claramente la mejor opción</t>
  </si>
  <si>
    <t>E (MPa)</t>
  </si>
  <si>
    <t>Fw</t>
  </si>
  <si>
    <t>Actividad</t>
  </si>
  <si>
    <t>P.U. ($/m3)</t>
  </si>
  <si>
    <t>Costo de excavación de suelo y transporte a botadero</t>
  </si>
  <si>
    <t>Costo de extracción, traslado y compactación del material de suelo de reemplazo</t>
  </si>
  <si>
    <t>Costo de extracción de pavimento actual y transporte a botadero</t>
  </si>
  <si>
    <t>área superficial</t>
  </si>
  <si>
    <r>
      <t>m</t>
    </r>
    <r>
      <rPr>
        <vertAlign val="superscript"/>
        <sz val="11"/>
        <color theme="1"/>
        <rFont val="Calibri"/>
        <family val="2"/>
        <scheme val="minor"/>
      </rPr>
      <t>2</t>
    </r>
  </si>
  <si>
    <t>ancho</t>
  </si>
  <si>
    <t>suelo de reemplazo</t>
  </si>
  <si>
    <t>$/m^3</t>
  </si>
  <si>
    <t>Subrasante</t>
  </si>
  <si>
    <t>ki</t>
  </si>
  <si>
    <t>kf</t>
  </si>
  <si>
    <t>L (m)</t>
  </si>
  <si>
    <t>h (m)</t>
  </si>
  <si>
    <t>V (m3)</t>
  </si>
  <si>
    <t>Costo total</t>
  </si>
  <si>
    <t>A reemplazar</t>
  </si>
  <si>
    <t>A mejorar</t>
  </si>
  <si>
    <t>Por la condición actual del pavimento es necesario reemplazarlo completamente (SN y coeficientes estructurales muy bajos)</t>
  </si>
  <si>
    <t>En el caso del diseño 3 se reciclan 0.15 m</t>
  </si>
  <si>
    <t>Ancho calzada</t>
  </si>
  <si>
    <t>Espesor actual</t>
  </si>
  <si>
    <t>Diseño</t>
  </si>
  <si>
    <r>
      <t>V. a extraer (m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)</t>
    </r>
  </si>
  <si>
    <t>Costo extracción</t>
  </si>
  <si>
    <t>Costo instalación</t>
  </si>
  <si>
    <t>intersección con G-838</t>
  </si>
  <si>
    <t>como a la mitad</t>
  </si>
  <si>
    <t>66 - 60</t>
  </si>
  <si>
    <t>intersección 66 con 60</t>
  </si>
  <si>
    <t>intersección g60 con estero el sauce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</si>
</sst>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164" formatCode="0.0"/>
    <numFmt numFmtId="165" formatCode="0.000"/>
    <numFmt numFmtId="166" formatCode="_([$$-409]* #,##0_);_([$$-409]* \(#,##0\);_([$$-409]* &quot;-&quot;_);_(@_)"/>
    <numFmt numFmtId="167" formatCode="_ &quot;$&quot;* #,##0.00_ ;_ &quot;$&quot;* \-#,##0.00_ ;_ &quot;$&quot;* &quot;-&quot;??_ ;_ @_ 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Aptos Narrow"/>
      <family val="2"/>
    </font>
    <font>
      <sz val="11"/>
      <color rgb="FF00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name val="Times New Roman"/>
      <charset val="1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E7E6E6"/>
        <bgColor rgb="FF000000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dashed">
        <color rgb="FF000000"/>
      </left>
      <right/>
      <top/>
      <bottom/>
      <diagonal/>
    </border>
    <border>
      <left/>
      <right style="dashed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2" fontId="0" fillId="0" borderId="0" xfId="0" applyNumberFormat="1"/>
    <xf numFmtId="0" fontId="2" fillId="0" borderId="1" xfId="0" applyFont="1" applyBorder="1" applyAlignment="1">
      <alignment horizontal="left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9" fontId="0" fillId="0" borderId="1" xfId="0" applyNumberFormat="1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0" fillId="0" borderId="4" xfId="0" applyBorder="1" applyAlignment="1">
      <alignment horizontal="center"/>
    </xf>
    <xf numFmtId="2" fontId="0" fillId="0" borderId="4" xfId="1" applyNumberFormat="1" applyFont="1" applyFill="1" applyBorder="1" applyAlignment="1">
      <alignment horizontal="center"/>
    </xf>
    <xf numFmtId="164" fontId="0" fillId="0" borderId="1" xfId="0" applyNumberFormat="1" applyBorder="1"/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2" fontId="0" fillId="2" borderId="1" xfId="0" applyNumberFormat="1" applyFill="1" applyBorder="1" applyAlignment="1">
      <alignment horizontal="center"/>
    </xf>
    <xf numFmtId="0" fontId="2" fillId="3" borderId="10" xfId="0" applyFont="1" applyFill="1" applyBorder="1"/>
    <xf numFmtId="0" fontId="2" fillId="4" borderId="2" xfId="0" applyFont="1" applyFill="1" applyBorder="1"/>
    <xf numFmtId="0" fontId="0" fillId="5" borderId="2" xfId="0" applyFill="1" applyBorder="1"/>
    <xf numFmtId="0" fontId="0" fillId="0" borderId="11" xfId="0" applyBorder="1" applyAlignment="1">
      <alignment horizontal="center"/>
    </xf>
    <xf numFmtId="0" fontId="0" fillId="5" borderId="1" xfId="0" applyFill="1" applyBorder="1"/>
    <xf numFmtId="3" fontId="0" fillId="0" borderId="9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0" fontId="0" fillId="5" borderId="12" xfId="0" applyFill="1" applyBorder="1"/>
    <xf numFmtId="0" fontId="2" fillId="4" borderId="1" xfId="0" applyFont="1" applyFill="1" applyBorder="1"/>
    <xf numFmtId="0" fontId="0" fillId="0" borderId="12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9" fontId="0" fillId="0" borderId="13" xfId="1" applyFont="1" applyBorder="1" applyAlignment="1">
      <alignment horizontal="center"/>
    </xf>
    <xf numFmtId="0" fontId="0" fillId="0" borderId="0" xfId="0" quotePrefix="1"/>
    <xf numFmtId="0" fontId="2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" fontId="4" fillId="2" borderId="0" xfId="0" applyNumberFormat="1" applyFont="1" applyFill="1" applyAlignment="1">
      <alignment horizontal="center"/>
    </xf>
    <xf numFmtId="0" fontId="5" fillId="0" borderId="0" xfId="0" applyFont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4" xfId="0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2" borderId="16" xfId="0" applyNumberForma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6" fillId="0" borderId="0" xfId="0" applyFont="1"/>
    <xf numFmtId="0" fontId="7" fillId="6" borderId="1" xfId="0" applyFont="1" applyFill="1" applyBorder="1"/>
    <xf numFmtId="0" fontId="7" fillId="6" borderId="9" xfId="0" applyFont="1" applyFill="1" applyBorder="1"/>
    <xf numFmtId="0" fontId="6" fillId="6" borderId="1" xfId="0" applyFont="1" applyFill="1" applyBorder="1"/>
    <xf numFmtId="0" fontId="6" fillId="0" borderId="13" xfId="0" applyFont="1" applyBorder="1"/>
    <xf numFmtId="0" fontId="6" fillId="6" borderId="12" xfId="0" applyFont="1" applyFill="1" applyBorder="1"/>
    <xf numFmtId="0" fontId="7" fillId="6" borderId="12" xfId="0" applyFont="1" applyFill="1" applyBorder="1"/>
    <xf numFmtId="0" fontId="7" fillId="6" borderId="13" xfId="0" applyFont="1" applyFill="1" applyBorder="1"/>
    <xf numFmtId="0" fontId="2" fillId="5" borderId="3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165" fontId="6" fillId="0" borderId="13" xfId="0" applyNumberFormat="1" applyFont="1" applyBorder="1"/>
    <xf numFmtId="165" fontId="7" fillId="6" borderId="13" xfId="0" applyNumberFormat="1" applyFont="1" applyFill="1" applyBorder="1"/>
    <xf numFmtId="164" fontId="7" fillId="6" borderId="13" xfId="0" applyNumberFormat="1" applyFont="1" applyFill="1" applyBorder="1"/>
    <xf numFmtId="0" fontId="5" fillId="0" borderId="0" xfId="0" applyFont="1"/>
    <xf numFmtId="0" fontId="2" fillId="4" borderId="14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164" fontId="0" fillId="2" borderId="14" xfId="0" applyNumberFormat="1" applyFill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0" fillId="0" borderId="0" xfId="0" applyAlignment="1">
      <alignment horizontal="left" wrapText="1"/>
    </xf>
    <xf numFmtId="0" fontId="4" fillId="0" borderId="14" xfId="0" applyFont="1" applyBorder="1" applyAlignment="1">
      <alignment horizontal="center"/>
    </xf>
    <xf numFmtId="0" fontId="2" fillId="4" borderId="19" xfId="0" applyFont="1" applyFill="1" applyBorder="1" applyAlignment="1">
      <alignment horizontal="center"/>
    </xf>
    <xf numFmtId="0" fontId="0" fillId="0" borderId="14" xfId="0" applyBorder="1" applyAlignment="1">
      <alignment horizontal="center" wrapText="1"/>
    </xf>
    <xf numFmtId="0" fontId="0" fillId="4" borderId="14" xfId="0" applyFill="1" applyBorder="1" applyAlignment="1">
      <alignment horizontal="center" wrapText="1"/>
    </xf>
    <xf numFmtId="0" fontId="4" fillId="0" borderId="14" xfId="0" quotePrefix="1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2" fontId="2" fillId="0" borderId="14" xfId="0" applyNumberFormat="1" applyFont="1" applyBorder="1" applyAlignment="1">
      <alignment horizontal="center"/>
    </xf>
    <xf numFmtId="9" fontId="0" fillId="0" borderId="9" xfId="1" applyFont="1" applyBorder="1" applyAlignment="1">
      <alignment horizontal="center"/>
    </xf>
    <xf numFmtId="0" fontId="0" fillId="0" borderId="2" xfId="0" applyBorder="1" applyAlignment="1">
      <alignment horizontal="center"/>
    </xf>
    <xf numFmtId="1" fontId="0" fillId="2" borderId="13" xfId="0" applyNumberFormat="1" applyFill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8" fillId="0" borderId="2" xfId="0" applyFont="1" applyBorder="1" applyAlignment="1">
      <alignment horizontal="center" wrapText="1"/>
    </xf>
    <xf numFmtId="0" fontId="8" fillId="0" borderId="11" xfId="0" applyFont="1" applyBorder="1" applyAlignment="1">
      <alignment horizontal="center" wrapText="1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0" borderId="23" xfId="0" applyBorder="1" applyAlignment="1">
      <alignment horizontal="center"/>
    </xf>
    <xf numFmtId="164" fontId="0" fillId="0" borderId="0" xfId="0" applyNumberFormat="1"/>
    <xf numFmtId="0" fontId="2" fillId="4" borderId="25" xfId="0" applyFont="1" applyFill="1" applyBorder="1" applyAlignment="1">
      <alignment horizontal="center"/>
    </xf>
    <xf numFmtId="0" fontId="2" fillId="4" borderId="23" xfId="0" applyFont="1" applyFill="1" applyBorder="1" applyAlignment="1">
      <alignment horizontal="center"/>
    </xf>
    <xf numFmtId="0" fontId="9" fillId="0" borderId="19" xfId="0" quotePrefix="1" applyFont="1" applyBorder="1" applyAlignment="1">
      <alignment horizontal="center"/>
    </xf>
    <xf numFmtId="0" fontId="9" fillId="0" borderId="19" xfId="0" applyFont="1" applyBorder="1" applyAlignment="1">
      <alignment horizontal="center"/>
    </xf>
    <xf numFmtId="0" fontId="0" fillId="0" borderId="25" xfId="0" applyBorder="1"/>
    <xf numFmtId="0" fontId="0" fillId="0" borderId="23" xfId="0" applyBorder="1"/>
    <xf numFmtId="0" fontId="0" fillId="0" borderId="27" xfId="0" applyBorder="1"/>
    <xf numFmtId="0" fontId="0" fillId="0" borderId="28" xfId="0" applyBorder="1"/>
    <xf numFmtId="0" fontId="0" fillId="0" borderId="26" xfId="0" applyBorder="1"/>
    <xf numFmtId="0" fontId="0" fillId="0" borderId="29" xfId="0" applyBorder="1"/>
    <xf numFmtId="0" fontId="0" fillId="0" borderId="24" xfId="0" applyBorder="1"/>
    <xf numFmtId="0" fontId="0" fillId="0" borderId="22" xfId="0" applyBorder="1" applyAlignment="1">
      <alignment horizontal="center"/>
    </xf>
    <xf numFmtId="0" fontId="0" fillId="0" borderId="30" xfId="0" applyBorder="1" applyAlignment="1">
      <alignment horizontal="center"/>
    </xf>
    <xf numFmtId="0" fontId="4" fillId="0" borderId="31" xfId="0" applyFont="1" applyBorder="1" applyAlignment="1">
      <alignment horizontal="center"/>
    </xf>
    <xf numFmtId="42" fontId="0" fillId="0" borderId="14" xfId="0" applyNumberFormat="1" applyBorder="1" applyAlignment="1">
      <alignment horizontal="center"/>
    </xf>
    <xf numFmtId="42" fontId="0" fillId="0" borderId="15" xfId="0" applyNumberFormat="1" applyBorder="1" applyAlignment="1">
      <alignment horizontal="center"/>
    </xf>
    <xf numFmtId="42" fontId="0" fillId="2" borderId="14" xfId="0" applyNumberFormat="1" applyFill="1" applyBorder="1"/>
    <xf numFmtId="166" fontId="0" fillId="0" borderId="14" xfId="0" applyNumberFormat="1" applyBorder="1" applyAlignment="1">
      <alignment horizontal="center"/>
    </xf>
    <xf numFmtId="164" fontId="0" fillId="2" borderId="17" xfId="0" applyNumberForma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2" fillId="4" borderId="15" xfId="0" applyFont="1" applyFill="1" applyBorder="1" applyAlignment="1">
      <alignment horizontal="center"/>
    </xf>
    <xf numFmtId="164" fontId="2" fillId="0" borderId="14" xfId="0" applyNumberFormat="1" applyFont="1" applyBorder="1" applyAlignment="1">
      <alignment horizontal="center" wrapText="1"/>
    </xf>
    <xf numFmtId="1" fontId="0" fillId="0" borderId="0" xfId="0" applyNumberFormat="1" applyAlignment="1">
      <alignment horizontal="center"/>
    </xf>
    <xf numFmtId="42" fontId="0" fillId="0" borderId="0" xfId="0" applyNumberFormat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4" fontId="0" fillId="0" borderId="14" xfId="0" applyNumberFormat="1" applyBorder="1"/>
    <xf numFmtId="0" fontId="0" fillId="2" borderId="0" xfId="0" applyFill="1"/>
    <xf numFmtId="0" fontId="0" fillId="2" borderId="14" xfId="0" applyFill="1" applyBorder="1"/>
    <xf numFmtId="0" fontId="0" fillId="0" borderId="15" xfId="0" applyBorder="1" applyAlignment="1">
      <alignment horizontal="center"/>
    </xf>
    <xf numFmtId="0" fontId="2" fillId="5" borderId="14" xfId="0" applyFont="1" applyFill="1" applyBorder="1" applyAlignment="1">
      <alignment horizontal="center"/>
    </xf>
    <xf numFmtId="0" fontId="2" fillId="5" borderId="1" xfId="0" applyFont="1" applyFill="1" applyBorder="1"/>
    <xf numFmtId="0" fontId="2" fillId="5" borderId="12" xfId="0" applyFont="1" applyFill="1" applyBorder="1"/>
    <xf numFmtId="0" fontId="2" fillId="5" borderId="15" xfId="0" applyFont="1" applyFill="1" applyBorder="1" applyAlignment="1">
      <alignment horizontal="center"/>
    </xf>
    <xf numFmtId="164" fontId="0" fillId="0" borderId="14" xfId="0" applyNumberFormat="1" applyBorder="1" applyAlignment="1">
      <alignment horizontal="center" wrapText="1"/>
    </xf>
    <xf numFmtId="164" fontId="0" fillId="0" borderId="15" xfId="0" applyNumberFormat="1" applyBorder="1" applyAlignment="1">
      <alignment horizontal="center"/>
    </xf>
    <xf numFmtId="0" fontId="2" fillId="5" borderId="19" xfId="0" applyFont="1" applyFill="1" applyBorder="1" applyAlignment="1">
      <alignment horizontal="center"/>
    </xf>
    <xf numFmtId="42" fontId="0" fillId="0" borderId="0" xfId="0" applyNumberFormat="1"/>
    <xf numFmtId="42" fontId="0" fillId="0" borderId="14" xfId="0" applyNumberFormat="1" applyBorder="1"/>
    <xf numFmtId="0" fontId="0" fillId="2" borderId="19" xfId="0" applyFill="1" applyBorder="1"/>
    <xf numFmtId="42" fontId="0" fillId="0" borderId="16" xfId="0" applyNumberFormat="1" applyBorder="1"/>
    <xf numFmtId="4" fontId="0" fillId="0" borderId="0" xfId="0" applyNumberFormat="1" applyAlignment="1">
      <alignment horizontal="center"/>
    </xf>
    <xf numFmtId="0" fontId="2" fillId="0" borderId="27" xfId="0" applyFont="1" applyBorder="1"/>
    <xf numFmtId="0" fontId="0" fillId="0" borderId="34" xfId="0" applyBorder="1"/>
    <xf numFmtId="0" fontId="0" fillId="0" borderId="35" xfId="0" applyBorder="1"/>
    <xf numFmtId="0" fontId="0" fillId="0" borderId="37" xfId="0" applyBorder="1"/>
    <xf numFmtId="0" fontId="2" fillId="3" borderId="39" xfId="0" applyFont="1" applyFill="1" applyBorder="1"/>
    <xf numFmtId="0" fontId="2" fillId="4" borderId="40" xfId="0" applyFont="1" applyFill="1" applyBorder="1"/>
    <xf numFmtId="0" fontId="0" fillId="5" borderId="40" xfId="0" applyFill="1" applyBorder="1"/>
    <xf numFmtId="0" fontId="0" fillId="5" borderId="36" xfId="0" applyFill="1" applyBorder="1"/>
    <xf numFmtId="0" fontId="0" fillId="0" borderId="38" xfId="0" applyBorder="1"/>
    <xf numFmtId="0" fontId="0" fillId="5" borderId="41" xfId="0" applyFill="1" applyBorder="1"/>
    <xf numFmtId="0" fontId="2" fillId="4" borderId="36" xfId="0" applyFont="1" applyFill="1" applyBorder="1"/>
    <xf numFmtId="0" fontId="0" fillId="4" borderId="36" xfId="0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0" fillId="0" borderId="44" xfId="0" applyBorder="1"/>
    <xf numFmtId="3" fontId="12" fillId="0" borderId="0" xfId="0" applyNumberFormat="1" applyFont="1"/>
    <xf numFmtId="164" fontId="0" fillId="2" borderId="14" xfId="0" applyNumberFormat="1" applyFill="1" applyBorder="1"/>
    <xf numFmtId="0" fontId="13" fillId="0" borderId="14" xfId="0" applyFont="1" applyBorder="1" applyAlignment="1">
      <alignment wrapText="1"/>
    </xf>
    <xf numFmtId="9" fontId="0" fillId="0" borderId="0" xfId="0" applyNumberFormat="1"/>
    <xf numFmtId="0" fontId="0" fillId="0" borderId="1" xfId="0" applyBorder="1" applyAlignment="1">
      <alignment horizontal="left"/>
    </xf>
    <xf numFmtId="0" fontId="2" fillId="5" borderId="14" xfId="0" applyFon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2" fillId="5" borderId="12" xfId="0" applyFont="1" applyFill="1" applyBorder="1" applyAlignment="1">
      <alignment horizontal="left"/>
    </xf>
    <xf numFmtId="2" fontId="0" fillId="0" borderId="1" xfId="0" applyNumberFormat="1" applyBorder="1"/>
    <xf numFmtId="0" fontId="2" fillId="5" borderId="0" xfId="0" applyFont="1" applyFill="1"/>
    <xf numFmtId="164" fontId="0" fillId="0" borderId="1" xfId="0" applyNumberFormat="1" applyBorder="1" applyAlignment="1">
      <alignment wrapText="1"/>
    </xf>
    <xf numFmtId="0" fontId="0" fillId="0" borderId="12" xfId="0" applyBorder="1" applyAlignment="1">
      <alignment wrapText="1"/>
    </xf>
    <xf numFmtId="3" fontId="0" fillId="0" borderId="9" xfId="0" applyNumberFormat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5" xfId="0" applyBorder="1" applyAlignment="1">
      <alignment horizontal="right"/>
    </xf>
    <xf numFmtId="2" fontId="0" fillId="0" borderId="1" xfId="0" applyNumberFormat="1" applyBorder="1" applyAlignment="1">
      <alignment horizontal="right"/>
    </xf>
    <xf numFmtId="167" fontId="0" fillId="0" borderId="0" xfId="0" applyNumberFormat="1"/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3" fontId="2" fillId="0" borderId="9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 wrapText="1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2" fontId="0" fillId="0" borderId="14" xfId="1" applyNumberFormat="1" applyFont="1" applyBorder="1" applyAlignment="1">
      <alignment horizontal="center" vertical="center"/>
    </xf>
    <xf numFmtId="2" fontId="0" fillId="0" borderId="19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16" xfId="1" applyNumberFormat="1" applyFon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9" fontId="0" fillId="0" borderId="9" xfId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2" fontId="0" fillId="0" borderId="0" xfId="0" applyNumberFormat="1" applyAlignment="1">
      <alignment horizontal="center"/>
    </xf>
    <xf numFmtId="0" fontId="0" fillId="2" borderId="0" xfId="0" applyFill="1" applyAlignment="1">
      <alignment horizontal="center" wrapText="1"/>
    </xf>
    <xf numFmtId="0" fontId="2" fillId="4" borderId="14" xfId="0" applyFont="1" applyFill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6" xfId="0" applyBorder="1" applyAlignment="1">
      <alignment horizontal="center"/>
    </xf>
    <xf numFmtId="0" fontId="2" fillId="4" borderId="19" xfId="0" applyFont="1" applyFill="1" applyBorder="1" applyAlignment="1">
      <alignment horizontal="center"/>
    </xf>
    <xf numFmtId="0" fontId="0" fillId="0" borderId="14" xfId="0" quotePrefix="1" applyBorder="1" applyAlignment="1">
      <alignment horizontal="center"/>
    </xf>
    <xf numFmtId="0" fontId="0" fillId="0" borderId="19" xfId="0" quotePrefix="1" applyBorder="1" applyAlignment="1">
      <alignment horizontal="center"/>
    </xf>
    <xf numFmtId="0" fontId="0" fillId="0" borderId="0" xfId="0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 wrapText="1"/>
    </xf>
    <xf numFmtId="0" fontId="0" fillId="5" borderId="14" xfId="0" applyFill="1" applyBorder="1" applyAlignment="1">
      <alignment horizontal="center"/>
    </xf>
    <xf numFmtId="0" fontId="0" fillId="5" borderId="2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5" borderId="12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30" xfId="0" applyBorder="1" applyAlignment="1">
      <alignment horizontal="center"/>
    </xf>
    <xf numFmtId="0" fontId="2" fillId="4" borderId="17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0" fontId="3" fillId="3" borderId="36" xfId="0" applyFont="1" applyFill="1" applyBorder="1" applyAlignment="1">
      <alignment horizontal="center" vertical="center"/>
    </xf>
    <xf numFmtId="0" fontId="0" fillId="5" borderId="40" xfId="0" applyFill="1" applyBorder="1" applyAlignment="1">
      <alignment horizontal="left" vertical="center"/>
    </xf>
    <xf numFmtId="0" fontId="0" fillId="5" borderId="41" xfId="0" applyFill="1" applyBorder="1" applyAlignment="1">
      <alignment horizontal="left" vertical="center"/>
    </xf>
    <xf numFmtId="0" fontId="0" fillId="5" borderId="2" xfId="0" applyFill="1" applyBorder="1" applyAlignment="1">
      <alignment horizontal="left" vertical="center"/>
    </xf>
    <xf numFmtId="0" fontId="0" fillId="5" borderId="12" xfId="0" applyFill="1" applyBorder="1" applyAlignment="1">
      <alignment horizontal="left" vertical="center"/>
    </xf>
    <xf numFmtId="0" fontId="2" fillId="4" borderId="36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3" fontId="0" fillId="0" borderId="14" xfId="0" applyNumberFormat="1" applyBorder="1" applyAlignment="1">
      <alignment horizontal="center"/>
    </xf>
    <xf numFmtId="4" fontId="0" fillId="0" borderId="14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8" xfId="0" applyBorder="1" applyAlignment="1">
      <alignment horizontal="center"/>
    </xf>
    <xf numFmtId="0" fontId="2" fillId="0" borderId="1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42" fontId="0" fillId="2" borderId="14" xfId="0" applyNumberForma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42" fontId="0" fillId="0" borderId="14" xfId="0" applyNumberFormat="1" applyBorder="1" applyAlignment="1">
      <alignment horizont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4" xfId="0" applyBorder="1" applyAlignment="1">
      <alignment horizontal="left"/>
    </xf>
    <xf numFmtId="42" fontId="0" fillId="0" borderId="15" xfId="0" applyNumberFormat="1" applyBorder="1" applyAlignment="1">
      <alignment horizontal="center"/>
    </xf>
    <xf numFmtId="0" fontId="2" fillId="0" borderId="14" xfId="0" applyFont="1" applyBorder="1" applyAlignment="1">
      <alignment horizontal="center"/>
    </xf>
    <xf numFmtId="42" fontId="0" fillId="0" borderId="19" xfId="0" applyNumberFormat="1" applyBorder="1" applyAlignment="1">
      <alignment horizontal="center"/>
    </xf>
    <xf numFmtId="0" fontId="2" fillId="4" borderId="15" xfId="0" applyFont="1" applyFill="1" applyBorder="1" applyAlignment="1">
      <alignment horizontal="center"/>
    </xf>
    <xf numFmtId="42" fontId="0" fillId="0" borderId="30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Font="1"/>
  </cellXfs>
  <cellStyles count="2">
    <cellStyle name="Normal" xfId="0" builtinId="0"/>
    <cellStyle name="Porcentaje" xfId="1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Estimación de veh. Eq/ hora / pista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Tránsito!$B$27:$B$47</c:f>
              <c:numCache>
                <c:formatCode>General</c:formatCod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numCache>
            </c:numRef>
          </c:xVal>
          <c:yVal>
            <c:numRef>
              <c:f>Tránsito!$H$27:$H$47</c:f>
              <c:numCache>
                <c:formatCode>#,##0</c:formatCode>
                <c:ptCount val="21"/>
                <c:pt idx="0">
                  <c:v>148.23433645833333</c:v>
                </c:pt>
                <c:pt idx="1">
                  <c:v>152.68136655208335</c:v>
                </c:pt>
                <c:pt idx="2">
                  <c:v>157.26180754864586</c:v>
                </c:pt>
                <c:pt idx="3">
                  <c:v>161.97966177510523</c:v>
                </c:pt>
                <c:pt idx="4">
                  <c:v>166.83905162835839</c:v>
                </c:pt>
                <c:pt idx="5">
                  <c:v>171.84422317720916</c:v>
                </c:pt>
                <c:pt idx="6">
                  <c:v>176.99954987252542</c:v>
                </c:pt>
                <c:pt idx="7">
                  <c:v>182.3095363687012</c:v>
                </c:pt>
                <c:pt idx="8">
                  <c:v>187.77882245976221</c:v>
                </c:pt>
                <c:pt idx="9">
                  <c:v>213.99806098016742</c:v>
                </c:pt>
                <c:pt idx="10">
                  <c:v>221.2409313769331</c:v>
                </c:pt>
                <c:pt idx="11">
                  <c:v>228.74082930157491</c:v>
                </c:pt>
                <c:pt idx="12">
                  <c:v>236.50734403196518</c:v>
                </c:pt>
                <c:pt idx="13">
                  <c:v>244.55044105379832</c:v>
                </c:pt>
                <c:pt idx="14">
                  <c:v>252.88047753660786</c:v>
                </c:pt>
                <c:pt idx="15">
                  <c:v>261.5082184736662</c:v>
                </c:pt>
                <c:pt idx="16">
                  <c:v>270.4448535152593</c:v>
                </c:pt>
                <c:pt idx="17">
                  <c:v>279.70201452617721</c:v>
                </c:pt>
                <c:pt idx="18">
                  <c:v>289.29179389966959</c:v>
                </c:pt>
                <c:pt idx="19">
                  <c:v>299.22676366159311</c:v>
                </c:pt>
                <c:pt idx="20">
                  <c:v>309.51999540002163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C2-49A6-B192-92A61BC55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03328"/>
        <c:axId val="173809088"/>
      </c:scatterChart>
      <c:valAx>
        <c:axId val="173803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09088"/>
        <c:crosses val="autoZero"/>
        <c:crossBetween val="midCat"/>
      </c:valAx>
      <c:valAx>
        <c:axId val="1738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Veh. Eq/ hora / pista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03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Ejes equivalentes acumulados hormigón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5797542679253921"/>
          <c:y val="7.75140807074166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Tránsito!$R$27:$R$47</c:f>
              <c:numCache>
                <c:formatCode>General</c:formatCod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numCache>
            </c:numRef>
          </c:xVal>
          <c:yVal>
            <c:numRef>
              <c:f>Tránsito!$S$27:$S$47</c:f>
              <c:numCache>
                <c:formatCode>0.0</c:formatCode>
                <c:ptCount val="21"/>
                <c:pt idx="0">
                  <c:v>408383.05484828143</c:v>
                </c:pt>
                <c:pt idx="1">
                  <c:v>829017.60134201124</c:v>
                </c:pt>
                <c:pt idx="2">
                  <c:v>1262271.184230553</c:v>
                </c:pt>
                <c:pt idx="3">
                  <c:v>1708522.3746057509</c:v>
                </c:pt>
                <c:pt idx="4">
                  <c:v>2168161.1006922047</c:v>
                </c:pt>
                <c:pt idx="5">
                  <c:v>2641588.9885612521</c:v>
                </c:pt>
                <c:pt idx="6">
                  <c:v>3129219.7130663712</c:v>
                </c:pt>
                <c:pt idx="7">
                  <c:v>3631479.3593066437</c:v>
                </c:pt>
                <c:pt idx="8">
                  <c:v>4148806.7949341247</c:v>
                </c:pt>
                <c:pt idx="9">
                  <c:v>4748491.0680892663</c:v>
                </c:pt>
                <c:pt idx="10">
                  <c:v>5372722.0986155216</c:v>
                </c:pt>
                <c:pt idx="11">
                  <c:v>6022541.8690112224</c:v>
                </c:pt>
                <c:pt idx="12">
                  <c:v>6699037.689542436</c:v>
                </c:pt>
                <c:pt idx="13">
                  <c:v>7403344.2066342132</c:v>
                </c:pt>
                <c:pt idx="14">
                  <c:v>8136645.5016186601</c:v>
                </c:pt>
                <c:pt idx="15">
                  <c:v>8900177.283960307</c:v>
                </c:pt>
                <c:pt idx="16">
                  <c:v>9695229.1832694728</c:v>
                </c:pt>
                <c:pt idx="17">
                  <c:v>10523147.144613456</c:v>
                </c:pt>
                <c:pt idx="18">
                  <c:v>11385335.931843773</c:v>
                </c:pt>
                <c:pt idx="19">
                  <c:v>12283261.743875844</c:v>
                </c:pt>
                <c:pt idx="20">
                  <c:v>13218454.949085878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A-4AE2-9721-DB4AE947D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745392"/>
        <c:axId val="1993755472"/>
      </c:scatterChart>
      <c:valAx>
        <c:axId val="199374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755472"/>
        <c:crosses val="autoZero"/>
        <c:crossBetween val="midCat"/>
      </c:valAx>
      <c:valAx>
        <c:axId val="199375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EE acumulados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74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TRAMIFICACIÓN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Tramificación!$C$47:$C$57</c:f>
              <c:numCache>
                <c:formatCode>General</c:formatCode>
                <c:ptCount val="11"/>
                <c:pt idx="0">
                  <c:v>9.5</c:v>
                </c:pt>
                <c:pt idx="1">
                  <c:v>9.75</c:v>
                </c:pt>
                <c:pt idx="2">
                  <c:v>10</c:v>
                </c:pt>
                <c:pt idx="3">
                  <c:v>10.25</c:v>
                </c:pt>
                <c:pt idx="4">
                  <c:v>10.5</c:v>
                </c:pt>
                <c:pt idx="5">
                  <c:v>10.75</c:v>
                </c:pt>
                <c:pt idx="6">
                  <c:v>11</c:v>
                </c:pt>
                <c:pt idx="7">
                  <c:v>11.25</c:v>
                </c:pt>
                <c:pt idx="8">
                  <c:v>11.5</c:v>
                </c:pt>
                <c:pt idx="9">
                  <c:v>11.75</c:v>
                </c:pt>
                <c:pt idx="10">
                  <c:v>12</c:v>
                </c:pt>
              </c:numCache>
            </c:numRef>
          </c:xVal>
          <c:yVal>
            <c:numRef>
              <c:f>Tramificación!$J$47:$J$57</c:f>
              <c:numCache>
                <c:formatCode>0.00</c:formatCode>
                <c:ptCount val="11"/>
                <c:pt idx="0">
                  <c:v>97.858508280293123</c:v>
                </c:pt>
                <c:pt idx="1">
                  <c:v>97.858508280293123</c:v>
                </c:pt>
                <c:pt idx="2">
                  <c:v>97.858508280293123</c:v>
                </c:pt>
                <c:pt idx="3">
                  <c:v>97.858508280293123</c:v>
                </c:pt>
                <c:pt idx="4">
                  <c:v>97.858508280293123</c:v>
                </c:pt>
                <c:pt idx="5">
                  <c:v>97.858508280293123</c:v>
                </c:pt>
                <c:pt idx="6">
                  <c:v>97.858508280293123</c:v>
                </c:pt>
                <c:pt idx="7">
                  <c:v>97.858508280293123</c:v>
                </c:pt>
                <c:pt idx="8">
                  <c:v>97.858508280293123</c:v>
                </c:pt>
                <c:pt idx="9">
                  <c:v>97.858508280293123</c:v>
                </c:pt>
                <c:pt idx="10">
                  <c:v>97.858508280293123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A6CB-4E50-AC4F-F1ED0E69E159}"/>
            </c:ext>
          </c:extLst>
        </c:ser>
        <c:ser>
          <c:idx val="2"/>
          <c:order val="1"/>
          <c:spPr>
            <a:ln w="19050">
              <a:solidFill>
                <a:srgbClr val="FFC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Tramificación!$C$9:$C$30</c:f>
              <c:numCache>
                <c:formatCode>General</c:formatCode>
                <c:ptCount val="22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</c:numCache>
            </c:numRef>
          </c:xVal>
          <c:yVal>
            <c:numRef>
              <c:f>Tramificación!$J$9:$J$30</c:f>
              <c:numCache>
                <c:formatCode>0.00</c:formatCode>
                <c:ptCount val="22"/>
                <c:pt idx="0">
                  <c:v>105.82989552012964</c:v>
                </c:pt>
                <c:pt idx="1">
                  <c:v>105.82989552012964</c:v>
                </c:pt>
                <c:pt idx="2">
                  <c:v>105.82989552012964</c:v>
                </c:pt>
                <c:pt idx="3">
                  <c:v>105.82989552012964</c:v>
                </c:pt>
                <c:pt idx="4">
                  <c:v>105.82989552012964</c:v>
                </c:pt>
                <c:pt idx="5">
                  <c:v>105.82989552012964</c:v>
                </c:pt>
                <c:pt idx="6">
                  <c:v>105.82989552012964</c:v>
                </c:pt>
                <c:pt idx="7">
                  <c:v>105.82989552012964</c:v>
                </c:pt>
                <c:pt idx="8">
                  <c:v>105.82989552012964</c:v>
                </c:pt>
                <c:pt idx="9">
                  <c:v>105.82989552012964</c:v>
                </c:pt>
                <c:pt idx="10">
                  <c:v>105.82989552012964</c:v>
                </c:pt>
                <c:pt idx="11">
                  <c:v>105.82989552012964</c:v>
                </c:pt>
                <c:pt idx="12">
                  <c:v>105.82989552012964</c:v>
                </c:pt>
                <c:pt idx="13">
                  <c:v>105.82989552012964</c:v>
                </c:pt>
                <c:pt idx="14">
                  <c:v>105.82989552012964</c:v>
                </c:pt>
                <c:pt idx="15">
                  <c:v>105.82989552012964</c:v>
                </c:pt>
                <c:pt idx="16">
                  <c:v>105.82989552012964</c:v>
                </c:pt>
                <c:pt idx="17">
                  <c:v>105.82989552012964</c:v>
                </c:pt>
                <c:pt idx="18">
                  <c:v>105.82989552012964</c:v>
                </c:pt>
                <c:pt idx="19">
                  <c:v>105.82989552012964</c:v>
                </c:pt>
                <c:pt idx="20">
                  <c:v>105.82989552012964</c:v>
                </c:pt>
                <c:pt idx="21">
                  <c:v>105.82989552012964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A6CB-4E50-AC4F-F1ED0E69E159}"/>
            </c:ext>
          </c:extLst>
        </c:ser>
        <c:ser>
          <c:idx val="3"/>
          <c:order val="2"/>
          <c:spPr>
            <a:ln w="19050">
              <a:solidFill>
                <a:srgbClr val="FFC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Tramificación!$C$31:$C$46</c:f>
              <c:numCache>
                <c:formatCode>General</c:formatCode>
                <c:ptCount val="16"/>
                <c:pt idx="0">
                  <c:v>5.5</c:v>
                </c:pt>
                <c:pt idx="1">
                  <c:v>5.75</c:v>
                </c:pt>
                <c:pt idx="2">
                  <c:v>6</c:v>
                </c:pt>
                <c:pt idx="3">
                  <c:v>6.25</c:v>
                </c:pt>
                <c:pt idx="4">
                  <c:v>6.5</c:v>
                </c:pt>
                <c:pt idx="5">
                  <c:v>6.75</c:v>
                </c:pt>
                <c:pt idx="6">
                  <c:v>7</c:v>
                </c:pt>
                <c:pt idx="7">
                  <c:v>7.25</c:v>
                </c:pt>
                <c:pt idx="8">
                  <c:v>7.5</c:v>
                </c:pt>
                <c:pt idx="9">
                  <c:v>7.75</c:v>
                </c:pt>
                <c:pt idx="10">
                  <c:v>8</c:v>
                </c:pt>
                <c:pt idx="11">
                  <c:v>8.25</c:v>
                </c:pt>
                <c:pt idx="12">
                  <c:v>8.5</c:v>
                </c:pt>
                <c:pt idx="13">
                  <c:v>8.75</c:v>
                </c:pt>
                <c:pt idx="14">
                  <c:v>9</c:v>
                </c:pt>
                <c:pt idx="15">
                  <c:v>9.25</c:v>
                </c:pt>
              </c:numCache>
            </c:numRef>
          </c:xVal>
          <c:yVal>
            <c:numRef>
              <c:f>Tramificación!$J$31:$J$46</c:f>
              <c:numCache>
                <c:formatCode>0.00</c:formatCode>
                <c:ptCount val="16"/>
                <c:pt idx="0">
                  <c:v>156.80980428808306</c:v>
                </c:pt>
                <c:pt idx="1">
                  <c:v>156.80980428808306</c:v>
                </c:pt>
                <c:pt idx="2">
                  <c:v>156.80980428808306</c:v>
                </c:pt>
                <c:pt idx="3">
                  <c:v>156.80980428808306</c:v>
                </c:pt>
                <c:pt idx="4">
                  <c:v>156.80980428808306</c:v>
                </c:pt>
                <c:pt idx="5">
                  <c:v>156.80980428808306</c:v>
                </c:pt>
                <c:pt idx="6">
                  <c:v>156.80980428808306</c:v>
                </c:pt>
                <c:pt idx="7">
                  <c:v>156.80980428808306</c:v>
                </c:pt>
                <c:pt idx="8">
                  <c:v>156.80980428808306</c:v>
                </c:pt>
                <c:pt idx="9">
                  <c:v>156.80980428808306</c:v>
                </c:pt>
                <c:pt idx="10">
                  <c:v>156.80980428808306</c:v>
                </c:pt>
                <c:pt idx="11">
                  <c:v>156.80980428808306</c:v>
                </c:pt>
                <c:pt idx="12">
                  <c:v>156.80980428808306</c:v>
                </c:pt>
                <c:pt idx="13">
                  <c:v>156.80980428808306</c:v>
                </c:pt>
                <c:pt idx="14">
                  <c:v>156.80980428808306</c:v>
                </c:pt>
                <c:pt idx="15">
                  <c:v>156.80980428808306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A6CB-4E50-AC4F-F1ED0E69E159}"/>
            </c:ext>
          </c:extLst>
        </c:ser>
        <c:ser>
          <c:idx val="0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Tramificación!$C$9:$C$57</c:f>
              <c:numCache>
                <c:formatCode>General</c:formatCode>
                <c:ptCount val="4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</c:numCache>
            </c:numRef>
          </c:xVal>
          <c:yVal>
            <c:numRef>
              <c:f>Tramificación!$F$9:$F$57</c:f>
              <c:numCache>
                <c:formatCode>0.00</c:formatCode>
                <c:ptCount val="49"/>
                <c:pt idx="0">
                  <c:v>98.003698634810036</c:v>
                </c:pt>
                <c:pt idx="1">
                  <c:v>98.003698634810036</c:v>
                </c:pt>
                <c:pt idx="2">
                  <c:v>90.586007193000626</c:v>
                </c:pt>
                <c:pt idx="3">
                  <c:v>86.684601897386656</c:v>
                </c:pt>
                <c:pt idx="4">
                  <c:v>101.54493458173789</c:v>
                </c:pt>
                <c:pt idx="5">
                  <c:v>104.98788344684891</c:v>
                </c:pt>
                <c:pt idx="6">
                  <c:v>104.98788344684891</c:v>
                </c:pt>
                <c:pt idx="7">
                  <c:v>104.98788344684891</c:v>
                </c:pt>
                <c:pt idx="8">
                  <c:v>111.61093701426235</c:v>
                </c:pt>
                <c:pt idx="9">
                  <c:v>101.54493458173789</c:v>
                </c:pt>
                <c:pt idx="10">
                  <c:v>114.80446294741726</c:v>
                </c:pt>
                <c:pt idx="11">
                  <c:v>114.80446294741726</c:v>
                </c:pt>
                <c:pt idx="12">
                  <c:v>114.80446294741726</c:v>
                </c:pt>
                <c:pt idx="13">
                  <c:v>114.80446294741726</c:v>
                </c:pt>
                <c:pt idx="14">
                  <c:v>114.80446294741726</c:v>
                </c:pt>
                <c:pt idx="15">
                  <c:v>114.80446294741726</c:v>
                </c:pt>
                <c:pt idx="16">
                  <c:v>114.80446294741726</c:v>
                </c:pt>
                <c:pt idx="17">
                  <c:v>114.80446294741726</c:v>
                </c:pt>
                <c:pt idx="18">
                  <c:v>114.80446294741726</c:v>
                </c:pt>
                <c:pt idx="19">
                  <c:v>86.684601897386656</c:v>
                </c:pt>
                <c:pt idx="20">
                  <c:v>90.586007193000626</c:v>
                </c:pt>
                <c:pt idx="21">
                  <c:v>114.80446294741726</c:v>
                </c:pt>
                <c:pt idx="22">
                  <c:v>129.79539321122613</c:v>
                </c:pt>
                <c:pt idx="23">
                  <c:v>132.62567738409976</c:v>
                </c:pt>
                <c:pt idx="24">
                  <c:v>143.48581332099121</c:v>
                </c:pt>
                <c:pt idx="25">
                  <c:v>143.48581332099121</c:v>
                </c:pt>
                <c:pt idx="26">
                  <c:v>143.48581332099121</c:v>
                </c:pt>
                <c:pt idx="27">
                  <c:v>146.09696878281605</c:v>
                </c:pt>
                <c:pt idx="28">
                  <c:v>165.75926316924642</c:v>
                </c:pt>
                <c:pt idx="29">
                  <c:v>168.0835720320332</c:v>
                </c:pt>
                <c:pt idx="30">
                  <c:v>190.03157860019411</c:v>
                </c:pt>
                <c:pt idx="31">
                  <c:v>151.20805971683163</c:v>
                </c:pt>
                <c:pt idx="32">
                  <c:v>179.3325633500514</c:v>
                </c:pt>
                <c:pt idx="33">
                  <c:v>151.20805971683163</c:v>
                </c:pt>
                <c:pt idx="34">
                  <c:v>153.71125840213801</c:v>
                </c:pt>
                <c:pt idx="35">
                  <c:v>190.03157860019411</c:v>
                </c:pt>
                <c:pt idx="36">
                  <c:v>177.12964235970134</c:v>
                </c:pt>
                <c:pt idx="37">
                  <c:v>143.48581332099121</c:v>
                </c:pt>
                <c:pt idx="38">
                  <c:v>94.354516453663848</c:v>
                </c:pt>
                <c:pt idx="39">
                  <c:v>90.586007193000626</c:v>
                </c:pt>
                <c:pt idx="40">
                  <c:v>81.658986666412488</c:v>
                </c:pt>
                <c:pt idx="41">
                  <c:v>94.354516453663848</c:v>
                </c:pt>
                <c:pt idx="42">
                  <c:v>106.79043675953793</c:v>
                </c:pt>
                <c:pt idx="43">
                  <c:v>99.74213088795689</c:v>
                </c:pt>
                <c:pt idx="44">
                  <c:v>102.07125379753373</c:v>
                </c:pt>
                <c:pt idx="45">
                  <c:v>105.47404499035791</c:v>
                </c:pt>
                <c:pt idx="46">
                  <c:v>106.79043675953793</c:v>
                </c:pt>
                <c:pt idx="47">
                  <c:v>107.93665922417256</c:v>
                </c:pt>
                <c:pt idx="48">
                  <c:v>86.684601897386656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A6CB-4E50-AC4F-F1ED0E69E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110416"/>
        <c:axId val="1532369872"/>
      </c:scatterChart>
      <c:valAx>
        <c:axId val="148311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Distancia [km]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369872"/>
        <c:crosses val="autoZero"/>
        <c:crossBetween val="midCat"/>
        <c:majorUnit val="1"/>
      </c:valAx>
      <c:valAx>
        <c:axId val="1532369872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Mr de diseño [MPa]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11041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5" Type="http://schemas.openxmlformats.org/officeDocument/2006/relationships/chart" Target="../charts/chart1.xml"/><Relationship Id="rId4" Type="http://schemas.openxmlformats.org/officeDocument/2006/relationships/image" Target="../media/image6.png"/><Relationship Id="rId9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jp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3.png"/><Relationship Id="rId7" Type="http://schemas.openxmlformats.org/officeDocument/2006/relationships/image" Target="../media/image26.png"/><Relationship Id="rId2" Type="http://schemas.openxmlformats.org/officeDocument/2006/relationships/image" Target="../media/image22.png"/><Relationship Id="rId1" Type="http://schemas.openxmlformats.org/officeDocument/2006/relationships/image" Target="../media/image11.png"/><Relationship Id="rId6" Type="http://schemas.openxmlformats.org/officeDocument/2006/relationships/image" Target="../media/image25.png"/><Relationship Id="rId5" Type="http://schemas.openxmlformats.org/officeDocument/2006/relationships/image" Target="../media/image12.png"/><Relationship Id="rId4" Type="http://schemas.openxmlformats.org/officeDocument/2006/relationships/image" Target="../media/image24.png"/><Relationship Id="rId9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121920</xdr:colOff>
      <xdr:row>0</xdr:row>
      <xdr:rowOff>167641</xdr:rowOff>
    </xdr:from>
    <xdr:to>
      <xdr:col>12</xdr:col>
      <xdr:colOff>378217</xdr:colOff>
      <xdr:row>19</xdr:row>
      <xdr:rowOff>17146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46282ED-6103-4638-8477-98D45EEA4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3720" y="167641"/>
          <a:ext cx="4112017" cy="3390900"/>
        </a:xfrm>
        <a:prstGeom prst="rect">
          <a:avLst/>
        </a:prstGeom>
      </xdr:spPr>
    </xdr:pic>
    <xdr:clientData/>
  </xdr:twoCellAnchor>
  <xdr:oneCellAnchor>
    <xdr:from>
      <xdr:col>14</xdr:col>
      <xdr:colOff>806825</xdr:colOff>
      <xdr:row>0</xdr:row>
      <xdr:rowOff>130885</xdr:rowOff>
    </xdr:from>
    <xdr:ext cx="1638529" cy="1028844"/>
    <xdr:pic>
      <xdr:nvPicPr>
        <xdr:cNvPr id="10" name="Picture 9">
          <a:extLst>
            <a:ext uri="{FF2B5EF4-FFF2-40B4-BE49-F238E27FC236}">
              <a16:creationId xmlns:a16="http://schemas.microsoft.com/office/drawing/2014/main" id="{3B98A127-AA61-45AF-8738-542EA1EA9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26354" y="130885"/>
          <a:ext cx="1638529" cy="10288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13</xdr:col>
      <xdr:colOff>21516</xdr:colOff>
      <xdr:row>0</xdr:row>
      <xdr:rowOff>134470</xdr:rowOff>
    </xdr:from>
    <xdr:ext cx="1314633" cy="1162212"/>
    <xdr:pic>
      <xdr:nvPicPr>
        <xdr:cNvPr id="11" name="Picture 10">
          <a:extLst>
            <a:ext uri="{FF2B5EF4-FFF2-40B4-BE49-F238E27FC236}">
              <a16:creationId xmlns:a16="http://schemas.microsoft.com/office/drawing/2014/main" id="{BEF24100-0956-4CC2-8EE2-C22321D6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6316" y="134470"/>
          <a:ext cx="1314633" cy="11622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13</xdr:col>
      <xdr:colOff>179293</xdr:colOff>
      <xdr:row>7</xdr:row>
      <xdr:rowOff>161364</xdr:rowOff>
    </xdr:from>
    <xdr:to>
      <xdr:col>16</xdr:col>
      <xdr:colOff>430701</xdr:colOff>
      <xdr:row>18</xdr:row>
      <xdr:rowOff>135707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1C1E0-4511-C1F3-ABBC-3F508FE3F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14093" y="1416423"/>
          <a:ext cx="3030467" cy="2002047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47</xdr:row>
      <xdr:rowOff>85725</xdr:rowOff>
    </xdr:from>
    <xdr:to>
      <xdr:col>7</xdr:col>
      <xdr:colOff>638175</xdr:colOff>
      <xdr:row>66</xdr:row>
      <xdr:rowOff>38100</xdr:rowOff>
    </xdr:to>
    <xdr:graphicFrame macro="">
      <xdr:nvGraphicFramePr>
        <xdr:cNvPr id="18" name="Chart 12">
          <a:extLst>
            <a:ext uri="{FF2B5EF4-FFF2-40B4-BE49-F238E27FC236}">
              <a16:creationId xmlns:a16="http://schemas.microsoft.com/office/drawing/2014/main" id="{A39299D2-7C74-D5E0-2C26-26BF9D37D67A}"/>
            </a:ext>
            <a:ext uri="{147F2762-F138-4A5C-976F-8EAC2B608ADB}">
              <a16:predDERef xmlns:a16="http://schemas.microsoft.com/office/drawing/2014/main" pred="{B921C1E0-4511-C1F3-ABBC-3F508FE3F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18</xdr:col>
      <xdr:colOff>123825</xdr:colOff>
      <xdr:row>2</xdr:row>
      <xdr:rowOff>38100</xdr:rowOff>
    </xdr:from>
    <xdr:to>
      <xdr:col>23</xdr:col>
      <xdr:colOff>484094</xdr:colOff>
      <xdr:row>10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79E060B-41F6-4A6E-92EC-29B7CDA43833}"/>
            </a:ext>
            <a:ext uri="{147F2762-F138-4A5C-976F-8EAC2B608ADB}">
              <a16:predDERef xmlns:a16="http://schemas.microsoft.com/office/drawing/2014/main" pred="{A39299D2-7C74-D5E0-2C26-26BF9D37D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49550" y="400050"/>
          <a:ext cx="3876675" cy="1419225"/>
        </a:xfrm>
        <a:prstGeom prst="rect">
          <a:avLst/>
        </a:prstGeom>
      </xdr:spPr>
    </xdr:pic>
    <xdr:clientData/>
  </xdr:twoCellAnchor>
  <xdr:twoCellAnchor editAs="oneCell">
    <xdr:from>
      <xdr:col>24</xdr:col>
      <xdr:colOff>598170</xdr:colOff>
      <xdr:row>1</xdr:row>
      <xdr:rowOff>47625</xdr:rowOff>
    </xdr:from>
    <xdr:to>
      <xdr:col>32</xdr:col>
      <xdr:colOff>283845</xdr:colOff>
      <xdr:row>12</xdr:row>
      <xdr:rowOff>38100</xdr:rowOff>
    </xdr:to>
    <xdr:pic>
      <xdr:nvPicPr>
        <xdr:cNvPr id="4" name="Imagen 2">
          <a:extLst>
            <a:ext uri="{FF2B5EF4-FFF2-40B4-BE49-F238E27FC236}">
              <a16:creationId xmlns:a16="http://schemas.microsoft.com/office/drawing/2014/main" id="{76B01240-1FE3-EF37-5FDE-18C572BC6084}"/>
            </a:ext>
            <a:ext uri="{147F2762-F138-4A5C-976F-8EAC2B608ADB}">
              <a16:predDERef xmlns:a16="http://schemas.microsoft.com/office/drawing/2014/main" pred="{979E060B-41F6-4A6E-92EC-29B7CDA43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250150" y="230505"/>
          <a:ext cx="4562475" cy="1990725"/>
        </a:xfrm>
        <a:prstGeom prst="rect">
          <a:avLst/>
        </a:prstGeom>
      </xdr:spPr>
    </xdr:pic>
    <xdr:clientData/>
  </xdr:twoCellAnchor>
  <xdr:twoCellAnchor editAs="oneCell">
    <xdr:from>
      <xdr:col>7</xdr:col>
      <xdr:colOff>876300</xdr:colOff>
      <xdr:row>47</xdr:row>
      <xdr:rowOff>123825</xdr:rowOff>
    </xdr:from>
    <xdr:to>
      <xdr:col>12</xdr:col>
      <xdr:colOff>857250</xdr:colOff>
      <xdr:row>58</xdr:row>
      <xdr:rowOff>133350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56F2C09-F154-4830-A9F9-5CCC679CBB5F}"/>
            </a:ext>
            <a:ext uri="{147F2762-F138-4A5C-976F-8EAC2B608ADB}">
              <a16:predDERef xmlns:a16="http://schemas.microsoft.com/office/drawing/2014/main" pred="{76B01240-1FE3-EF37-5FDE-18C572BC6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62700" y="8734425"/>
          <a:ext cx="4848225" cy="2000250"/>
        </a:xfrm>
        <a:prstGeom prst="rect">
          <a:avLst/>
        </a:prstGeom>
      </xdr:spPr>
    </xdr:pic>
    <xdr:clientData/>
  </xdr:twoCellAnchor>
  <xdr:twoCellAnchor>
    <xdr:from>
      <xdr:col>21</xdr:col>
      <xdr:colOff>111611</xdr:colOff>
      <xdr:row>25</xdr:row>
      <xdr:rowOff>93456</xdr:rowOff>
    </xdr:from>
    <xdr:to>
      <xdr:col>30</xdr:col>
      <xdr:colOff>312869</xdr:colOff>
      <xdr:row>43</xdr:row>
      <xdr:rowOff>142986</xdr:rowOff>
    </xdr:to>
    <xdr:graphicFrame macro="">
      <xdr:nvGraphicFramePr>
        <xdr:cNvPr id="21" name="Gráfico 2">
          <a:extLst>
            <a:ext uri="{FF2B5EF4-FFF2-40B4-BE49-F238E27FC236}">
              <a16:creationId xmlns:a16="http://schemas.microsoft.com/office/drawing/2014/main" id="{5BBB1137-37B6-92B5-057D-79A61ADA5129}"/>
            </a:ext>
            <a:ext uri="{147F2762-F138-4A5C-976F-8EAC2B608ADB}">
              <a16:predDERef xmlns:a16="http://schemas.microsoft.com/office/drawing/2014/main" pred="{756F2C09-F154-4830-A9F9-5CCC679CB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484667</xdr:colOff>
      <xdr:row>14</xdr:row>
      <xdr:rowOff>161801</xdr:rowOff>
    </xdr:from>
    <xdr:to>
      <xdr:col>35</xdr:col>
      <xdr:colOff>485774</xdr:colOff>
      <xdr:row>31</xdr:row>
      <xdr:rowOff>146958</xdr:rowOff>
    </xdr:to>
    <xdr:graphicFrame macro="">
      <xdr:nvGraphicFramePr>
        <xdr:cNvPr id="4" name="Chart 5">
          <a:extLst>
            <a:ext uri="{FF2B5EF4-FFF2-40B4-BE49-F238E27FC236}">
              <a16:creationId xmlns:a16="http://schemas.microsoft.com/office/drawing/2014/main" id="{50782423-A463-E9D2-5C8B-57B00E318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561975</xdr:colOff>
      <xdr:row>19</xdr:row>
      <xdr:rowOff>152400</xdr:rowOff>
    </xdr:from>
    <xdr:to>
      <xdr:col>33</xdr:col>
      <xdr:colOff>542925</xdr:colOff>
      <xdr:row>23</xdr:row>
      <xdr:rowOff>114300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F5C0F94-A87F-4F99-91AA-B4CB3C3C8CA3}"/>
            </a:ext>
            <a:ext uri="{147F2762-F138-4A5C-976F-8EAC2B608ADB}">
              <a16:predDERef xmlns:a16="http://schemas.microsoft.com/office/drawing/2014/main" pred="{50782423-A463-E9D2-5C8B-57B00E318034}"/>
            </a:ext>
          </a:extLst>
        </xdr:cNvPr>
        <xdr:cNvSpPr txBox="1"/>
      </xdr:nvSpPr>
      <xdr:spPr>
        <a:xfrm>
          <a:off x="21383625" y="3705225"/>
          <a:ext cx="120015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1" i="0" u="sng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Tramo 3</a:t>
          </a:r>
          <a:endParaRPr lang="en-US" sz="1100" b="1" i="0" u="none" strike="noStrike">
            <a:solidFill>
              <a:srgbClr val="00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marL="0" indent="0" algn="ctr"/>
          <a:r>
            <a:rPr lang="en-US" sz="11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CBR = 15%</a:t>
          </a:r>
        </a:p>
        <a:p>
          <a:pPr marL="0" indent="0" algn="ctr"/>
          <a:r>
            <a:rPr lang="en-US" sz="11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MR = 98 MPa</a:t>
          </a:r>
        </a:p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1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CV = 9%</a:t>
          </a:r>
        </a:p>
      </xdr:txBody>
    </xdr:sp>
    <xdr:clientData/>
  </xdr:twoCellAnchor>
  <xdr:twoCellAnchor editAs="oneCell">
    <xdr:from>
      <xdr:col>15</xdr:col>
      <xdr:colOff>485775</xdr:colOff>
      <xdr:row>4</xdr:row>
      <xdr:rowOff>171450</xdr:rowOff>
    </xdr:from>
    <xdr:to>
      <xdr:col>23</xdr:col>
      <xdr:colOff>200025</xdr:colOff>
      <xdr:row>10</xdr:row>
      <xdr:rowOff>104775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47CEE91-B5B0-7575-80D7-224369BF6A5B}"/>
            </a:ext>
            <a:ext uri="{147F2762-F138-4A5C-976F-8EAC2B608ADB}">
              <a16:predDERef xmlns:a16="http://schemas.microsoft.com/office/drawing/2014/main" pred="{EF5C0F94-A87F-4F99-91AA-B4CB3C3C8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20475" y="895350"/>
          <a:ext cx="4438650" cy="1019175"/>
        </a:xfrm>
        <a:prstGeom prst="rect">
          <a:avLst/>
        </a:prstGeom>
      </xdr:spPr>
    </xdr:pic>
    <xdr:clientData/>
  </xdr:twoCellAnchor>
  <xdr:twoCellAnchor>
    <xdr:from>
      <xdr:col>27</xdr:col>
      <xdr:colOff>257175</xdr:colOff>
      <xdr:row>23</xdr:row>
      <xdr:rowOff>142875</xdr:rowOff>
    </xdr:from>
    <xdr:to>
      <xdr:col>29</xdr:col>
      <xdr:colOff>238125</xdr:colOff>
      <xdr:row>27</xdr:row>
      <xdr:rowOff>104775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28B3A1B4-7581-4B3E-B214-4346559FAC0F}"/>
            </a:ext>
            <a:ext uri="{147F2762-F138-4A5C-976F-8EAC2B608ADB}">
              <a16:predDERef xmlns:a16="http://schemas.microsoft.com/office/drawing/2014/main" pred="{B47CEE91-B5B0-7575-80D7-224369BF6A5B}"/>
            </a:ext>
          </a:extLst>
        </xdr:cNvPr>
        <xdr:cNvSpPr txBox="1"/>
      </xdr:nvSpPr>
      <xdr:spPr>
        <a:xfrm>
          <a:off x="18640425" y="4457700"/>
          <a:ext cx="120015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1" i="0" u="sng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Tramo 2</a:t>
          </a:r>
          <a:endParaRPr lang="en-US" sz="1100" b="1" i="0" u="none" strike="noStrike">
            <a:solidFill>
              <a:srgbClr val="00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marL="0" indent="0" algn="ctr"/>
          <a:r>
            <a:rPr lang="en-US" sz="11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CBR = 35%</a:t>
          </a:r>
        </a:p>
        <a:p>
          <a:pPr marL="0" indent="0" algn="ctr"/>
          <a:r>
            <a:rPr lang="en-US" sz="11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MR = 157 MPa</a:t>
          </a:r>
        </a:p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1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CV = 12%</a:t>
          </a:r>
        </a:p>
      </xdr:txBody>
    </xdr:sp>
    <xdr:clientData/>
  </xdr:twoCellAnchor>
  <xdr:twoCellAnchor>
    <xdr:from>
      <xdr:col>20</xdr:col>
      <xdr:colOff>533400</xdr:colOff>
      <xdr:row>19</xdr:row>
      <xdr:rowOff>0</xdr:rowOff>
    </xdr:from>
    <xdr:to>
      <xdr:col>22</xdr:col>
      <xdr:colOff>514350</xdr:colOff>
      <xdr:row>22</xdr:row>
      <xdr:rowOff>152400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DA84DAA4-B43E-460A-8572-527A7ECAC6D4}"/>
            </a:ext>
            <a:ext uri="{147F2762-F138-4A5C-976F-8EAC2B608ADB}">
              <a16:predDERef xmlns:a16="http://schemas.microsoft.com/office/drawing/2014/main" pred="{28B3A1B4-7581-4B3E-B214-4346559FAC0F}"/>
            </a:ext>
          </a:extLst>
        </xdr:cNvPr>
        <xdr:cNvSpPr txBox="1"/>
      </xdr:nvSpPr>
      <xdr:spPr>
        <a:xfrm>
          <a:off x="14649450" y="3552825"/>
          <a:ext cx="120015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1" i="0" u="sng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Tramo 1</a:t>
          </a:r>
          <a:endParaRPr lang="en-US" sz="1100" b="1" i="0" u="none" strike="noStrike">
            <a:solidFill>
              <a:srgbClr val="00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marL="0" indent="0" algn="ctr"/>
          <a:r>
            <a:rPr lang="en-US" sz="11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CBR = 17%</a:t>
          </a:r>
        </a:p>
        <a:p>
          <a:pPr marL="0" indent="0" algn="ctr"/>
          <a:r>
            <a:rPr lang="en-US" sz="11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MR = 106 MPa</a:t>
          </a:r>
        </a:p>
        <a:p>
          <a:pPr marL="0" indent="0" algn="ctr"/>
          <a:r>
            <a:rPr lang="en-US" sz="11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CV = 9%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198120</xdr:colOff>
      <xdr:row>29</xdr:row>
      <xdr:rowOff>59055</xdr:rowOff>
    </xdr:from>
    <xdr:to>
      <xdr:col>18</xdr:col>
      <xdr:colOff>83820</xdr:colOff>
      <xdr:row>30</xdr:row>
      <xdr:rowOff>144780</xdr:rowOff>
    </xdr:to>
    <xdr:pic>
      <xdr:nvPicPr>
        <xdr:cNvPr id="26" name="Imagen 1">
          <a:extLst>
            <a:ext uri="{FF2B5EF4-FFF2-40B4-BE49-F238E27FC236}">
              <a16:creationId xmlns:a16="http://schemas.microsoft.com/office/drawing/2014/main" id="{8432F027-98AE-4ECC-96AE-7929BC804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18320" y="5307330"/>
          <a:ext cx="4533900" cy="266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112395</xdr:colOff>
      <xdr:row>38</xdr:row>
      <xdr:rowOff>40005</xdr:rowOff>
    </xdr:from>
    <xdr:to>
      <xdr:col>19</xdr:col>
      <xdr:colOff>213360</xdr:colOff>
      <xdr:row>54</xdr:row>
      <xdr:rowOff>62448</xdr:rowOff>
    </xdr:to>
    <xdr:pic>
      <xdr:nvPicPr>
        <xdr:cNvPr id="5" name="Imagen 2">
          <a:extLst>
            <a:ext uri="{FF2B5EF4-FFF2-40B4-BE49-F238E27FC236}">
              <a16:creationId xmlns:a16="http://schemas.microsoft.com/office/drawing/2014/main" id="{354F31CD-AA4F-443B-B516-409C44EB6A3C}"/>
            </a:ext>
            <a:ext uri="{147F2762-F138-4A5C-976F-8EAC2B608ADB}">
              <a16:predDERef xmlns:a16="http://schemas.microsoft.com/office/drawing/2014/main" pred="{8432F027-98AE-4ECC-96AE-7929BC804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2595" y="6917055"/>
          <a:ext cx="5511165" cy="2918043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171450</xdr:colOff>
      <xdr:row>31</xdr:row>
      <xdr:rowOff>57150</xdr:rowOff>
    </xdr:from>
    <xdr:to>
      <xdr:col>20</xdr:col>
      <xdr:colOff>161925</xdr:colOff>
      <xdr:row>39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54C42A7-55A3-4922-8634-E1E00A50DBE9}"/>
            </a:ext>
            <a:ext uri="{147F2762-F138-4A5C-976F-8EAC2B608ADB}">
              <a16:predDERef xmlns:a16="http://schemas.microsoft.com/office/drawing/2014/main" pred="{354F31CD-AA4F-443B-B516-409C44EB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1650" y="5667375"/>
          <a:ext cx="6162675" cy="1400175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17</xdr:row>
      <xdr:rowOff>133350</xdr:rowOff>
    </xdr:from>
    <xdr:to>
      <xdr:col>18</xdr:col>
      <xdr:colOff>133350</xdr:colOff>
      <xdr:row>28</xdr:row>
      <xdr:rowOff>95250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2FA4FDD-5A34-6FBF-76A5-DDF63093473F}"/>
            </a:ext>
            <a:ext uri="{147F2762-F138-4A5C-976F-8EAC2B608ADB}">
              <a16:predDERef xmlns:a16="http://schemas.microsoft.com/office/drawing/2014/main" pred="{D54C42A7-55A3-4922-8634-E1E00A50D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39275" y="3209925"/>
          <a:ext cx="4562475" cy="200977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28</xdr:col>
      <xdr:colOff>744855</xdr:colOff>
      <xdr:row>17</xdr:row>
      <xdr:rowOff>91440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C62F66BB-7E9D-4A6D-BD3C-5A1B4A55AFC0}"/>
            </a:ext>
            <a:ext uri="{147F2762-F138-4A5C-976F-8EAC2B608ADB}">
              <a16:predDERef xmlns:a16="http://schemas.microsoft.com/office/drawing/2014/main" pred="{DA504C34-8738-6590-2D66-76A73E8AB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95620" y="914400"/>
          <a:ext cx="4554855" cy="2367915"/>
        </a:xfrm>
        <a:prstGeom prst="rect">
          <a:avLst/>
        </a:prstGeom>
      </xdr:spPr>
    </xdr:pic>
    <xdr:clientData/>
  </xdr:twoCellAnchor>
  <xdr:twoCellAnchor editAs="oneCell">
    <xdr:from>
      <xdr:col>22</xdr:col>
      <xdr:colOff>769621</xdr:colOff>
      <xdr:row>18</xdr:row>
      <xdr:rowOff>99060</xdr:rowOff>
    </xdr:from>
    <xdr:to>
      <xdr:col>28</xdr:col>
      <xdr:colOff>310845</xdr:colOff>
      <xdr:row>36</xdr:row>
      <xdr:rowOff>47625</xdr:rowOff>
    </xdr:to>
    <xdr:pic>
      <xdr:nvPicPr>
        <xdr:cNvPr id="9" name="Imagen 66">
          <a:extLst>
            <a:ext uri="{FF2B5EF4-FFF2-40B4-BE49-F238E27FC236}">
              <a16:creationId xmlns:a16="http://schemas.microsoft.com/office/drawing/2014/main" id="{4A9A435F-6D2A-C489-41C7-49CBC9EE9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72761" y="3390900"/>
          <a:ext cx="4151324" cy="32537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213360</xdr:colOff>
      <xdr:row>14</xdr:row>
      <xdr:rowOff>15240</xdr:rowOff>
    </xdr:from>
    <xdr:to>
      <xdr:col>19</xdr:col>
      <xdr:colOff>251460</xdr:colOff>
      <xdr:row>15</xdr:row>
      <xdr:rowOff>121920</xdr:rowOff>
    </xdr:to>
    <xdr:sp macro="" textlink="">
      <xdr:nvSpPr>
        <xdr:cNvPr id="4" name="Rectángulo 32">
          <a:extLst>
            <a:ext uri="{FF2B5EF4-FFF2-40B4-BE49-F238E27FC236}">
              <a16:creationId xmlns:a16="http://schemas.microsoft.com/office/drawing/2014/main" id="{19C6941D-AD5B-4BC7-9E62-13213910C0F8}"/>
            </a:ext>
          </a:extLst>
        </xdr:cNvPr>
        <xdr:cNvSpPr/>
      </xdr:nvSpPr>
      <xdr:spPr>
        <a:xfrm>
          <a:off x="9875520" y="2590800"/>
          <a:ext cx="1257300" cy="2895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200" b="1">
              <a:solidFill>
                <a:sysClr val="windowText" lastClr="000000"/>
              </a:solidFill>
            </a:rPr>
            <a:t>[1]</a:t>
          </a:r>
          <a:endParaRPr lang="es-MX" sz="1200" b="1"/>
        </a:p>
      </xdr:txBody>
    </xdr:sp>
    <xdr:clientData/>
  </xdr:twoCellAnchor>
  <xdr:twoCellAnchor>
    <xdr:from>
      <xdr:col>19</xdr:col>
      <xdr:colOff>441960</xdr:colOff>
      <xdr:row>14</xdr:row>
      <xdr:rowOff>45721</xdr:rowOff>
    </xdr:from>
    <xdr:to>
      <xdr:col>20</xdr:col>
      <xdr:colOff>267759</xdr:colOff>
      <xdr:row>17</xdr:row>
      <xdr:rowOff>50213</xdr:rowOff>
    </xdr:to>
    <xdr:sp macro="" textlink="">
      <xdr:nvSpPr>
        <xdr:cNvPr id="5" name="Rectángulo 25">
          <a:extLst>
            <a:ext uri="{FF2B5EF4-FFF2-40B4-BE49-F238E27FC236}">
              <a16:creationId xmlns:a16="http://schemas.microsoft.com/office/drawing/2014/main" id="{8B3E5A6E-2FD1-4E50-9A26-A151FBE8E0DB}"/>
            </a:ext>
          </a:extLst>
        </xdr:cNvPr>
        <xdr:cNvSpPr/>
      </xdr:nvSpPr>
      <xdr:spPr>
        <a:xfrm>
          <a:off x="11323320" y="2621281"/>
          <a:ext cx="435399" cy="55313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200" b="1">
            <a:solidFill>
              <a:sysClr val="windowText" lastClr="000000"/>
            </a:solidFill>
          </a:endParaRPr>
        </a:p>
        <a:p>
          <a:pPr algn="l"/>
          <a:r>
            <a:rPr lang="es-MX" sz="1200" b="1">
              <a:solidFill>
                <a:sysClr val="windowText" lastClr="000000"/>
              </a:solidFill>
            </a:rPr>
            <a:t>[2]</a:t>
          </a:r>
          <a:endParaRPr lang="es-MX" sz="1200" b="1"/>
        </a:p>
      </xdr:txBody>
    </xdr:sp>
    <xdr:clientData/>
  </xdr:twoCellAnchor>
  <xdr:twoCellAnchor>
    <xdr:from>
      <xdr:col>20</xdr:col>
      <xdr:colOff>441960</xdr:colOff>
      <xdr:row>14</xdr:row>
      <xdr:rowOff>22860</xdr:rowOff>
    </xdr:from>
    <xdr:to>
      <xdr:col>23</xdr:col>
      <xdr:colOff>464820</xdr:colOff>
      <xdr:row>16</xdr:row>
      <xdr:rowOff>121371</xdr:rowOff>
    </xdr:to>
    <xdr:sp macro="" textlink="">
      <xdr:nvSpPr>
        <xdr:cNvPr id="6" name="Rectángulo 26">
          <a:extLst>
            <a:ext uri="{FF2B5EF4-FFF2-40B4-BE49-F238E27FC236}">
              <a16:creationId xmlns:a16="http://schemas.microsoft.com/office/drawing/2014/main" id="{DEF503DF-695F-4F47-8D7D-588D4656C743}"/>
            </a:ext>
          </a:extLst>
        </xdr:cNvPr>
        <xdr:cNvSpPr/>
      </xdr:nvSpPr>
      <xdr:spPr>
        <a:xfrm>
          <a:off x="11932920" y="2598420"/>
          <a:ext cx="1851660" cy="4642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200" b="1">
            <a:solidFill>
              <a:sysClr val="windowText" lastClr="000000"/>
            </a:solidFill>
          </a:endParaRPr>
        </a:p>
        <a:p>
          <a:pPr algn="l"/>
          <a:r>
            <a:rPr lang="es-MX" sz="1200" b="1">
              <a:solidFill>
                <a:sysClr val="windowText" lastClr="000000"/>
              </a:solidFill>
            </a:rPr>
            <a:t>                      [3]</a:t>
          </a:r>
          <a:endParaRPr lang="es-MX" sz="1200" b="1"/>
        </a:p>
      </xdr:txBody>
    </xdr:sp>
    <xdr:clientData/>
  </xdr:twoCellAnchor>
  <xdr:twoCellAnchor>
    <xdr:from>
      <xdr:col>23</xdr:col>
      <xdr:colOff>464820</xdr:colOff>
      <xdr:row>12</xdr:row>
      <xdr:rowOff>160020</xdr:rowOff>
    </xdr:from>
    <xdr:to>
      <xdr:col>24</xdr:col>
      <xdr:colOff>432864</xdr:colOff>
      <xdr:row>15</xdr:row>
      <xdr:rowOff>120803</xdr:rowOff>
    </xdr:to>
    <xdr:sp macro="" textlink="">
      <xdr:nvSpPr>
        <xdr:cNvPr id="7" name="Rectángulo 27">
          <a:extLst>
            <a:ext uri="{FF2B5EF4-FFF2-40B4-BE49-F238E27FC236}">
              <a16:creationId xmlns:a16="http://schemas.microsoft.com/office/drawing/2014/main" id="{F257012F-CBD3-4393-871C-88054456F7DA}"/>
            </a:ext>
          </a:extLst>
        </xdr:cNvPr>
        <xdr:cNvSpPr/>
      </xdr:nvSpPr>
      <xdr:spPr>
        <a:xfrm>
          <a:off x="13784580" y="2369820"/>
          <a:ext cx="577644" cy="509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200" b="1">
              <a:solidFill>
                <a:sysClr val="windowText" lastClr="000000"/>
              </a:solidFill>
            </a:rPr>
            <a:t>[4]</a:t>
          </a:r>
          <a:endParaRPr lang="es-MX" sz="1200" b="1"/>
        </a:p>
      </xdr:txBody>
    </xdr:sp>
    <xdr:clientData/>
  </xdr:twoCellAnchor>
  <xdr:twoCellAnchor>
    <xdr:from>
      <xdr:col>30</xdr:col>
      <xdr:colOff>273998</xdr:colOff>
      <xdr:row>12</xdr:row>
      <xdr:rowOff>99060</xdr:rowOff>
    </xdr:from>
    <xdr:to>
      <xdr:col>31</xdr:col>
      <xdr:colOff>63602</xdr:colOff>
      <xdr:row>13</xdr:row>
      <xdr:rowOff>163445</xdr:rowOff>
    </xdr:to>
    <xdr:sp macro="" textlink="">
      <xdr:nvSpPr>
        <xdr:cNvPr id="8" name="Rectángulo 28">
          <a:extLst>
            <a:ext uri="{FF2B5EF4-FFF2-40B4-BE49-F238E27FC236}">
              <a16:creationId xmlns:a16="http://schemas.microsoft.com/office/drawing/2014/main" id="{A17F6CFA-15B8-43DD-B5E8-68D7829D2FAC}"/>
            </a:ext>
          </a:extLst>
        </xdr:cNvPr>
        <xdr:cNvSpPr/>
      </xdr:nvSpPr>
      <xdr:spPr>
        <a:xfrm>
          <a:off x="17860958" y="2308860"/>
          <a:ext cx="399204" cy="247265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200" b="1">
              <a:solidFill>
                <a:sysClr val="windowText" lastClr="000000"/>
              </a:solidFill>
            </a:rPr>
            <a:t>[5]</a:t>
          </a:r>
          <a:endParaRPr lang="es-MX" sz="1200" b="1"/>
        </a:p>
      </xdr:txBody>
    </xdr:sp>
    <xdr:clientData/>
  </xdr:twoCellAnchor>
  <xdr:twoCellAnchor>
    <xdr:from>
      <xdr:col>30</xdr:col>
      <xdr:colOff>570013</xdr:colOff>
      <xdr:row>15</xdr:row>
      <xdr:rowOff>181672</xdr:rowOff>
    </xdr:from>
    <xdr:to>
      <xdr:col>31</xdr:col>
      <xdr:colOff>375031</xdr:colOff>
      <xdr:row>17</xdr:row>
      <xdr:rowOff>45859</xdr:rowOff>
    </xdr:to>
    <xdr:sp macro="" textlink="">
      <xdr:nvSpPr>
        <xdr:cNvPr id="9" name="Rectángulo 29">
          <a:extLst>
            <a:ext uri="{FF2B5EF4-FFF2-40B4-BE49-F238E27FC236}">
              <a16:creationId xmlns:a16="http://schemas.microsoft.com/office/drawing/2014/main" id="{DBAC93C1-7CFA-435E-854A-56EFB8280B5E}"/>
            </a:ext>
          </a:extLst>
        </xdr:cNvPr>
        <xdr:cNvSpPr/>
      </xdr:nvSpPr>
      <xdr:spPr>
        <a:xfrm>
          <a:off x="18156973" y="2940112"/>
          <a:ext cx="414618" cy="229947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200" b="1">
              <a:solidFill>
                <a:sysClr val="windowText" lastClr="000000"/>
              </a:solidFill>
            </a:rPr>
            <a:t>[6]</a:t>
          </a:r>
          <a:endParaRPr lang="es-MX" sz="1200" b="1"/>
        </a:p>
      </xdr:txBody>
    </xdr:sp>
    <xdr:clientData/>
  </xdr:twoCellAnchor>
  <xdr:twoCellAnchor>
    <xdr:from>
      <xdr:col>20</xdr:col>
      <xdr:colOff>243840</xdr:colOff>
      <xdr:row>16</xdr:row>
      <xdr:rowOff>159126</xdr:rowOff>
    </xdr:from>
    <xdr:to>
      <xdr:col>23</xdr:col>
      <xdr:colOff>365760</xdr:colOff>
      <xdr:row>18</xdr:row>
      <xdr:rowOff>60405</xdr:rowOff>
    </xdr:to>
    <xdr:sp macro="" textlink="">
      <xdr:nvSpPr>
        <xdr:cNvPr id="10" name="Rectángulo 30">
          <a:extLst>
            <a:ext uri="{FF2B5EF4-FFF2-40B4-BE49-F238E27FC236}">
              <a16:creationId xmlns:a16="http://schemas.microsoft.com/office/drawing/2014/main" id="{4CA049D5-F696-441D-B3D9-0E5732A85436}"/>
            </a:ext>
          </a:extLst>
        </xdr:cNvPr>
        <xdr:cNvSpPr/>
      </xdr:nvSpPr>
      <xdr:spPr>
        <a:xfrm>
          <a:off x="11734800" y="3100446"/>
          <a:ext cx="1950720" cy="2670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200" b="1">
              <a:solidFill>
                <a:sysClr val="windowText" lastClr="000000"/>
              </a:solidFill>
            </a:rPr>
            <a:t>[7]</a:t>
          </a:r>
          <a:endParaRPr lang="es-MX" sz="1200" b="1"/>
        </a:p>
      </xdr:txBody>
    </xdr:sp>
    <xdr:clientData/>
  </xdr:twoCellAnchor>
  <xdr:twoCellAnchor>
    <xdr:from>
      <xdr:col>25</xdr:col>
      <xdr:colOff>30480</xdr:colOff>
      <xdr:row>12</xdr:row>
      <xdr:rowOff>152400</xdr:rowOff>
    </xdr:from>
    <xdr:to>
      <xdr:col>28</xdr:col>
      <xdr:colOff>30480</xdr:colOff>
      <xdr:row>14</xdr:row>
      <xdr:rowOff>144780</xdr:rowOff>
    </xdr:to>
    <xdr:sp macro="" textlink="">
      <xdr:nvSpPr>
        <xdr:cNvPr id="12" name="Rectángulo 28">
          <a:extLst>
            <a:ext uri="{FF2B5EF4-FFF2-40B4-BE49-F238E27FC236}">
              <a16:creationId xmlns:a16="http://schemas.microsoft.com/office/drawing/2014/main" id="{E5FEBBA1-B100-490B-8E76-9DA1CFE4D896}"/>
            </a:ext>
          </a:extLst>
        </xdr:cNvPr>
        <xdr:cNvSpPr/>
      </xdr:nvSpPr>
      <xdr:spPr>
        <a:xfrm>
          <a:off x="14569440" y="2362200"/>
          <a:ext cx="1828800" cy="3581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200" b="1">
              <a:solidFill>
                <a:sysClr val="windowText" lastClr="000000"/>
              </a:solidFill>
            </a:rPr>
            <a:t>                                          [5]</a:t>
          </a:r>
          <a:endParaRPr lang="es-MX" sz="1200" b="1"/>
        </a:p>
      </xdr:txBody>
    </xdr:sp>
    <xdr:clientData/>
  </xdr:twoCellAnchor>
  <xdr:twoCellAnchor>
    <xdr:from>
      <xdr:col>25</xdr:col>
      <xdr:colOff>7620</xdr:colOff>
      <xdr:row>15</xdr:row>
      <xdr:rowOff>7620</xdr:rowOff>
    </xdr:from>
    <xdr:to>
      <xdr:col>27</xdr:col>
      <xdr:colOff>510540</xdr:colOff>
      <xdr:row>18</xdr:row>
      <xdr:rowOff>114300</xdr:rowOff>
    </xdr:to>
    <xdr:sp macro="" textlink="">
      <xdr:nvSpPr>
        <xdr:cNvPr id="14" name="Rectángulo 28">
          <a:extLst>
            <a:ext uri="{FF2B5EF4-FFF2-40B4-BE49-F238E27FC236}">
              <a16:creationId xmlns:a16="http://schemas.microsoft.com/office/drawing/2014/main" id="{29BB904D-7708-452E-A24E-F9666C0BB2CA}"/>
            </a:ext>
          </a:extLst>
        </xdr:cNvPr>
        <xdr:cNvSpPr/>
      </xdr:nvSpPr>
      <xdr:spPr>
        <a:xfrm>
          <a:off x="14546580" y="2766060"/>
          <a:ext cx="1722120" cy="655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200" b="1">
            <a:solidFill>
              <a:sysClr val="windowText" lastClr="000000"/>
            </a:solidFill>
          </a:endParaRPr>
        </a:p>
        <a:p>
          <a:pPr algn="l"/>
          <a:endParaRPr lang="es-MX" sz="1200" b="1">
            <a:solidFill>
              <a:sysClr val="windowText" lastClr="000000"/>
            </a:solidFill>
          </a:endParaRPr>
        </a:p>
        <a:p>
          <a:pPr algn="l"/>
          <a:r>
            <a:rPr lang="es-MX" sz="1200" b="1">
              <a:solidFill>
                <a:sysClr val="windowText" lastClr="000000"/>
              </a:solidFill>
            </a:rPr>
            <a:t>[6]</a:t>
          </a:r>
          <a:endParaRPr lang="es-MX" sz="1200" b="1"/>
        </a:p>
      </xdr:txBody>
    </xdr:sp>
    <xdr:clientData/>
  </xdr:twoCellAnchor>
  <xdr:twoCellAnchor>
    <xdr:from>
      <xdr:col>23</xdr:col>
      <xdr:colOff>388620</xdr:colOff>
      <xdr:row>15</xdr:row>
      <xdr:rowOff>121920</xdr:rowOff>
    </xdr:from>
    <xdr:to>
      <xdr:col>24</xdr:col>
      <xdr:colOff>366430</xdr:colOff>
      <xdr:row>18</xdr:row>
      <xdr:rowOff>82703</xdr:rowOff>
    </xdr:to>
    <xdr:sp macro="" textlink="">
      <xdr:nvSpPr>
        <xdr:cNvPr id="15" name="Rectángulo 27">
          <a:extLst>
            <a:ext uri="{FF2B5EF4-FFF2-40B4-BE49-F238E27FC236}">
              <a16:creationId xmlns:a16="http://schemas.microsoft.com/office/drawing/2014/main" id="{A2E89A0E-9A9D-466D-846B-2F32F88B66E2}"/>
            </a:ext>
          </a:extLst>
        </xdr:cNvPr>
        <xdr:cNvSpPr/>
      </xdr:nvSpPr>
      <xdr:spPr>
        <a:xfrm>
          <a:off x="13708380" y="2880360"/>
          <a:ext cx="587410" cy="509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200" b="1">
              <a:solidFill>
                <a:sysClr val="windowText" lastClr="000000"/>
              </a:solidFill>
            </a:rPr>
            <a:t>   [8]</a:t>
          </a:r>
          <a:endParaRPr lang="es-MX" sz="1200" b="1"/>
        </a:p>
      </xdr:txBody>
    </xdr:sp>
    <xdr:clientData/>
  </xdr:twoCellAnchor>
  <xdr:twoCellAnchor editAs="oneCell">
    <xdr:from>
      <xdr:col>40</xdr:col>
      <xdr:colOff>0</xdr:colOff>
      <xdr:row>54</xdr:row>
      <xdr:rowOff>0</xdr:rowOff>
    </xdr:from>
    <xdr:to>
      <xdr:col>54</xdr:col>
      <xdr:colOff>142875</xdr:colOff>
      <xdr:row>83</xdr:row>
      <xdr:rowOff>104775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1D03B45-07D4-4364-98E4-14F84F1DEF34}"/>
            </a:ext>
            <a:ext uri="{147F2762-F138-4A5C-976F-8EAC2B608ADB}">
              <a16:predDERef xmlns:a16="http://schemas.microsoft.com/office/drawing/2014/main" pred="{A2E89A0E-9A9D-466D-846B-2F32F88B6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07875" y="10029825"/>
          <a:ext cx="8677275" cy="561022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74</xdr:row>
      <xdr:rowOff>28575</xdr:rowOff>
    </xdr:from>
    <xdr:to>
      <xdr:col>4</xdr:col>
      <xdr:colOff>495300</xdr:colOff>
      <xdr:row>84</xdr:row>
      <xdr:rowOff>95250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D7C7630-FE30-85C0-7975-E577B8BC469E}"/>
            </a:ext>
            <a:ext uri="{147F2762-F138-4A5C-976F-8EAC2B608ADB}">
              <a16:predDERef xmlns:a16="http://schemas.microsoft.com/office/drawing/2014/main" pred="{D1D03B45-07D4-4364-98E4-14F84F1DE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7591425"/>
          <a:ext cx="3619500" cy="1971675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73</xdr:row>
      <xdr:rowOff>152400</xdr:rowOff>
    </xdr:from>
    <xdr:to>
      <xdr:col>8</xdr:col>
      <xdr:colOff>542925</xdr:colOff>
      <xdr:row>81</xdr:row>
      <xdr:rowOff>95250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873ABA7-19F7-97B3-B1E0-9CF3B56F9455}"/>
            </a:ext>
            <a:ext uri="{147F2762-F138-4A5C-976F-8EAC2B608ADB}">
              <a16:predDERef xmlns:a16="http://schemas.microsoft.com/office/drawing/2014/main" pred="{BD7C7630-FE30-85C0-7975-E577B8BC4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86275" y="7515225"/>
          <a:ext cx="2981325" cy="146685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81</xdr:row>
      <xdr:rowOff>28575</xdr:rowOff>
    </xdr:from>
    <xdr:to>
      <xdr:col>8</xdr:col>
      <xdr:colOff>533400</xdr:colOff>
      <xdr:row>85</xdr:row>
      <xdr:rowOff>161925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82227A2-6692-B9FC-B440-DBAF3D6342B3}"/>
            </a:ext>
            <a:ext uri="{147F2762-F138-4A5C-976F-8EAC2B608ADB}">
              <a16:predDERef xmlns:a16="http://schemas.microsoft.com/office/drawing/2014/main" pred="{B873ABA7-19F7-97B3-B1E0-9CF3B56F9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86075" y="8915400"/>
          <a:ext cx="4572000" cy="895350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72</xdr:row>
      <xdr:rowOff>9525</xdr:rowOff>
    </xdr:from>
    <xdr:to>
      <xdr:col>18</xdr:col>
      <xdr:colOff>542925</xdr:colOff>
      <xdr:row>89</xdr:row>
      <xdr:rowOff>104775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36FE879-C271-FC8E-4AB3-E6E44B8CEE53}"/>
            </a:ext>
            <a:ext uri="{147F2762-F138-4A5C-976F-8EAC2B608ADB}">
              <a16:predDERef xmlns:a16="http://schemas.microsoft.com/office/drawing/2014/main" pred="{B82227A2-6692-B9FC-B440-DBAF3D634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58100" y="13239750"/>
          <a:ext cx="6905625" cy="3171825"/>
        </a:xfrm>
        <a:prstGeom prst="rect">
          <a:avLst/>
        </a:prstGeom>
      </xdr:spPr>
    </xdr:pic>
    <xdr:clientData/>
  </xdr:twoCellAnchor>
  <xdr:twoCellAnchor editAs="oneCell">
    <xdr:from>
      <xdr:col>29</xdr:col>
      <xdr:colOff>402606</xdr:colOff>
      <xdr:row>32</xdr:row>
      <xdr:rowOff>139989</xdr:rowOff>
    </xdr:from>
    <xdr:to>
      <xdr:col>46</xdr:col>
      <xdr:colOff>97806</xdr:colOff>
      <xdr:row>72</xdr:row>
      <xdr:rowOff>178089</xdr:rowOff>
    </xdr:to>
    <xdr:pic>
      <xdr:nvPicPr>
        <xdr:cNvPr id="19" name="Imagen 2">
          <a:extLst>
            <a:ext uri="{FF2B5EF4-FFF2-40B4-BE49-F238E27FC236}">
              <a16:creationId xmlns:a16="http://schemas.microsoft.com/office/drawing/2014/main" id="{B2D9327A-C317-1A12-A5EA-C4E6BF47B357}"/>
            </a:ext>
            <a:ext uri="{147F2762-F138-4A5C-976F-8EAC2B608ADB}">
              <a16:predDERef xmlns:a16="http://schemas.microsoft.com/office/drawing/2014/main" pred="{236FE879-C271-FC8E-4AB3-E6E44B8CE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3021883" y="4756439"/>
          <a:ext cx="7450282" cy="10109200"/>
        </a:xfrm>
        <a:prstGeom prst="rect">
          <a:avLst/>
        </a:prstGeom>
      </xdr:spPr>
    </xdr:pic>
    <xdr:clientData/>
  </xdr:twoCellAnchor>
  <xdr:twoCellAnchor>
    <xdr:from>
      <xdr:col>31</xdr:col>
      <xdr:colOff>502392</xdr:colOff>
      <xdr:row>59</xdr:row>
      <xdr:rowOff>40245</xdr:rowOff>
    </xdr:from>
    <xdr:to>
      <xdr:col>45</xdr:col>
      <xdr:colOff>97312</xdr:colOff>
      <xdr:row>60</xdr:row>
      <xdr:rowOff>148772</xdr:rowOff>
    </xdr:to>
    <xdr:sp macro="" textlink="">
      <xdr:nvSpPr>
        <xdr:cNvPr id="23" name="Rectángulo 18">
          <a:extLst>
            <a:ext uri="{FF2B5EF4-FFF2-40B4-BE49-F238E27FC236}">
              <a16:creationId xmlns:a16="http://schemas.microsoft.com/office/drawing/2014/main" id="{94DF4D9E-6660-DF17-8143-26DBC6EB9A8C}"/>
            </a:ext>
          </a:extLst>
        </xdr:cNvPr>
        <xdr:cNvSpPr/>
      </xdr:nvSpPr>
      <xdr:spPr>
        <a:xfrm>
          <a:off x="23027574" y="10996881"/>
          <a:ext cx="8161647" cy="2932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16</xdr:col>
      <xdr:colOff>419100</xdr:colOff>
      <xdr:row>1</xdr:row>
      <xdr:rowOff>57150</xdr:rowOff>
    </xdr:from>
    <xdr:to>
      <xdr:col>27</xdr:col>
      <xdr:colOff>600075</xdr:colOff>
      <xdr:row>12</xdr:row>
      <xdr:rowOff>66675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7F24800-CCCF-4926-8594-2A513A45BC01}"/>
            </a:ext>
            <a:ext uri="{147F2762-F138-4A5C-976F-8EAC2B608ADB}">
              <a16:predDERef xmlns:a16="http://schemas.microsoft.com/office/drawing/2014/main" pred="{94DF4D9E-6660-DF17-8143-26DBC6EB9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20700" y="247650"/>
          <a:ext cx="6886575" cy="20383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17</xdr:row>
      <xdr:rowOff>0</xdr:rowOff>
    </xdr:from>
    <xdr:to>
      <xdr:col>6</xdr:col>
      <xdr:colOff>333375</xdr:colOff>
      <xdr:row>18</xdr:row>
      <xdr:rowOff>85725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A098158-3D34-EC49-1E77-6741780A2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3238500"/>
          <a:ext cx="4572000" cy="276225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7</xdr:row>
      <xdr:rowOff>19050</xdr:rowOff>
    </xdr:from>
    <xdr:to>
      <xdr:col>13</xdr:col>
      <xdr:colOff>247650</xdr:colOff>
      <xdr:row>20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DCA1F2F-0AB6-D5D3-5D70-FC1B0094BF65}"/>
            </a:ext>
            <a:ext uri="{147F2762-F138-4A5C-976F-8EAC2B608ADB}">
              <a16:predDERef xmlns:a16="http://schemas.microsoft.com/office/drawing/2014/main" pred="{3A098158-3D34-EC49-1E77-6741780A2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8875" y="1352550"/>
          <a:ext cx="4171950" cy="2600325"/>
        </a:xfrm>
        <a:prstGeom prst="rect">
          <a:avLst/>
        </a:prstGeom>
      </xdr:spPr>
    </xdr:pic>
    <xdr:clientData/>
  </xdr:twoCellAnchor>
  <xdr:twoCellAnchor editAs="oneCell">
    <xdr:from>
      <xdr:col>15</xdr:col>
      <xdr:colOff>333375</xdr:colOff>
      <xdr:row>11</xdr:row>
      <xdr:rowOff>38100</xdr:rowOff>
    </xdr:from>
    <xdr:to>
      <xdr:col>21</xdr:col>
      <xdr:colOff>561975</xdr:colOff>
      <xdr:row>20</xdr:row>
      <xdr:rowOff>28575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0B8EB4-112A-5CCC-410D-1E46BEEF79C7}"/>
            </a:ext>
            <a:ext uri="{147F2762-F138-4A5C-976F-8EAC2B608ADB}">
              <a16:predDERef xmlns:a16="http://schemas.microsoft.com/office/drawing/2014/main" pred="{7DCA1F2F-0AB6-D5D3-5D70-FC1B0094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01425" y="2133600"/>
          <a:ext cx="38862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561975</xdr:colOff>
      <xdr:row>19</xdr:row>
      <xdr:rowOff>152400</xdr:rowOff>
    </xdr:from>
    <xdr:to>
      <xdr:col>7</xdr:col>
      <xdr:colOff>114300</xdr:colOff>
      <xdr:row>22</xdr:row>
      <xdr:rowOff>95250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A504C34-8738-6590-2D66-76A73E8ABE88}"/>
            </a:ext>
            <a:ext uri="{147F2762-F138-4A5C-976F-8EAC2B608ADB}">
              <a16:predDERef xmlns:a16="http://schemas.microsoft.com/office/drawing/2014/main" pred="{78884965-5470-0474-F225-52A1C71BE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43275" y="3771900"/>
          <a:ext cx="2162175" cy="51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66675</xdr:rowOff>
    </xdr:from>
    <xdr:to>
      <xdr:col>13</xdr:col>
      <xdr:colOff>333375</xdr:colOff>
      <xdr:row>35</xdr:row>
      <xdr:rowOff>57150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CFCEF77-3534-9248-DA06-BC291CF5E88C}"/>
            </a:ext>
            <a:ext uri="{147F2762-F138-4A5C-976F-8EAC2B608ADB}">
              <a16:predDERef xmlns:a16="http://schemas.microsoft.com/office/drawing/2014/main" pred="{DA504C34-8738-6590-2D66-76A73E8AB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0" y="4257675"/>
          <a:ext cx="4495800" cy="2466975"/>
        </a:xfrm>
        <a:prstGeom prst="rect">
          <a:avLst/>
        </a:prstGeom>
      </xdr:spPr>
    </xdr:pic>
    <xdr:clientData/>
  </xdr:twoCellAnchor>
  <xdr:twoCellAnchor editAs="oneCell">
    <xdr:from>
      <xdr:col>15</xdr:col>
      <xdr:colOff>321945</xdr:colOff>
      <xdr:row>5</xdr:row>
      <xdr:rowOff>180975</xdr:rowOff>
    </xdr:from>
    <xdr:to>
      <xdr:col>23</xdr:col>
      <xdr:colOff>207645</xdr:colOff>
      <xdr:row>12</xdr:row>
      <xdr:rowOff>114300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853BB6E-3EC7-C423-475F-4DCDD4BB9134}"/>
            </a:ext>
            <a:ext uri="{147F2762-F138-4A5C-976F-8EAC2B608ADB}">
              <a16:predDERef xmlns:a16="http://schemas.microsoft.com/office/drawing/2014/main" pred="{DCFCEF77-3534-9248-DA06-BC291CF5E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92965" y="1095375"/>
          <a:ext cx="4762500" cy="122301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26</xdr:row>
      <xdr:rowOff>133350</xdr:rowOff>
    </xdr:from>
    <xdr:to>
      <xdr:col>7</xdr:col>
      <xdr:colOff>531495</xdr:colOff>
      <xdr:row>35</xdr:row>
      <xdr:rowOff>41910</xdr:rowOff>
    </xdr:to>
    <xdr:pic>
      <xdr:nvPicPr>
        <xdr:cNvPr id="23" name="Imagen 4">
          <a:extLst>
            <a:ext uri="{FF2B5EF4-FFF2-40B4-BE49-F238E27FC236}">
              <a16:creationId xmlns:a16="http://schemas.microsoft.com/office/drawing/2014/main" id="{6032959E-E8AB-14AA-D5D1-901A54C4E8EB}"/>
            </a:ext>
            <a:ext uri="{147F2762-F138-4A5C-976F-8EAC2B608ADB}">
              <a16:predDERef xmlns:a16="http://schemas.microsoft.com/office/drawing/2014/main" pred="{6853BB6E-3EC7-C423-475F-4DCDD4BB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57625" y="4848225"/>
          <a:ext cx="2007870" cy="1537335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38</xdr:row>
      <xdr:rowOff>28575</xdr:rowOff>
    </xdr:from>
    <xdr:to>
      <xdr:col>7</xdr:col>
      <xdr:colOff>276225</xdr:colOff>
      <xdr:row>43</xdr:row>
      <xdr:rowOff>9525</xdr:rowOff>
    </xdr:to>
    <xdr:pic>
      <xdr:nvPicPr>
        <xdr:cNvPr id="34" name="Imagen 9">
          <a:extLst>
            <a:ext uri="{FF2B5EF4-FFF2-40B4-BE49-F238E27FC236}">
              <a16:creationId xmlns:a16="http://schemas.microsoft.com/office/drawing/2014/main" id="{17BB441F-A1CB-826D-F58F-2266030F3DEF}"/>
            </a:ext>
            <a:ext uri="{147F2762-F138-4A5C-976F-8EAC2B608ADB}">
              <a16:predDERef xmlns:a16="http://schemas.microsoft.com/office/drawing/2014/main" pred="{6032959E-E8AB-14AA-D5D1-901A54C4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29125" y="6905625"/>
          <a:ext cx="1219200" cy="895350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247650</xdr:colOff>
      <xdr:row>48</xdr:row>
      <xdr:rowOff>9525</xdr:rowOff>
    </xdr:from>
    <xdr:to>
      <xdr:col>7</xdr:col>
      <xdr:colOff>379095</xdr:colOff>
      <xdr:row>56</xdr:row>
      <xdr:rowOff>68580</xdr:rowOff>
    </xdr:to>
    <xdr:pic>
      <xdr:nvPicPr>
        <xdr:cNvPr id="44" name="Imagen 10">
          <a:extLst>
            <a:ext uri="{FF2B5EF4-FFF2-40B4-BE49-F238E27FC236}">
              <a16:creationId xmlns:a16="http://schemas.microsoft.com/office/drawing/2014/main" id="{4DAA7394-C08B-B178-BF1B-8A4DA991A185}"/>
            </a:ext>
            <a:ext uri="{147F2762-F138-4A5C-976F-8EAC2B608ADB}">
              <a16:predDERef xmlns:a16="http://schemas.microsoft.com/office/drawing/2014/main" pred="{17BB441F-A1CB-826D-F58F-2266030F3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05225" y="8705850"/>
          <a:ext cx="2007870" cy="15068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19050</xdr:colOff>
      <xdr:row>3</xdr:row>
      <xdr:rowOff>66675</xdr:rowOff>
    </xdr:from>
    <xdr:to>
      <xdr:col>23</xdr:col>
      <xdr:colOff>314325</xdr:colOff>
      <xdr:row>16</xdr:row>
      <xdr:rowOff>85725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A33F7B8-F333-3A57-D62B-933ADEB21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1700" y="638175"/>
          <a:ext cx="4562475" cy="2600325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18</xdr:row>
      <xdr:rowOff>133350</xdr:rowOff>
    </xdr:from>
    <xdr:to>
      <xdr:col>26</xdr:col>
      <xdr:colOff>476250</xdr:colOff>
      <xdr:row>33</xdr:row>
      <xdr:rowOff>133350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CEAAE02-811A-2F3F-D89A-69BF92BFF282}"/>
            </a:ext>
            <a:ext uri="{147F2762-F138-4A5C-976F-8EAC2B608ADB}">
              <a16:predDERef xmlns:a16="http://schemas.microsoft.com/office/drawing/2014/main" pred="{9A33F7B8-F333-3A57-D62B-933ADEB21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9800" y="3371850"/>
          <a:ext cx="6515100" cy="29051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28</xdr:row>
      <xdr:rowOff>0</xdr:rowOff>
    </xdr:from>
    <xdr:to>
      <xdr:col>17</xdr:col>
      <xdr:colOff>48823</xdr:colOff>
      <xdr:row>54</xdr:row>
      <xdr:rowOff>132127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2B10CA-5830-DA09-5B26-49D747765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5120640"/>
          <a:ext cx="8583223" cy="4887007"/>
        </a:xfrm>
        <a:prstGeom prst="rect">
          <a:avLst/>
        </a:prstGeom>
      </xdr:spPr>
    </xdr:pic>
    <xdr:clientData/>
  </xdr:twoCellAnchor>
  <xdr:twoCellAnchor editAs="oneCell">
    <xdr:from>
      <xdr:col>17</xdr:col>
      <xdr:colOff>493059</xdr:colOff>
      <xdr:row>29</xdr:row>
      <xdr:rowOff>161365</xdr:rowOff>
    </xdr:from>
    <xdr:to>
      <xdr:col>32</xdr:col>
      <xdr:colOff>154970</xdr:colOff>
      <xdr:row>54</xdr:row>
      <xdr:rowOff>81968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B63F9D-2076-587D-12C0-6E044DB60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56259" y="5360894"/>
          <a:ext cx="8805911" cy="44029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20</xdr:col>
      <xdr:colOff>258657</xdr:colOff>
      <xdr:row>88</xdr:row>
      <xdr:rowOff>162090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D2124C-50DB-4A43-0AEA-AD4BE0039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0757647"/>
          <a:ext cx="10621857" cy="5191850"/>
        </a:xfrm>
        <a:prstGeom prst="rect">
          <a:avLst/>
        </a:prstGeom>
      </xdr:spPr>
    </xdr:pic>
    <xdr:clientData/>
  </xdr:twoCellAnchor>
  <xdr:twoCellAnchor editAs="oneCell">
    <xdr:from>
      <xdr:col>23</xdr:col>
      <xdr:colOff>95181</xdr:colOff>
      <xdr:row>64</xdr:row>
      <xdr:rowOff>125505</xdr:rowOff>
    </xdr:from>
    <xdr:to>
      <xdr:col>32</xdr:col>
      <xdr:colOff>63384</xdr:colOff>
      <xdr:row>86</xdr:row>
      <xdr:rowOff>81533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FBA503C-9BDB-2472-01C5-6041B8248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15981" y="11600329"/>
          <a:ext cx="5454603" cy="390049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12</xdr:row>
      <xdr:rowOff>0</xdr:rowOff>
    </xdr:from>
    <xdr:to>
      <xdr:col>43</xdr:col>
      <xdr:colOff>67705</xdr:colOff>
      <xdr:row>29</xdr:row>
      <xdr:rowOff>171899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66AC8B0-53AD-4A2A-BB1B-D2CB21FE4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897600" y="2151529"/>
          <a:ext cx="7382905" cy="3219899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25D8E-8E9B-41DA-BEAE-E0A5158629E8}">
  <dimension ref="B2:AB47"/>
  <sheetViews>
    <sheetView topLeftCell="A31" zoomScale="85" zoomScaleNormal="85" workbookViewId="0">
      <selection activeCell="I36" sqref="I36"/>
    </sheetView>
  </sheetViews>
  <sheetFormatPr defaultColWidth="8.85546875" defaultRowHeight="14.45"/>
  <cols>
    <col min="2" max="2" width="20.28515625" bestFit="1" customWidth="1"/>
    <col min="3" max="3" width="12.140625" bestFit="1" customWidth="1"/>
    <col min="4" max="4" width="10.85546875" bestFit="1" customWidth="1"/>
    <col min="5" max="5" width="9.85546875" bestFit="1" customWidth="1"/>
    <col min="6" max="6" width="11.28515625" bestFit="1" customWidth="1"/>
    <col min="7" max="7" width="10.42578125" bestFit="1" customWidth="1"/>
    <col min="8" max="8" width="16.7109375" bestFit="1" customWidth="1"/>
    <col min="10" max="15" width="15.7109375" customWidth="1"/>
    <col min="19" max="19" width="10.7109375" bestFit="1" customWidth="1"/>
    <col min="21" max="21" width="14.28515625" bestFit="1" customWidth="1"/>
  </cols>
  <sheetData>
    <row r="2" spans="2:28">
      <c r="S2" s="179" t="s">
        <v>0</v>
      </c>
      <c r="T2" s="179"/>
      <c r="U2" s="179"/>
      <c r="V2" s="179"/>
      <c r="W2" s="179"/>
      <c r="X2" s="179"/>
      <c r="Y2" s="179"/>
    </row>
    <row r="3" spans="2:28">
      <c r="B3" s="9" t="s">
        <v>1</v>
      </c>
      <c r="C3" s="180" t="s">
        <v>2</v>
      </c>
      <c r="D3" s="180"/>
      <c r="E3" s="180"/>
      <c r="F3" s="180"/>
      <c r="G3" s="180"/>
    </row>
    <row r="4" spans="2:28">
      <c r="B4" s="9" t="s">
        <v>3</v>
      </c>
      <c r="C4" s="2">
        <v>2200</v>
      </c>
      <c r="D4" s="10" t="s">
        <v>4</v>
      </c>
      <c r="E4" s="10"/>
      <c r="F4" s="10"/>
      <c r="G4" s="10"/>
    </row>
    <row r="5" spans="2:28">
      <c r="B5" s="9" t="s">
        <v>5</v>
      </c>
      <c r="C5" s="2">
        <v>2022</v>
      </c>
      <c r="D5" s="10"/>
      <c r="E5" s="10"/>
      <c r="F5" s="10"/>
      <c r="G5" s="10"/>
    </row>
    <row r="6" spans="2:28">
      <c r="B6" s="9" t="s">
        <v>6</v>
      </c>
      <c r="C6" s="2" t="s">
        <v>7</v>
      </c>
      <c r="D6" s="10"/>
      <c r="E6" s="10"/>
      <c r="F6" s="10"/>
      <c r="G6" s="10"/>
    </row>
    <row r="9" spans="2:28">
      <c r="C9" s="11" t="s">
        <v>8</v>
      </c>
      <c r="D9" s="11" t="s">
        <v>9</v>
      </c>
      <c r="E9" s="11" t="s">
        <v>10</v>
      </c>
      <c r="F9" s="11" t="s">
        <v>11</v>
      </c>
    </row>
    <row r="10" spans="2:28">
      <c r="B10" s="4" t="s">
        <v>12</v>
      </c>
      <c r="C10" s="12">
        <v>2200</v>
      </c>
      <c r="D10" s="12">
        <v>100</v>
      </c>
      <c r="E10" s="12">
        <v>200</v>
      </c>
      <c r="F10" s="12">
        <v>250</v>
      </c>
    </row>
    <row r="11" spans="2:28">
      <c r="B11" s="2" t="s">
        <v>13</v>
      </c>
      <c r="C11" s="13">
        <v>0.02</v>
      </c>
      <c r="D11" s="13">
        <v>0.01</v>
      </c>
      <c r="E11" s="13">
        <v>0.02</v>
      </c>
      <c r="F11" s="13">
        <v>0.01</v>
      </c>
    </row>
    <row r="12" spans="2:28">
      <c r="B12" s="2" t="s">
        <v>14</v>
      </c>
      <c r="C12" s="13">
        <v>0.03</v>
      </c>
      <c r="D12" s="13">
        <v>0.02</v>
      </c>
      <c r="E12" s="13">
        <v>0.03</v>
      </c>
      <c r="F12" s="13">
        <v>0.03</v>
      </c>
      <c r="S12" s="75" t="s">
        <v>15</v>
      </c>
      <c r="T12" s="51" t="s">
        <v>16</v>
      </c>
      <c r="U12" s="48" t="s">
        <v>17</v>
      </c>
      <c r="V12" s="48" t="s">
        <v>18</v>
      </c>
      <c r="W12" s="48" t="s">
        <v>19</v>
      </c>
      <c r="X12" s="48" t="s">
        <v>20</v>
      </c>
    </row>
    <row r="13" spans="2:28">
      <c r="B13" s="81" t="s">
        <v>21</v>
      </c>
      <c r="C13" s="13">
        <v>0.03</v>
      </c>
      <c r="D13" s="13">
        <v>0.02</v>
      </c>
      <c r="E13" s="13">
        <v>0.05</v>
      </c>
      <c r="F13" s="13">
        <v>0.04</v>
      </c>
      <c r="S13" s="186">
        <v>310</v>
      </c>
      <c r="T13" s="51" t="s">
        <v>22</v>
      </c>
      <c r="U13" s="48">
        <v>11</v>
      </c>
      <c r="V13" s="48">
        <v>8.16</v>
      </c>
      <c r="W13" s="49">
        <f>(0.85*$U13/$V13)^$AA15</f>
        <v>1.7956522916321545</v>
      </c>
      <c r="X13" s="49">
        <f>(0.85*$U13/$V13)^$AA16</f>
        <v>1.7834714910921032</v>
      </c>
    </row>
    <row r="14" spans="2:28" ht="14.45" customHeight="1">
      <c r="B14" s="48" t="s">
        <v>23</v>
      </c>
      <c r="C14" s="80">
        <v>0.1</v>
      </c>
      <c r="D14" s="14">
        <v>0.05</v>
      </c>
      <c r="E14" s="14">
        <v>0.1</v>
      </c>
      <c r="F14" s="14">
        <v>0.15</v>
      </c>
      <c r="S14" s="187"/>
      <c r="T14" s="51" t="s">
        <v>24</v>
      </c>
      <c r="U14" s="48">
        <v>16</v>
      </c>
      <c r="V14" s="48">
        <v>15.2</v>
      </c>
      <c r="W14" s="49">
        <f>(0.85*U14/V14)^$AA$15</f>
        <v>0.61985467041627673</v>
      </c>
      <c r="X14" s="49">
        <f>(0.85*$U14/13.16)^$AA$16</f>
        <v>1.150013215548634</v>
      </c>
    </row>
    <row r="15" spans="2:28">
      <c r="B15" s="15" t="s">
        <v>25</v>
      </c>
      <c r="C15" s="16">
        <v>0.5</v>
      </c>
      <c r="D15" s="16">
        <v>0.5</v>
      </c>
      <c r="E15" s="16">
        <v>0.5</v>
      </c>
      <c r="F15" s="16">
        <v>0.5</v>
      </c>
      <c r="S15" s="87"/>
      <c r="T15" s="1"/>
      <c r="U15" s="1"/>
      <c r="V15" s="1"/>
      <c r="W15" s="50">
        <f>SUM(W13:W14)</f>
        <v>2.4155069620484313</v>
      </c>
      <c r="X15" s="50">
        <f>SUM(X13:X14)</f>
        <v>2.933484706640737</v>
      </c>
      <c r="Z15" s="45" t="s">
        <v>26</v>
      </c>
      <c r="AA15" s="46">
        <v>4.3</v>
      </c>
      <c r="AB15" s="46" t="s">
        <v>27</v>
      </c>
    </row>
    <row r="16" spans="2:28">
      <c r="B16" s="2" t="s">
        <v>28</v>
      </c>
      <c r="C16" s="2">
        <f>C15*C10</f>
        <v>1100</v>
      </c>
      <c r="D16" s="2">
        <f t="shared" ref="D16:F16" si="0">D15*D10</f>
        <v>50</v>
      </c>
      <c r="E16" s="2">
        <f t="shared" si="0"/>
        <v>100</v>
      </c>
      <c r="F16" s="2">
        <f t="shared" si="0"/>
        <v>125</v>
      </c>
      <c r="S16" s="88"/>
      <c r="T16" s="1"/>
      <c r="U16" s="1"/>
      <c r="V16" s="1"/>
      <c r="W16" s="1"/>
      <c r="X16" s="89"/>
      <c r="AA16" s="47">
        <v>4.25</v>
      </c>
      <c r="AB16" s="47" t="s">
        <v>29</v>
      </c>
    </row>
    <row r="17" spans="2:24">
      <c r="B17" s="2" t="s">
        <v>30</v>
      </c>
      <c r="C17" s="3">
        <f>C16*(1+C11)^(2025-2022)</f>
        <v>1167.3288</v>
      </c>
      <c r="D17" s="3">
        <f t="shared" ref="D17:F17" si="1">D16*(1+D11)^(2025-2022)</f>
        <v>51.515049999999995</v>
      </c>
      <c r="E17" s="3">
        <f t="shared" si="1"/>
        <v>106.12079999999999</v>
      </c>
      <c r="F17" s="3">
        <f t="shared" si="1"/>
        <v>128.78762499999999</v>
      </c>
      <c r="G17" s="17">
        <f>SUM(C17:F17)</f>
        <v>1453.7522749999998</v>
      </c>
      <c r="S17" s="187">
        <v>770</v>
      </c>
      <c r="T17" s="48" t="s">
        <v>31</v>
      </c>
      <c r="U17" s="48">
        <v>7</v>
      </c>
      <c r="V17" s="48">
        <v>5.71</v>
      </c>
      <c r="W17" s="49">
        <f>(0.85*$U$17/$V17)^$AA$15</f>
        <v>1.1936793673203252</v>
      </c>
      <c r="X17" s="49">
        <f>(0.85*$U17/6.53)^$AA$16</f>
        <v>0.67346663380179295</v>
      </c>
    </row>
    <row r="18" spans="2:24">
      <c r="B18" s="2" t="s">
        <v>32</v>
      </c>
      <c r="C18" s="14">
        <v>1</v>
      </c>
      <c r="D18" s="14">
        <v>1</v>
      </c>
      <c r="E18" s="14">
        <v>1</v>
      </c>
      <c r="F18" s="14">
        <v>1</v>
      </c>
      <c r="S18" s="187"/>
      <c r="T18" s="48" t="s">
        <v>31</v>
      </c>
      <c r="U18" s="48">
        <v>7</v>
      </c>
      <c r="V18" s="48">
        <v>5.71</v>
      </c>
      <c r="W18" s="49">
        <f>(0.85*U18/V18)^$AA$15</f>
        <v>1.1936793673203252</v>
      </c>
      <c r="X18" s="49">
        <f>(0.85*$U18/6.53)^$AA$16</f>
        <v>0.67346663380179295</v>
      </c>
    </row>
    <row r="19" spans="2:24">
      <c r="B19" s="18" t="s">
        <v>33</v>
      </c>
      <c r="C19" s="19">
        <f>C18*C17</f>
        <v>1167.3288</v>
      </c>
      <c r="D19" s="19">
        <f t="shared" ref="D19:E19" si="2">D18*D17</f>
        <v>51.515049999999995</v>
      </c>
      <c r="E19" s="19">
        <f t="shared" si="2"/>
        <v>106.12079999999999</v>
      </c>
      <c r="F19" s="19">
        <f>F18*F17</f>
        <v>128.78762499999999</v>
      </c>
      <c r="S19" s="187"/>
      <c r="T19" s="48" t="s">
        <v>24</v>
      </c>
      <c r="U19" s="48">
        <v>16</v>
      </c>
      <c r="V19" s="48">
        <v>15.2</v>
      </c>
      <c r="W19" s="49">
        <f>(0.85*U19/V19)^$AA$15</f>
        <v>0.61985467041627673</v>
      </c>
      <c r="X19" s="49">
        <f>(0.85*$U19/13.16)^$AA$16</f>
        <v>1.150013215548634</v>
      </c>
    </row>
    <row r="20" spans="2:24">
      <c r="S20" s="187"/>
      <c r="T20" s="48" t="s">
        <v>22</v>
      </c>
      <c r="U20" s="48">
        <v>11</v>
      </c>
      <c r="V20" s="48">
        <v>8.16</v>
      </c>
      <c r="W20" s="49">
        <f>(0.85*U20/V20)^$AA$15</f>
        <v>1.7956522916321545</v>
      </c>
      <c r="X20" s="49">
        <f>(0.85*$U20/$V20)^$AA$16</f>
        <v>1.7834714910921032</v>
      </c>
    </row>
    <row r="21" spans="2:24">
      <c r="S21" s="187"/>
      <c r="T21" s="48" t="s">
        <v>24</v>
      </c>
      <c r="U21" s="48">
        <v>16</v>
      </c>
      <c r="V21" s="48">
        <v>15.2</v>
      </c>
      <c r="W21" s="49">
        <f>(0.85*U21/V21)^$AA$15</f>
        <v>0.61985467041627673</v>
      </c>
      <c r="X21" s="49">
        <f>(0.85*$U21/13.16)^$AA$16</f>
        <v>1.150013215548634</v>
      </c>
    </row>
    <row r="22" spans="2:24">
      <c r="B22" s="176" t="s">
        <v>34</v>
      </c>
      <c r="C22" s="177"/>
      <c r="D22" s="177"/>
      <c r="E22" s="177"/>
      <c r="F22" s="177"/>
      <c r="G22" s="177"/>
      <c r="H22" s="178"/>
      <c r="I22" s="23"/>
      <c r="J22" s="176" t="s">
        <v>35</v>
      </c>
      <c r="K22" s="177"/>
      <c r="L22" s="177"/>
      <c r="M22" s="177"/>
      <c r="N22" s="177"/>
      <c r="O22" s="178"/>
      <c r="T22" s="1"/>
      <c r="U22" s="1"/>
      <c r="V22" s="44"/>
      <c r="W22" s="50">
        <f>SUM(W17:W20)</f>
        <v>4.8028656966890821</v>
      </c>
      <c r="X22" s="50">
        <f>SUM(X17:X21)</f>
        <v>5.4304311897929569</v>
      </c>
    </row>
    <row r="24" spans="2:24">
      <c r="J24" s="182" t="s">
        <v>36</v>
      </c>
      <c r="K24" s="183"/>
      <c r="L24" s="183"/>
      <c r="M24" s="184"/>
      <c r="N24" s="185" t="s">
        <v>37</v>
      </c>
      <c r="O24" s="185" t="s">
        <v>38</v>
      </c>
    </row>
    <row r="25" spans="2:24">
      <c r="B25" s="4" t="s">
        <v>39</v>
      </c>
      <c r="C25" s="11">
        <v>1</v>
      </c>
      <c r="D25" s="11">
        <v>1.5</v>
      </c>
      <c r="E25" s="11">
        <v>2</v>
      </c>
      <c r="F25" s="11">
        <v>2.5</v>
      </c>
      <c r="G25" s="181" t="s">
        <v>40</v>
      </c>
      <c r="H25" s="181"/>
      <c r="J25" s="2">
        <v>0</v>
      </c>
      <c r="K25" s="2">
        <v>2.1</v>
      </c>
      <c r="L25" s="24">
        <f>X15</f>
        <v>2.933484706640737</v>
      </c>
      <c r="M25" s="24">
        <f>X22</f>
        <v>5.4304311897929569</v>
      </c>
      <c r="N25" s="185"/>
      <c r="O25" s="185"/>
    </row>
    <row r="26" spans="2:24">
      <c r="B26" s="4" t="s">
        <v>41</v>
      </c>
      <c r="C26" s="11" t="s">
        <v>8</v>
      </c>
      <c r="D26" s="11" t="s">
        <v>9</v>
      </c>
      <c r="E26" s="11" t="s">
        <v>10</v>
      </c>
      <c r="F26" s="11" t="s">
        <v>11</v>
      </c>
      <c r="G26" s="11" t="s">
        <v>42</v>
      </c>
      <c r="H26" s="11" t="s">
        <v>43</v>
      </c>
      <c r="J26" s="2" t="s">
        <v>44</v>
      </c>
      <c r="K26" s="2" t="s">
        <v>45</v>
      </c>
      <c r="L26" s="2" t="s">
        <v>10</v>
      </c>
      <c r="M26" s="2" t="s">
        <v>11</v>
      </c>
      <c r="N26" s="185"/>
      <c r="O26" s="185"/>
    </row>
    <row r="27" spans="2:24">
      <c r="B27" s="2">
        <v>2025</v>
      </c>
      <c r="C27" s="20">
        <f>C19</f>
        <v>1167.3288</v>
      </c>
      <c r="D27" s="20">
        <f>D19</f>
        <v>51.515049999999995</v>
      </c>
      <c r="E27" s="20">
        <f>E19</f>
        <v>106.12079999999999</v>
      </c>
      <c r="F27" s="20">
        <f>F19</f>
        <v>128.78762499999999</v>
      </c>
      <c r="G27" s="20">
        <f t="shared" ref="G27:G47" si="3">C27*$C$25+D27*$D$25+E27*$E$25+F27*$F$25</f>
        <v>1778.8120374999999</v>
      </c>
      <c r="H27" s="20">
        <f>G27/12</f>
        <v>148.23433645833333</v>
      </c>
      <c r="J27" s="3">
        <f>365*C27*J$25</f>
        <v>0</v>
      </c>
      <c r="K27" s="3">
        <f t="shared" ref="K27:M27" si="4">365*D27*K$25</f>
        <v>39486.285824999999</v>
      </c>
      <c r="L27" s="3">
        <f t="shared" si="4"/>
        <v>113625.86650761531</v>
      </c>
      <c r="M27" s="3">
        <f t="shared" si="4"/>
        <v>255270.90251566609</v>
      </c>
      <c r="N27" s="3">
        <f>SUM(J27:M27)</f>
        <v>408383.05484828143</v>
      </c>
      <c r="O27" s="3">
        <f>N27</f>
        <v>408383.05484828143</v>
      </c>
      <c r="R27" s="2">
        <v>2025</v>
      </c>
      <c r="S27" s="91">
        <f>O27</f>
        <v>408383.05484828143</v>
      </c>
    </row>
    <row r="28" spans="2:24">
      <c r="B28" s="2">
        <f>B27+1</f>
        <v>2026</v>
      </c>
      <c r="C28" s="20">
        <f>C27*(1+$C$12)</f>
        <v>1202.3486640000001</v>
      </c>
      <c r="D28" s="20">
        <f t="shared" ref="D28:F35" si="5">D27*(1+$C$12)</f>
        <v>53.060501499999994</v>
      </c>
      <c r="E28" s="20">
        <f t="shared" si="5"/>
        <v>109.304424</v>
      </c>
      <c r="F28" s="20">
        <f t="shared" si="5"/>
        <v>132.65125375</v>
      </c>
      <c r="G28" s="20">
        <f t="shared" si="3"/>
        <v>1832.176398625</v>
      </c>
      <c r="H28" s="20">
        <f t="shared" ref="H28:H47" si="6">G28/12</f>
        <v>152.68136655208335</v>
      </c>
      <c r="J28" s="3">
        <f t="shared" ref="J28:J47" si="7">365*C28*J$25</f>
        <v>0</v>
      </c>
      <c r="K28" s="3">
        <f t="shared" ref="K28:K47" si="8">365*D28*K$25</f>
        <v>40670.874399749991</v>
      </c>
      <c r="L28" s="3">
        <f t="shared" ref="L28:L47" si="9">365*E28*L$25</f>
        <v>117034.64250284377</v>
      </c>
      <c r="M28" s="3">
        <f t="shared" ref="M28:M47" si="10">365*F28*M$25</f>
        <v>262929.02959113609</v>
      </c>
      <c r="N28" s="3">
        <f t="shared" ref="N28:N47" si="11">SUM(J28:M28)</f>
        <v>420634.54649372981</v>
      </c>
      <c r="O28" s="3">
        <f>N28+O27</f>
        <v>829017.60134201124</v>
      </c>
      <c r="R28" s="2">
        <f t="shared" ref="R28:R47" si="12">R27+1</f>
        <v>2026</v>
      </c>
      <c r="S28" s="91">
        <f t="shared" ref="S28:S47" si="13">O28</f>
        <v>829017.60134201124</v>
      </c>
    </row>
    <row r="29" spans="2:24">
      <c r="B29" s="2">
        <f t="shared" ref="B29:B47" si="14">B28+1</f>
        <v>2027</v>
      </c>
      <c r="C29" s="20">
        <f t="shared" ref="C29:C35" si="15">C28*(1+$C$12)</f>
        <v>1238.4191239200002</v>
      </c>
      <c r="D29" s="20">
        <f t="shared" si="5"/>
        <v>54.652316544999998</v>
      </c>
      <c r="E29" s="20">
        <f t="shared" si="5"/>
        <v>112.58355672</v>
      </c>
      <c r="F29" s="20">
        <f t="shared" si="5"/>
        <v>136.63079136249999</v>
      </c>
      <c r="G29" s="20">
        <f t="shared" si="3"/>
        <v>1887.1416905837502</v>
      </c>
      <c r="H29" s="20">
        <f t="shared" si="6"/>
        <v>157.26180754864586</v>
      </c>
      <c r="J29" s="3">
        <f t="shared" si="7"/>
        <v>0</v>
      </c>
      <c r="K29" s="3">
        <f>365*D29*K$25</f>
        <v>41891.0006317425</v>
      </c>
      <c r="L29" s="3">
        <f t="shared" si="9"/>
        <v>120545.6817779291</v>
      </c>
      <c r="M29" s="3">
        <f t="shared" si="10"/>
        <v>270816.90047887014</v>
      </c>
      <c r="N29" s="3">
        <f t="shared" si="11"/>
        <v>433253.58288854174</v>
      </c>
      <c r="O29" s="3">
        <f t="shared" ref="O29:O47" si="16">N29+O28</f>
        <v>1262271.184230553</v>
      </c>
      <c r="R29" s="2">
        <f t="shared" si="12"/>
        <v>2027</v>
      </c>
      <c r="S29" s="91">
        <f t="shared" si="13"/>
        <v>1262271.184230553</v>
      </c>
    </row>
    <row r="30" spans="2:24">
      <c r="B30" s="2">
        <f t="shared" si="14"/>
        <v>2028</v>
      </c>
      <c r="C30" s="20">
        <f t="shared" si="15"/>
        <v>1275.5716976376002</v>
      </c>
      <c r="D30" s="20">
        <f t="shared" si="5"/>
        <v>56.291886041349997</v>
      </c>
      <c r="E30" s="20">
        <f t="shared" si="5"/>
        <v>115.9610634216</v>
      </c>
      <c r="F30" s="20">
        <f t="shared" si="5"/>
        <v>140.72971510337499</v>
      </c>
      <c r="G30" s="20">
        <f t="shared" si="3"/>
        <v>1943.7559413012627</v>
      </c>
      <c r="H30" s="20">
        <f t="shared" si="6"/>
        <v>161.97966177510523</v>
      </c>
      <c r="J30" s="3">
        <f t="shared" si="7"/>
        <v>0</v>
      </c>
      <c r="K30" s="3">
        <f t="shared" si="8"/>
        <v>43147.730650694779</v>
      </c>
      <c r="L30" s="3">
        <f t="shared" si="9"/>
        <v>124162.05223126696</v>
      </c>
      <c r="M30" s="3">
        <f t="shared" si="10"/>
        <v>278941.40749323624</v>
      </c>
      <c r="N30" s="3">
        <f t="shared" si="11"/>
        <v>446251.19037519797</v>
      </c>
      <c r="O30" s="3">
        <f t="shared" si="16"/>
        <v>1708522.3746057509</v>
      </c>
      <c r="R30" s="2">
        <f t="shared" si="12"/>
        <v>2028</v>
      </c>
      <c r="S30" s="91">
        <f t="shared" si="13"/>
        <v>1708522.3746057509</v>
      </c>
    </row>
    <row r="31" spans="2:24">
      <c r="B31" s="2">
        <f t="shared" si="14"/>
        <v>2029</v>
      </c>
      <c r="C31" s="20">
        <f t="shared" si="15"/>
        <v>1313.8388485667283</v>
      </c>
      <c r="D31" s="20">
        <f t="shared" si="5"/>
        <v>57.980642622590501</v>
      </c>
      <c r="E31" s="20">
        <f t="shared" si="5"/>
        <v>119.439895324248</v>
      </c>
      <c r="F31" s="20">
        <f t="shared" si="5"/>
        <v>144.95160655647624</v>
      </c>
      <c r="G31" s="20">
        <f t="shared" si="3"/>
        <v>2002.0686195403007</v>
      </c>
      <c r="H31" s="20">
        <f t="shared" si="6"/>
        <v>166.83905162835839</v>
      </c>
      <c r="J31" s="3">
        <f t="shared" si="7"/>
        <v>0</v>
      </c>
      <c r="K31" s="3">
        <f t="shared" si="8"/>
        <v>44442.162570215616</v>
      </c>
      <c r="L31" s="3">
        <f t="shared" si="9"/>
        <v>127886.91379820497</v>
      </c>
      <c r="M31" s="3">
        <f t="shared" si="10"/>
        <v>287309.64971803332</v>
      </c>
      <c r="N31" s="3">
        <f t="shared" si="11"/>
        <v>459638.72608645388</v>
      </c>
      <c r="O31" s="3">
        <f t="shared" si="16"/>
        <v>2168161.1006922047</v>
      </c>
      <c r="R31" s="2">
        <f t="shared" si="12"/>
        <v>2029</v>
      </c>
      <c r="S31" s="91">
        <f t="shared" si="13"/>
        <v>2168161.1006922047</v>
      </c>
    </row>
    <row r="32" spans="2:24">
      <c r="B32" s="2">
        <f t="shared" si="14"/>
        <v>2030</v>
      </c>
      <c r="C32" s="20">
        <f t="shared" si="15"/>
        <v>1353.2540140237302</v>
      </c>
      <c r="D32" s="20">
        <f t="shared" si="5"/>
        <v>59.720061901268217</v>
      </c>
      <c r="E32" s="20">
        <f t="shared" si="5"/>
        <v>123.02309218397544</v>
      </c>
      <c r="F32" s="20">
        <f t="shared" si="5"/>
        <v>149.30015475317052</v>
      </c>
      <c r="G32" s="20">
        <f t="shared" si="3"/>
        <v>2062.1306781265098</v>
      </c>
      <c r="H32" s="20">
        <f t="shared" si="6"/>
        <v>171.84422317720916</v>
      </c>
      <c r="J32" s="3">
        <f t="shared" si="7"/>
        <v>0</v>
      </c>
      <c r="K32" s="3">
        <f t="shared" si="8"/>
        <v>45775.427447322087</v>
      </c>
      <c r="L32" s="3">
        <f t="shared" si="9"/>
        <v>131723.52121215113</v>
      </c>
      <c r="M32" s="3">
        <f t="shared" si="10"/>
        <v>295928.93920957431</v>
      </c>
      <c r="N32" s="3">
        <f t="shared" si="11"/>
        <v>473427.88786904752</v>
      </c>
      <c r="O32" s="3">
        <f t="shared" si="16"/>
        <v>2641588.9885612521</v>
      </c>
      <c r="R32" s="2">
        <f t="shared" si="12"/>
        <v>2030</v>
      </c>
      <c r="S32" s="91">
        <f t="shared" si="13"/>
        <v>2641588.9885612521</v>
      </c>
    </row>
    <row r="33" spans="2:19">
      <c r="B33" s="2">
        <f t="shared" si="14"/>
        <v>2031</v>
      </c>
      <c r="C33" s="20">
        <f t="shared" si="15"/>
        <v>1393.8516344444422</v>
      </c>
      <c r="D33" s="20">
        <f t="shared" si="5"/>
        <v>61.511663758306263</v>
      </c>
      <c r="E33" s="20">
        <f t="shared" si="5"/>
        <v>126.71378494949471</v>
      </c>
      <c r="F33" s="20">
        <f t="shared" si="5"/>
        <v>153.77915939576565</v>
      </c>
      <c r="G33" s="20">
        <f t="shared" si="3"/>
        <v>2123.9945984703049</v>
      </c>
      <c r="H33" s="20">
        <f t="shared" si="6"/>
        <v>176.99954987252542</v>
      </c>
      <c r="J33" s="3">
        <f t="shared" si="7"/>
        <v>0</v>
      </c>
      <c r="K33" s="3">
        <f t="shared" si="8"/>
        <v>47148.690270741754</v>
      </c>
      <c r="L33" s="3">
        <f t="shared" si="9"/>
        <v>135675.22684851565</v>
      </c>
      <c r="M33" s="3">
        <f t="shared" si="10"/>
        <v>304806.80738586158</v>
      </c>
      <c r="N33" s="3">
        <f t="shared" si="11"/>
        <v>487630.72450511903</v>
      </c>
      <c r="O33" s="3">
        <f t="shared" si="16"/>
        <v>3129219.7130663712</v>
      </c>
      <c r="R33" s="2">
        <f t="shared" si="12"/>
        <v>2031</v>
      </c>
      <c r="S33" s="91">
        <f t="shared" si="13"/>
        <v>3129219.7130663712</v>
      </c>
    </row>
    <row r="34" spans="2:19">
      <c r="B34" s="2">
        <f t="shared" si="14"/>
        <v>2032</v>
      </c>
      <c r="C34" s="20">
        <f t="shared" si="15"/>
        <v>1435.6671834777756</v>
      </c>
      <c r="D34" s="20">
        <f t="shared" si="5"/>
        <v>63.357013671055455</v>
      </c>
      <c r="E34" s="20">
        <f t="shared" si="5"/>
        <v>130.51519849797955</v>
      </c>
      <c r="F34" s="20">
        <f t="shared" si="5"/>
        <v>158.39253417763862</v>
      </c>
      <c r="G34" s="20">
        <f t="shared" si="3"/>
        <v>2187.7144364244145</v>
      </c>
      <c r="H34" s="20">
        <f t="shared" si="6"/>
        <v>182.3095363687012</v>
      </c>
      <c r="J34" s="3">
        <f t="shared" si="7"/>
        <v>0</v>
      </c>
      <c r="K34" s="3">
        <f t="shared" si="8"/>
        <v>48563.150978864011</v>
      </c>
      <c r="L34" s="3">
        <f t="shared" si="9"/>
        <v>139745.48365397114</v>
      </c>
      <c r="M34" s="3">
        <f t="shared" si="10"/>
        <v>313951.01160743739</v>
      </c>
      <c r="N34" s="3">
        <f t="shared" si="11"/>
        <v>502259.64624027256</v>
      </c>
      <c r="O34" s="3">
        <f t="shared" si="16"/>
        <v>3631479.3593066437</v>
      </c>
      <c r="R34" s="2">
        <f t="shared" si="12"/>
        <v>2032</v>
      </c>
      <c r="S34" s="91">
        <f t="shared" si="13"/>
        <v>3631479.3593066437</v>
      </c>
    </row>
    <row r="35" spans="2:19">
      <c r="B35" s="2">
        <f t="shared" si="14"/>
        <v>2033</v>
      </c>
      <c r="C35" s="20">
        <f t="shared" si="15"/>
        <v>1478.7371989821088</v>
      </c>
      <c r="D35" s="20">
        <f t="shared" si="5"/>
        <v>65.257724081187121</v>
      </c>
      <c r="E35" s="20">
        <f t="shared" si="5"/>
        <v>134.43065445291896</v>
      </c>
      <c r="F35" s="20">
        <f t="shared" si="5"/>
        <v>163.14431020296777</v>
      </c>
      <c r="G35" s="20">
        <f t="shared" si="3"/>
        <v>2253.3458695171466</v>
      </c>
      <c r="H35" s="20">
        <f t="shared" si="6"/>
        <v>187.77882245976221</v>
      </c>
      <c r="J35" s="3">
        <f t="shared" si="7"/>
        <v>0</v>
      </c>
      <c r="K35" s="3">
        <f t="shared" si="8"/>
        <v>50020.04550822993</v>
      </c>
      <c r="L35" s="3">
        <f t="shared" si="9"/>
        <v>143937.8481635903</v>
      </c>
      <c r="M35" s="3">
        <f t="shared" si="10"/>
        <v>323369.5419556605</v>
      </c>
      <c r="N35" s="3">
        <f t="shared" si="11"/>
        <v>517327.43562748074</v>
      </c>
      <c r="O35" s="3">
        <f t="shared" si="16"/>
        <v>4148806.7949341247</v>
      </c>
      <c r="R35" s="2">
        <f t="shared" si="12"/>
        <v>2033</v>
      </c>
      <c r="S35" s="91">
        <f t="shared" si="13"/>
        <v>4148806.7949341247</v>
      </c>
    </row>
    <row r="36" spans="2:19">
      <c r="B36" s="18">
        <f t="shared" si="14"/>
        <v>2034</v>
      </c>
      <c r="C36" s="21">
        <f>(1+C14)*C35*(1+C$12)</f>
        <v>1675.4092464467294</v>
      </c>
      <c r="D36" s="21">
        <f>(1+D14)*D35*(1+D$12)</f>
        <v>69.891022490951414</v>
      </c>
      <c r="E36" s="21">
        <f>(1+E14)*E35*(1+E$12)</f>
        <v>152.3099314951572</v>
      </c>
      <c r="F36" s="21">
        <f>(1+F14)*F35*(1+F$12)</f>
        <v>193.24443543541531</v>
      </c>
      <c r="G36" s="21">
        <f t="shared" si="3"/>
        <v>2567.976731762009</v>
      </c>
      <c r="H36" s="21">
        <f t="shared" si="6"/>
        <v>213.99806098016742</v>
      </c>
      <c r="J36" s="3">
        <f t="shared" si="7"/>
        <v>0</v>
      </c>
      <c r="K36" s="3">
        <f t="shared" si="8"/>
        <v>53571.468739314259</v>
      </c>
      <c r="L36" s="3">
        <f t="shared" si="9"/>
        <v>163081.58196934784</v>
      </c>
      <c r="M36" s="3">
        <f t="shared" si="10"/>
        <v>383031.22244647989</v>
      </c>
      <c r="N36" s="3">
        <f t="shared" si="11"/>
        <v>599684.27315514197</v>
      </c>
      <c r="O36" s="3">
        <f t="shared" si="16"/>
        <v>4748491.0680892663</v>
      </c>
      <c r="R36" s="18">
        <f t="shared" si="12"/>
        <v>2034</v>
      </c>
      <c r="S36" s="91">
        <f t="shared" si="13"/>
        <v>4748491.0680892663</v>
      </c>
    </row>
    <row r="37" spans="2:19">
      <c r="B37" s="18">
        <f t="shared" si="14"/>
        <v>2035</v>
      </c>
      <c r="C37" s="21">
        <f t="shared" ref="C37:C47" si="17">C36*(1+C$13)</f>
        <v>1725.6715238401314</v>
      </c>
      <c r="D37" s="21">
        <f t="shared" ref="D37:D47" si="18">D36*(1+D$13)</f>
        <v>71.288842940770451</v>
      </c>
      <c r="E37" s="21">
        <f t="shared" ref="E37:E47" si="19">E36*(1+E$13)</f>
        <v>159.92542806991506</v>
      </c>
      <c r="F37" s="21">
        <f t="shared" ref="F37:F47" si="20">F36*(1+F$13)</f>
        <v>200.97421285283193</v>
      </c>
      <c r="G37" s="21">
        <f t="shared" si="3"/>
        <v>2654.8911765231974</v>
      </c>
      <c r="H37" s="21">
        <f t="shared" si="6"/>
        <v>221.2409313769331</v>
      </c>
      <c r="J37" s="3">
        <f t="shared" si="7"/>
        <v>0</v>
      </c>
      <c r="K37" s="3">
        <f t="shared" si="8"/>
        <v>54642.898114100557</v>
      </c>
      <c r="L37" s="3">
        <f t="shared" si="9"/>
        <v>171235.66106781521</v>
      </c>
      <c r="M37" s="3">
        <f t="shared" si="10"/>
        <v>398352.47134433908</v>
      </c>
      <c r="N37" s="3">
        <f t="shared" si="11"/>
        <v>624231.03052625479</v>
      </c>
      <c r="O37" s="3">
        <f t="shared" si="16"/>
        <v>5372722.0986155216</v>
      </c>
      <c r="R37" s="18">
        <f t="shared" si="12"/>
        <v>2035</v>
      </c>
      <c r="S37" s="91">
        <f t="shared" si="13"/>
        <v>5372722.0986155216</v>
      </c>
    </row>
    <row r="38" spans="2:19">
      <c r="B38" s="2">
        <f t="shared" si="14"/>
        <v>2036</v>
      </c>
      <c r="C38" s="20">
        <f t="shared" si="17"/>
        <v>1777.4416695553355</v>
      </c>
      <c r="D38" s="20">
        <f t="shared" si="18"/>
        <v>72.714619799585861</v>
      </c>
      <c r="E38" s="20">
        <f t="shared" si="19"/>
        <v>167.92169947341083</v>
      </c>
      <c r="F38" s="20">
        <f t="shared" si="20"/>
        <v>209.01318136694522</v>
      </c>
      <c r="G38" s="20">
        <f t="shared" si="3"/>
        <v>2744.889951618899</v>
      </c>
      <c r="H38" s="20">
        <f t="shared" si="6"/>
        <v>228.74082930157491</v>
      </c>
      <c r="J38" s="3">
        <f t="shared" si="7"/>
        <v>0</v>
      </c>
      <c r="K38" s="3">
        <f t="shared" si="8"/>
        <v>55735.75607638256</v>
      </c>
      <c r="L38" s="3">
        <f t="shared" si="9"/>
        <v>179797.44412120598</v>
      </c>
      <c r="M38" s="3">
        <f t="shared" si="10"/>
        <v>414286.57019811263</v>
      </c>
      <c r="N38" s="3">
        <f t="shared" si="11"/>
        <v>649819.77039570117</v>
      </c>
      <c r="O38" s="3">
        <f t="shared" si="16"/>
        <v>6022541.8690112224</v>
      </c>
      <c r="R38" s="2">
        <f t="shared" si="12"/>
        <v>2036</v>
      </c>
      <c r="S38" s="91">
        <f t="shared" si="13"/>
        <v>6022541.8690112224</v>
      </c>
    </row>
    <row r="39" spans="2:19">
      <c r="B39" s="2">
        <f t="shared" si="14"/>
        <v>2037</v>
      </c>
      <c r="C39" s="20">
        <f t="shared" si="17"/>
        <v>1830.7649196419957</v>
      </c>
      <c r="D39" s="20">
        <f t="shared" si="18"/>
        <v>74.168912195577576</v>
      </c>
      <c r="E39" s="20">
        <f t="shared" si="19"/>
        <v>176.31778444708138</v>
      </c>
      <c r="F39" s="20">
        <f t="shared" si="20"/>
        <v>217.37370862162302</v>
      </c>
      <c r="G39" s="20">
        <f t="shared" si="3"/>
        <v>2838.088128383582</v>
      </c>
      <c r="H39" s="20">
        <f t="shared" si="6"/>
        <v>236.50734403196518</v>
      </c>
      <c r="J39" s="3">
        <f t="shared" si="7"/>
        <v>0</v>
      </c>
      <c r="K39" s="3">
        <f t="shared" si="8"/>
        <v>56850.471197910214</v>
      </c>
      <c r="L39" s="3">
        <f t="shared" si="9"/>
        <v>188787.31632726628</v>
      </c>
      <c r="M39" s="3">
        <f t="shared" si="10"/>
        <v>430858.03300603718</v>
      </c>
      <c r="N39" s="3">
        <f t="shared" si="11"/>
        <v>676495.82053121366</v>
      </c>
      <c r="O39" s="3">
        <f t="shared" si="16"/>
        <v>6699037.689542436</v>
      </c>
      <c r="R39" s="2">
        <f t="shared" si="12"/>
        <v>2037</v>
      </c>
      <c r="S39" s="91">
        <f t="shared" si="13"/>
        <v>6699037.689542436</v>
      </c>
    </row>
    <row r="40" spans="2:19">
      <c r="B40" s="2">
        <f t="shared" si="14"/>
        <v>2038</v>
      </c>
      <c r="C40" s="20">
        <f t="shared" si="17"/>
        <v>1885.6878672312555</v>
      </c>
      <c r="D40" s="20">
        <f t="shared" si="18"/>
        <v>75.652290439489136</v>
      </c>
      <c r="E40" s="20">
        <f t="shared" si="19"/>
        <v>185.13367366943547</v>
      </c>
      <c r="F40" s="20">
        <f t="shared" si="20"/>
        <v>226.06865696648796</v>
      </c>
      <c r="G40" s="20">
        <f t="shared" si="3"/>
        <v>2934.60529264558</v>
      </c>
      <c r="H40" s="20">
        <f t="shared" si="6"/>
        <v>244.55044105379832</v>
      </c>
      <c r="J40" s="3">
        <f t="shared" si="7"/>
        <v>0</v>
      </c>
      <c r="K40" s="3">
        <f t="shared" si="8"/>
        <v>57987.480621868424</v>
      </c>
      <c r="L40" s="3">
        <f t="shared" si="9"/>
        <v>198226.68214362964</v>
      </c>
      <c r="M40" s="3">
        <f t="shared" si="10"/>
        <v>448092.35432627873</v>
      </c>
      <c r="N40" s="3">
        <f t="shared" si="11"/>
        <v>704306.51709177683</v>
      </c>
      <c r="O40" s="3">
        <f t="shared" si="16"/>
        <v>7403344.2066342132</v>
      </c>
      <c r="R40" s="2">
        <f t="shared" si="12"/>
        <v>2038</v>
      </c>
      <c r="S40" s="91">
        <f t="shared" si="13"/>
        <v>7403344.2066342132</v>
      </c>
    </row>
    <row r="41" spans="2:19">
      <c r="B41" s="2">
        <f t="shared" si="14"/>
        <v>2039</v>
      </c>
      <c r="C41" s="20">
        <f t="shared" si="17"/>
        <v>1942.2585032481932</v>
      </c>
      <c r="D41" s="20">
        <f t="shared" si="18"/>
        <v>77.165336248278919</v>
      </c>
      <c r="E41" s="20">
        <f t="shared" si="19"/>
        <v>194.39035735290724</v>
      </c>
      <c r="F41" s="20">
        <f t="shared" si="20"/>
        <v>235.1114032451475</v>
      </c>
      <c r="G41" s="20">
        <f t="shared" si="3"/>
        <v>3034.5657304392944</v>
      </c>
      <c r="H41" s="20">
        <f t="shared" si="6"/>
        <v>252.88047753660786</v>
      </c>
      <c r="J41" s="3">
        <f t="shared" si="7"/>
        <v>0</v>
      </c>
      <c r="K41" s="3">
        <f t="shared" si="8"/>
        <v>59147.230234305789</v>
      </c>
      <c r="L41" s="3">
        <f t="shared" si="9"/>
        <v>208138.01625081111</v>
      </c>
      <c r="M41" s="3">
        <f t="shared" si="10"/>
        <v>466016.04849932983</v>
      </c>
      <c r="N41" s="3">
        <f t="shared" si="11"/>
        <v>733301.29498444672</v>
      </c>
      <c r="O41" s="3">
        <f t="shared" si="16"/>
        <v>8136645.5016186601</v>
      </c>
      <c r="R41" s="2">
        <f t="shared" si="12"/>
        <v>2039</v>
      </c>
      <c r="S41" s="91">
        <f t="shared" si="13"/>
        <v>8136645.5016186601</v>
      </c>
    </row>
    <row r="42" spans="2:19">
      <c r="B42" s="2">
        <f t="shared" si="14"/>
        <v>2040</v>
      </c>
      <c r="C42" s="20">
        <f t="shared" si="17"/>
        <v>2000.526258345639</v>
      </c>
      <c r="D42" s="20">
        <f t="shared" si="18"/>
        <v>78.708642973244494</v>
      </c>
      <c r="E42" s="20">
        <f t="shared" si="19"/>
        <v>204.10987522055262</v>
      </c>
      <c r="F42" s="20">
        <f t="shared" si="20"/>
        <v>244.51585937495341</v>
      </c>
      <c r="G42" s="20">
        <f t="shared" si="3"/>
        <v>3138.0986216839947</v>
      </c>
      <c r="H42" s="20">
        <f t="shared" si="6"/>
        <v>261.5082184736662</v>
      </c>
      <c r="J42" s="3">
        <f t="shared" si="7"/>
        <v>0</v>
      </c>
      <c r="K42" s="3">
        <f t="shared" si="8"/>
        <v>60330.174838991908</v>
      </c>
      <c r="L42" s="3">
        <f t="shared" si="9"/>
        <v>218544.91706335172</v>
      </c>
      <c r="M42" s="3">
        <f t="shared" si="10"/>
        <v>484656.69043930311</v>
      </c>
      <c r="N42" s="3">
        <f t="shared" si="11"/>
        <v>763531.78234164673</v>
      </c>
      <c r="O42" s="3">
        <f t="shared" si="16"/>
        <v>8900177.283960307</v>
      </c>
      <c r="R42" s="2">
        <f t="shared" si="12"/>
        <v>2040</v>
      </c>
      <c r="S42" s="91">
        <f t="shared" si="13"/>
        <v>8900177.283960307</v>
      </c>
    </row>
    <row r="43" spans="2:19">
      <c r="B43" s="2">
        <f t="shared" si="14"/>
        <v>2041</v>
      </c>
      <c r="C43" s="20">
        <f t="shared" si="17"/>
        <v>2060.5420460960081</v>
      </c>
      <c r="D43" s="20">
        <f t="shared" si="18"/>
        <v>80.282815832709389</v>
      </c>
      <c r="E43" s="20">
        <f t="shared" si="19"/>
        <v>214.31536898158026</v>
      </c>
      <c r="F43" s="20">
        <f t="shared" si="20"/>
        <v>254.29649374995157</v>
      </c>
      <c r="G43" s="20">
        <f t="shared" si="3"/>
        <v>3245.3382421831116</v>
      </c>
      <c r="H43" s="20">
        <f t="shared" si="6"/>
        <v>270.4448535152593</v>
      </c>
      <c r="J43" s="3">
        <f t="shared" si="7"/>
        <v>0</v>
      </c>
      <c r="K43" s="3">
        <f t="shared" si="8"/>
        <v>61536.778335771749</v>
      </c>
      <c r="L43" s="3">
        <f t="shared" si="9"/>
        <v>229472.1629165193</v>
      </c>
      <c r="M43" s="3">
        <f t="shared" si="10"/>
        <v>504042.95805687527</v>
      </c>
      <c r="N43" s="3">
        <f t="shared" si="11"/>
        <v>795051.89930916624</v>
      </c>
      <c r="O43" s="3">
        <f t="shared" si="16"/>
        <v>9695229.1832694728</v>
      </c>
      <c r="R43" s="2">
        <f t="shared" si="12"/>
        <v>2041</v>
      </c>
      <c r="S43" s="91">
        <f t="shared" si="13"/>
        <v>9695229.1832694728</v>
      </c>
    </row>
    <row r="44" spans="2:19">
      <c r="B44" s="2">
        <f t="shared" si="14"/>
        <v>2042</v>
      </c>
      <c r="C44" s="20">
        <f t="shared" si="17"/>
        <v>2122.3583074788885</v>
      </c>
      <c r="D44" s="20">
        <f t="shared" si="18"/>
        <v>81.888472149363579</v>
      </c>
      <c r="E44" s="20">
        <f t="shared" si="19"/>
        <v>225.0311374306593</v>
      </c>
      <c r="F44" s="20">
        <f t="shared" si="20"/>
        <v>264.46835349994961</v>
      </c>
      <c r="G44" s="20">
        <f t="shared" si="3"/>
        <v>3356.4241743141265</v>
      </c>
      <c r="H44" s="20">
        <f t="shared" si="6"/>
        <v>279.70201452617721</v>
      </c>
      <c r="J44" s="3">
        <f t="shared" si="7"/>
        <v>0</v>
      </c>
      <c r="K44" s="3">
        <f t="shared" si="8"/>
        <v>62767.51390248719</v>
      </c>
      <c r="L44" s="3">
        <f t="shared" si="9"/>
        <v>240945.77106234527</v>
      </c>
      <c r="M44" s="3">
        <f t="shared" si="10"/>
        <v>524204.67637915019</v>
      </c>
      <c r="N44" s="3">
        <f t="shared" si="11"/>
        <v>827917.96134398272</v>
      </c>
      <c r="O44" s="3">
        <f t="shared" si="16"/>
        <v>10523147.144613456</v>
      </c>
      <c r="R44" s="2">
        <f t="shared" si="12"/>
        <v>2042</v>
      </c>
      <c r="S44" s="91">
        <f t="shared" si="13"/>
        <v>10523147.144613456</v>
      </c>
    </row>
    <row r="45" spans="2:19">
      <c r="B45" s="2">
        <f t="shared" si="14"/>
        <v>2043</v>
      </c>
      <c r="C45" s="20">
        <f t="shared" si="17"/>
        <v>2186.0290567032553</v>
      </c>
      <c r="D45" s="20">
        <f t="shared" si="18"/>
        <v>83.526241592350857</v>
      </c>
      <c r="E45" s="20">
        <f t="shared" si="19"/>
        <v>236.28269430219228</v>
      </c>
      <c r="F45" s="20">
        <f t="shared" si="20"/>
        <v>275.04708763994762</v>
      </c>
      <c r="G45" s="20">
        <f t="shared" si="3"/>
        <v>3471.5015267960353</v>
      </c>
      <c r="H45" s="20">
        <f t="shared" si="6"/>
        <v>289.29179389966959</v>
      </c>
      <c r="J45" s="3">
        <f t="shared" si="7"/>
        <v>0</v>
      </c>
      <c r="K45" s="3">
        <f t="shared" si="8"/>
        <v>64022.864180536941</v>
      </c>
      <c r="L45" s="3">
        <f t="shared" si="9"/>
        <v>252993.05961546255</v>
      </c>
      <c r="M45" s="3">
        <f t="shared" si="10"/>
        <v>545172.86343431636</v>
      </c>
      <c r="N45" s="3">
        <f t="shared" si="11"/>
        <v>862188.78723031585</v>
      </c>
      <c r="O45" s="3">
        <f t="shared" si="16"/>
        <v>11385335.931843773</v>
      </c>
      <c r="R45" s="2">
        <f t="shared" si="12"/>
        <v>2043</v>
      </c>
      <c r="S45" s="91">
        <f t="shared" si="13"/>
        <v>11385335.931843773</v>
      </c>
    </row>
    <row r="46" spans="2:19">
      <c r="B46" s="2">
        <f t="shared" si="14"/>
        <v>2044</v>
      </c>
      <c r="C46" s="20">
        <f t="shared" si="17"/>
        <v>2251.609928404353</v>
      </c>
      <c r="D46" s="20">
        <f t="shared" si="18"/>
        <v>85.196766424197875</v>
      </c>
      <c r="E46" s="20">
        <f t="shared" si="19"/>
        <v>248.0968290173019</v>
      </c>
      <c r="F46" s="20">
        <f t="shared" si="20"/>
        <v>286.04897114554552</v>
      </c>
      <c r="G46" s="20">
        <f t="shared" si="3"/>
        <v>3590.7211639391171</v>
      </c>
      <c r="H46" s="20">
        <f t="shared" si="6"/>
        <v>299.22676366159311</v>
      </c>
      <c r="I46" s="22"/>
      <c r="J46" s="3">
        <f t="shared" si="7"/>
        <v>0</v>
      </c>
      <c r="K46" s="3">
        <f t="shared" si="8"/>
        <v>65303.321464147673</v>
      </c>
      <c r="L46" s="3">
        <f t="shared" si="9"/>
        <v>265642.71259623568</v>
      </c>
      <c r="M46" s="3">
        <f t="shared" si="10"/>
        <v>566979.77797168901</v>
      </c>
      <c r="N46" s="3">
        <f t="shared" si="11"/>
        <v>897925.81203207234</v>
      </c>
      <c r="O46" s="3">
        <f t="shared" si="16"/>
        <v>12283261.743875844</v>
      </c>
      <c r="R46" s="2">
        <f t="shared" si="12"/>
        <v>2044</v>
      </c>
      <c r="S46" s="91">
        <f t="shared" si="13"/>
        <v>12283261.743875844</v>
      </c>
    </row>
    <row r="47" spans="2:19">
      <c r="B47" s="2">
        <f t="shared" si="14"/>
        <v>2045</v>
      </c>
      <c r="C47" s="20">
        <f t="shared" si="17"/>
        <v>2319.1582262564839</v>
      </c>
      <c r="D47" s="20">
        <f t="shared" si="18"/>
        <v>86.90070175268184</v>
      </c>
      <c r="E47" s="20">
        <f t="shared" si="19"/>
        <v>260.50167046816699</v>
      </c>
      <c r="F47" s="20">
        <f t="shared" si="20"/>
        <v>297.49092999136735</v>
      </c>
      <c r="G47" s="20">
        <f t="shared" si="3"/>
        <v>3714.2399448002593</v>
      </c>
      <c r="H47" s="20">
        <f t="shared" si="6"/>
        <v>309.51999540002163</v>
      </c>
      <c r="J47" s="3">
        <f t="shared" si="7"/>
        <v>0</v>
      </c>
      <c r="K47" s="3">
        <f t="shared" si="8"/>
        <v>66609.387893430627</v>
      </c>
      <c r="L47" s="3">
        <f t="shared" si="9"/>
        <v>278924.84822604747</v>
      </c>
      <c r="M47" s="3">
        <f t="shared" si="10"/>
        <v>589658.96909055649</v>
      </c>
      <c r="N47" s="3">
        <f t="shared" si="11"/>
        <v>935193.20521003462</v>
      </c>
      <c r="O47" s="19">
        <f t="shared" si="16"/>
        <v>13218454.949085878</v>
      </c>
      <c r="R47" s="2">
        <f t="shared" si="12"/>
        <v>2045</v>
      </c>
      <c r="S47" s="91">
        <f t="shared" si="13"/>
        <v>13218454.949085878</v>
      </c>
    </row>
  </sheetData>
  <mergeCells count="10">
    <mergeCell ref="J22:O22"/>
    <mergeCell ref="S2:Y2"/>
    <mergeCell ref="C3:G3"/>
    <mergeCell ref="G25:H25"/>
    <mergeCell ref="B22:H22"/>
    <mergeCell ref="J24:M24"/>
    <mergeCell ref="N24:N26"/>
    <mergeCell ref="O24:O26"/>
    <mergeCell ref="S13:S14"/>
    <mergeCell ref="S17:S2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15B4E-F321-4BC6-A863-B41026826A52}">
  <dimension ref="B2:P57"/>
  <sheetViews>
    <sheetView zoomScale="70" zoomScaleNormal="70" workbookViewId="0">
      <selection activeCell="P19" sqref="P19"/>
    </sheetView>
  </sheetViews>
  <sheetFormatPr defaultColWidth="8.85546875" defaultRowHeight="14.45"/>
  <cols>
    <col min="2" max="4" width="8.85546875" style="1"/>
    <col min="7" max="7" width="19.5703125" customWidth="1"/>
    <col min="8" max="8" width="22.28515625" customWidth="1"/>
    <col min="12" max="12" width="11.140625" bestFit="1" customWidth="1"/>
    <col min="13" max="13" width="10.7109375" bestFit="1" customWidth="1"/>
    <col min="14" max="14" width="11.7109375" bestFit="1" customWidth="1"/>
  </cols>
  <sheetData>
    <row r="2" spans="2:16">
      <c r="B2" s="181" t="s">
        <v>46</v>
      </c>
      <c r="C2" s="181"/>
      <c r="D2" s="181"/>
    </row>
    <row r="3" spans="2:16">
      <c r="B3" s="2" t="s">
        <v>47</v>
      </c>
      <c r="C3" s="2">
        <v>1.5</v>
      </c>
      <c r="D3" s="2" t="s">
        <v>48</v>
      </c>
    </row>
    <row r="4" spans="2:16">
      <c r="B4" s="2" t="s">
        <v>49</v>
      </c>
      <c r="C4" s="2">
        <v>1</v>
      </c>
      <c r="D4" s="2" t="s">
        <v>48</v>
      </c>
    </row>
    <row r="5" spans="2:16">
      <c r="B5" s="2" t="s">
        <v>50</v>
      </c>
      <c r="C5" s="2">
        <v>20</v>
      </c>
      <c r="D5" s="2" t="s">
        <v>51</v>
      </c>
    </row>
    <row r="6" spans="2:16">
      <c r="B6" s="2" t="s">
        <v>52</v>
      </c>
      <c r="C6" s="5">
        <f>IF(C5&lt;12,17.6*C5^0.64,22.1*C5^0.55)</f>
        <v>114.80446294741726</v>
      </c>
      <c r="D6" s="2" t="s">
        <v>53</v>
      </c>
    </row>
    <row r="8" spans="2:16">
      <c r="B8" s="2" t="s">
        <v>54</v>
      </c>
      <c r="C8" s="2" t="s">
        <v>55</v>
      </c>
      <c r="D8" s="2" t="s">
        <v>56</v>
      </c>
      <c r="E8" s="2" t="s">
        <v>57</v>
      </c>
      <c r="F8" s="2" t="s">
        <v>58</v>
      </c>
      <c r="G8" s="6" t="s">
        <v>59</v>
      </c>
      <c r="H8" s="7" t="s">
        <v>60</v>
      </c>
      <c r="I8" s="7" t="s">
        <v>61</v>
      </c>
      <c r="L8" s="84" t="s">
        <v>62</v>
      </c>
      <c r="M8" s="85" t="s">
        <v>63</v>
      </c>
      <c r="N8" s="85" t="s">
        <v>64</v>
      </c>
    </row>
    <row r="9" spans="2:16">
      <c r="B9" s="2">
        <v>1</v>
      </c>
      <c r="C9" s="2">
        <v>0</v>
      </c>
      <c r="D9" s="2">
        <v>15</v>
      </c>
      <c r="E9" s="3">
        <f>IF(D9&lt;12,17.6*D9^0.64,22.1*D9^0.55)</f>
        <v>98.003698634810036</v>
      </c>
      <c r="F9" s="5">
        <f>IF(D9&lt;=3,$C$6,IF(D9&lt;=10,(0.125/(0.0156+$C$4^2*($C$6/E9)^(2/3))^0.5*(1-E9/$C$6)+E9/$C$6)^(-1)*E9,E9))</f>
        <v>98.003698634810036</v>
      </c>
      <c r="G9" s="194">
        <f>AVERAGE(F9:F30)</f>
        <v>105.82989552012964</v>
      </c>
      <c r="H9" s="195">
        <f>_xlfn.STDEV.P(F9:F30)</f>
        <v>9.9955292122973205</v>
      </c>
      <c r="I9" s="196">
        <f>H9/G9</f>
        <v>9.444901332625899E-2</v>
      </c>
      <c r="J9" s="8">
        <f>$G$9</f>
        <v>105.82989552012964</v>
      </c>
      <c r="L9" s="189">
        <f>G9+2*H9</f>
        <v>125.82095394472428</v>
      </c>
      <c r="M9" s="190">
        <f>G9-2*H9</f>
        <v>85.838837095534998</v>
      </c>
      <c r="N9" s="190" t="str" cm="1">
        <f t="array" ref="N9">IF(AND(F9:F30&lt;=L9,F9:F30&gt;=M9),"OK","REVISAR")</f>
        <v>OK</v>
      </c>
      <c r="P9">
        <f>(G9/22.1)^(1/0.55)</f>
        <v>17.248706562777699</v>
      </c>
    </row>
    <row r="10" spans="2:16">
      <c r="B10" s="2">
        <v>2</v>
      </c>
      <c r="C10" s="2">
        <v>0.25</v>
      </c>
      <c r="D10" s="2">
        <v>15</v>
      </c>
      <c r="E10" s="3">
        <f t="shared" ref="E10:E57" si="0">IF(D10&lt;12,17.6*D10^0.64,22.1*D10^0.55)</f>
        <v>98.003698634810036</v>
      </c>
      <c r="F10" s="5">
        <f t="shared" ref="F10:F57" si="1">IF(D10&lt;=3,$C$6,IF(D10&lt;=10,(0.125/(0.0156+$C$4^2*($C$6/E10)^(2/3))^0.5*(1-E10/$C$6)+E10/$C$6)^(-1)*E10,E10))</f>
        <v>98.003698634810036</v>
      </c>
      <c r="G10" s="194"/>
      <c r="H10" s="195"/>
      <c r="I10" s="196"/>
      <c r="J10" s="8">
        <f t="shared" ref="J10:J30" si="2">$G$9</f>
        <v>105.82989552012964</v>
      </c>
      <c r="L10" s="189"/>
      <c r="M10" s="190"/>
      <c r="N10" s="190"/>
      <c r="P10">
        <f>(G31/22.1)^(1/0.55)</f>
        <v>35.256408628285406</v>
      </c>
    </row>
    <row r="11" spans="2:16">
      <c r="B11" s="2">
        <v>3</v>
      </c>
      <c r="C11" s="2">
        <v>0.5</v>
      </c>
      <c r="D11" s="2">
        <v>13</v>
      </c>
      <c r="E11" s="3">
        <f t="shared" si="0"/>
        <v>90.586007193000626</v>
      </c>
      <c r="F11" s="5">
        <f t="shared" si="1"/>
        <v>90.586007193000626</v>
      </c>
      <c r="G11" s="194"/>
      <c r="H11" s="195"/>
      <c r="I11" s="196"/>
      <c r="J11" s="8">
        <f t="shared" si="2"/>
        <v>105.82989552012964</v>
      </c>
      <c r="L11" s="189"/>
      <c r="M11" s="190"/>
      <c r="N11" s="190"/>
      <c r="P11">
        <f>(G47/22.1)^(1/0.55)</f>
        <v>14.959620535291183</v>
      </c>
    </row>
    <row r="12" spans="2:16">
      <c r="B12" s="2">
        <v>4</v>
      </c>
      <c r="C12" s="2">
        <v>0.75</v>
      </c>
      <c r="D12" s="2">
        <v>12</v>
      </c>
      <c r="E12" s="3">
        <f t="shared" si="0"/>
        <v>86.684601897386656</v>
      </c>
      <c r="F12" s="5">
        <f t="shared" si="1"/>
        <v>86.684601897386656</v>
      </c>
      <c r="G12" s="194"/>
      <c r="H12" s="195"/>
      <c r="I12" s="196"/>
      <c r="J12" s="8">
        <f t="shared" si="2"/>
        <v>105.82989552012964</v>
      </c>
      <c r="L12" s="189"/>
      <c r="M12" s="190"/>
      <c r="N12" s="190"/>
    </row>
    <row r="13" spans="2:16">
      <c r="B13" s="2">
        <v>5</v>
      </c>
      <c r="C13" s="2">
        <v>1</v>
      </c>
      <c r="D13" s="2">
        <v>16</v>
      </c>
      <c r="E13" s="3">
        <f t="shared" si="0"/>
        <v>101.54493458173789</v>
      </c>
      <c r="F13" s="5">
        <f t="shared" si="1"/>
        <v>101.54493458173789</v>
      </c>
      <c r="G13" s="194"/>
      <c r="H13" s="195"/>
      <c r="I13" s="196"/>
      <c r="J13" s="8">
        <f t="shared" si="2"/>
        <v>105.82989552012964</v>
      </c>
      <c r="L13" s="189"/>
      <c r="M13" s="190"/>
      <c r="N13" s="190"/>
    </row>
    <row r="14" spans="2:16">
      <c r="B14" s="2">
        <v>6</v>
      </c>
      <c r="C14" s="2">
        <v>1.25</v>
      </c>
      <c r="D14" s="2">
        <v>17</v>
      </c>
      <c r="E14" s="3">
        <f t="shared" si="0"/>
        <v>104.98788344684891</v>
      </c>
      <c r="F14" s="5">
        <f t="shared" si="1"/>
        <v>104.98788344684891</v>
      </c>
      <c r="G14" s="194"/>
      <c r="H14" s="195"/>
      <c r="I14" s="196"/>
      <c r="J14" s="8">
        <f t="shared" si="2"/>
        <v>105.82989552012964</v>
      </c>
      <c r="L14" s="189"/>
      <c r="M14" s="190"/>
      <c r="N14" s="190"/>
    </row>
    <row r="15" spans="2:16">
      <c r="B15" s="2">
        <v>7</v>
      </c>
      <c r="C15" s="2">
        <v>1.5</v>
      </c>
      <c r="D15" s="2">
        <v>17</v>
      </c>
      <c r="E15" s="3">
        <f t="shared" si="0"/>
        <v>104.98788344684891</v>
      </c>
      <c r="F15" s="5">
        <f t="shared" si="1"/>
        <v>104.98788344684891</v>
      </c>
      <c r="G15" s="194"/>
      <c r="H15" s="195"/>
      <c r="I15" s="196"/>
      <c r="J15" s="8">
        <f t="shared" si="2"/>
        <v>105.82989552012964</v>
      </c>
      <c r="L15" s="189"/>
      <c r="M15" s="190"/>
      <c r="N15" s="190"/>
    </row>
    <row r="16" spans="2:16">
      <c r="B16" s="2">
        <v>8</v>
      </c>
      <c r="C16" s="2">
        <v>1.75</v>
      </c>
      <c r="D16" s="2">
        <v>17</v>
      </c>
      <c r="E16" s="3">
        <f t="shared" si="0"/>
        <v>104.98788344684891</v>
      </c>
      <c r="F16" s="5">
        <f t="shared" si="1"/>
        <v>104.98788344684891</v>
      </c>
      <c r="G16" s="194"/>
      <c r="H16" s="195"/>
      <c r="I16" s="196"/>
      <c r="J16" s="8">
        <f t="shared" si="2"/>
        <v>105.82989552012964</v>
      </c>
      <c r="L16" s="189"/>
      <c r="M16" s="190"/>
      <c r="N16" s="190"/>
    </row>
    <row r="17" spans="2:14">
      <c r="B17" s="2">
        <v>9</v>
      </c>
      <c r="C17" s="2">
        <v>2</v>
      </c>
      <c r="D17" s="2">
        <v>19</v>
      </c>
      <c r="E17" s="3">
        <f t="shared" si="0"/>
        <v>111.61093701426235</v>
      </c>
      <c r="F17" s="5">
        <f t="shared" si="1"/>
        <v>111.61093701426235</v>
      </c>
      <c r="G17" s="194"/>
      <c r="H17" s="195"/>
      <c r="I17" s="196"/>
      <c r="J17" s="8">
        <f t="shared" si="2"/>
        <v>105.82989552012964</v>
      </c>
      <c r="L17" s="189"/>
      <c r="M17" s="190"/>
      <c r="N17" s="190"/>
    </row>
    <row r="18" spans="2:14">
      <c r="B18" s="2">
        <v>10</v>
      </c>
      <c r="C18" s="2">
        <v>2.25</v>
      </c>
      <c r="D18" s="2">
        <v>16</v>
      </c>
      <c r="E18" s="3">
        <f t="shared" si="0"/>
        <v>101.54493458173789</v>
      </c>
      <c r="F18" s="5">
        <f t="shared" si="1"/>
        <v>101.54493458173789</v>
      </c>
      <c r="G18" s="194"/>
      <c r="H18" s="195"/>
      <c r="I18" s="196"/>
      <c r="J18" s="8">
        <f t="shared" si="2"/>
        <v>105.82989552012964</v>
      </c>
      <c r="L18" s="189"/>
      <c r="M18" s="190"/>
      <c r="N18" s="190"/>
    </row>
    <row r="19" spans="2:14">
      <c r="B19" s="2">
        <v>11</v>
      </c>
      <c r="C19" s="2">
        <v>2.5</v>
      </c>
      <c r="D19" s="2">
        <v>2</v>
      </c>
      <c r="E19" s="3">
        <f t="shared" si="0"/>
        <v>27.426593204049599</v>
      </c>
      <c r="F19" s="5">
        <f>IF(D19&lt;=3,$C$6,IF(D19&lt;=10,(0.125/(0.0156+$C$4^2*($C$6/E19)^(2/3))^0.5*(1-E19/$C$6)+E19/$C$6)^(-1)*E19,E19))</f>
        <v>114.80446294741726</v>
      </c>
      <c r="G19" s="194"/>
      <c r="H19" s="195"/>
      <c r="I19" s="196"/>
      <c r="J19" s="8">
        <f t="shared" si="2"/>
        <v>105.82989552012964</v>
      </c>
      <c r="L19" s="189"/>
      <c r="M19" s="190"/>
      <c r="N19" s="190"/>
    </row>
    <row r="20" spans="2:14">
      <c r="B20" s="2">
        <v>12</v>
      </c>
      <c r="C20" s="2">
        <v>2.75</v>
      </c>
      <c r="D20" s="2">
        <v>1</v>
      </c>
      <c r="E20" s="3">
        <f t="shared" si="0"/>
        <v>17.600000000000001</v>
      </c>
      <c r="F20" s="5">
        <f t="shared" si="1"/>
        <v>114.80446294741726</v>
      </c>
      <c r="G20" s="194"/>
      <c r="H20" s="195"/>
      <c r="I20" s="196"/>
      <c r="J20" s="8">
        <f t="shared" si="2"/>
        <v>105.82989552012964</v>
      </c>
      <c r="L20" s="189"/>
      <c r="M20" s="190"/>
      <c r="N20" s="190"/>
    </row>
    <row r="21" spans="2:14">
      <c r="B21" s="2">
        <v>13</v>
      </c>
      <c r="C21" s="2">
        <v>3</v>
      </c>
      <c r="D21" s="2">
        <v>3</v>
      </c>
      <c r="E21" s="3">
        <f t="shared" si="0"/>
        <v>35.552510293409526</v>
      </c>
      <c r="F21" s="5">
        <f t="shared" si="1"/>
        <v>114.80446294741726</v>
      </c>
      <c r="G21" s="194"/>
      <c r="H21" s="195"/>
      <c r="I21" s="196"/>
      <c r="J21" s="8">
        <f t="shared" si="2"/>
        <v>105.82989552012964</v>
      </c>
      <c r="L21" s="189"/>
      <c r="M21" s="190"/>
      <c r="N21" s="190"/>
    </row>
    <row r="22" spans="2:14">
      <c r="B22" s="2">
        <v>14</v>
      </c>
      <c r="C22" s="2">
        <v>3.25</v>
      </c>
      <c r="D22" s="2">
        <v>2</v>
      </c>
      <c r="E22" s="3">
        <f t="shared" si="0"/>
        <v>27.426593204049599</v>
      </c>
      <c r="F22" s="5">
        <f t="shared" si="1"/>
        <v>114.80446294741726</v>
      </c>
      <c r="G22" s="194"/>
      <c r="H22" s="195"/>
      <c r="I22" s="196"/>
      <c r="J22" s="8">
        <f t="shared" si="2"/>
        <v>105.82989552012964</v>
      </c>
      <c r="L22" s="189"/>
      <c r="M22" s="190"/>
      <c r="N22" s="190"/>
    </row>
    <row r="23" spans="2:14">
      <c r="B23" s="2">
        <v>15</v>
      </c>
      <c r="C23" s="2">
        <v>3.5</v>
      </c>
      <c r="D23" s="2">
        <v>1</v>
      </c>
      <c r="E23" s="3">
        <f t="shared" si="0"/>
        <v>17.600000000000001</v>
      </c>
      <c r="F23" s="5">
        <f t="shared" si="1"/>
        <v>114.80446294741726</v>
      </c>
      <c r="G23" s="194"/>
      <c r="H23" s="195"/>
      <c r="I23" s="196"/>
      <c r="J23" s="8">
        <f t="shared" si="2"/>
        <v>105.82989552012964</v>
      </c>
      <c r="L23" s="189"/>
      <c r="M23" s="190"/>
      <c r="N23" s="190"/>
    </row>
    <row r="24" spans="2:14">
      <c r="B24" s="2">
        <v>16</v>
      </c>
      <c r="C24" s="2">
        <v>3.75</v>
      </c>
      <c r="D24" s="2">
        <v>3</v>
      </c>
      <c r="E24" s="3">
        <f t="shared" si="0"/>
        <v>35.552510293409526</v>
      </c>
      <c r="F24" s="5">
        <f t="shared" si="1"/>
        <v>114.80446294741726</v>
      </c>
      <c r="G24" s="194"/>
      <c r="H24" s="195"/>
      <c r="I24" s="196"/>
      <c r="J24" s="8">
        <f t="shared" si="2"/>
        <v>105.82989552012964</v>
      </c>
      <c r="L24" s="189"/>
      <c r="M24" s="190"/>
      <c r="N24" s="190"/>
    </row>
    <row r="25" spans="2:14">
      <c r="B25" s="2">
        <v>17</v>
      </c>
      <c r="C25" s="2">
        <v>4</v>
      </c>
      <c r="D25" s="2">
        <v>2</v>
      </c>
      <c r="E25" s="3">
        <f t="shared" si="0"/>
        <v>27.426593204049599</v>
      </c>
      <c r="F25" s="5">
        <f t="shared" si="1"/>
        <v>114.80446294741726</v>
      </c>
      <c r="G25" s="194"/>
      <c r="H25" s="195"/>
      <c r="I25" s="196"/>
      <c r="J25" s="8">
        <f t="shared" si="2"/>
        <v>105.82989552012964</v>
      </c>
      <c r="L25" s="189"/>
      <c r="M25" s="190"/>
      <c r="N25" s="190"/>
    </row>
    <row r="26" spans="2:14">
      <c r="B26" s="2">
        <v>18</v>
      </c>
      <c r="C26" s="2">
        <v>4.25</v>
      </c>
      <c r="D26" s="2">
        <v>1</v>
      </c>
      <c r="E26" s="3">
        <f t="shared" si="0"/>
        <v>17.600000000000001</v>
      </c>
      <c r="F26" s="5">
        <f t="shared" si="1"/>
        <v>114.80446294741726</v>
      </c>
      <c r="G26" s="194"/>
      <c r="H26" s="195"/>
      <c r="I26" s="196"/>
      <c r="J26" s="8">
        <f t="shared" si="2"/>
        <v>105.82989552012964</v>
      </c>
      <c r="L26" s="189"/>
      <c r="M26" s="190"/>
      <c r="N26" s="190"/>
    </row>
    <row r="27" spans="2:14">
      <c r="B27" s="2">
        <v>19</v>
      </c>
      <c r="C27" s="2">
        <v>4.5</v>
      </c>
      <c r="D27" s="2">
        <v>3</v>
      </c>
      <c r="E27" s="3">
        <f t="shared" si="0"/>
        <v>35.552510293409526</v>
      </c>
      <c r="F27" s="5">
        <f t="shared" si="1"/>
        <v>114.80446294741726</v>
      </c>
      <c r="G27" s="194"/>
      <c r="H27" s="195"/>
      <c r="I27" s="196"/>
      <c r="J27" s="8">
        <f t="shared" si="2"/>
        <v>105.82989552012964</v>
      </c>
      <c r="L27" s="189"/>
      <c r="M27" s="190"/>
      <c r="N27" s="190"/>
    </row>
    <row r="28" spans="2:14">
      <c r="B28" s="2">
        <v>20</v>
      </c>
      <c r="C28" s="2">
        <v>4.75</v>
      </c>
      <c r="D28" s="2">
        <v>12</v>
      </c>
      <c r="E28" s="3">
        <f t="shared" si="0"/>
        <v>86.684601897386656</v>
      </c>
      <c r="F28" s="5">
        <f t="shared" si="1"/>
        <v>86.684601897386656</v>
      </c>
      <c r="G28" s="194"/>
      <c r="H28" s="195"/>
      <c r="I28" s="196"/>
      <c r="J28" s="8">
        <f t="shared" si="2"/>
        <v>105.82989552012964</v>
      </c>
      <c r="L28" s="189"/>
      <c r="M28" s="190"/>
      <c r="N28" s="190"/>
    </row>
    <row r="29" spans="2:14">
      <c r="B29" s="2">
        <v>21</v>
      </c>
      <c r="C29" s="2">
        <v>5</v>
      </c>
      <c r="D29" s="2">
        <v>13</v>
      </c>
      <c r="E29" s="3">
        <f t="shared" si="0"/>
        <v>90.586007193000626</v>
      </c>
      <c r="F29" s="5">
        <f t="shared" si="1"/>
        <v>90.586007193000626</v>
      </c>
      <c r="G29" s="194"/>
      <c r="H29" s="195"/>
      <c r="I29" s="196"/>
      <c r="J29" s="8">
        <f t="shared" si="2"/>
        <v>105.82989552012964</v>
      </c>
      <c r="L29" s="189"/>
      <c r="M29" s="190"/>
      <c r="N29" s="190"/>
    </row>
    <row r="30" spans="2:14">
      <c r="B30" s="2">
        <v>22</v>
      </c>
      <c r="C30" s="2">
        <v>5.25</v>
      </c>
      <c r="D30" s="2">
        <v>20</v>
      </c>
      <c r="E30" s="3">
        <f t="shared" si="0"/>
        <v>114.80446294741726</v>
      </c>
      <c r="F30" s="5">
        <f t="shared" si="1"/>
        <v>114.80446294741726</v>
      </c>
      <c r="G30" s="194"/>
      <c r="H30" s="195"/>
      <c r="I30" s="196"/>
      <c r="J30" s="8">
        <f t="shared" si="2"/>
        <v>105.82989552012964</v>
      </c>
      <c r="L30" s="189"/>
      <c r="M30" s="190"/>
      <c r="N30" s="190"/>
    </row>
    <row r="31" spans="2:14">
      <c r="B31" s="2">
        <v>23</v>
      </c>
      <c r="C31" s="2">
        <v>5.5</v>
      </c>
      <c r="D31" s="2">
        <v>25</v>
      </c>
      <c r="E31" s="3">
        <f t="shared" si="0"/>
        <v>129.79539321122613</v>
      </c>
      <c r="F31" s="5">
        <f t="shared" si="1"/>
        <v>129.79539321122613</v>
      </c>
      <c r="G31" s="194">
        <f>AVERAGE(F31:F46)</f>
        <v>156.80980428808306</v>
      </c>
      <c r="H31" s="194">
        <f>_xlfn.STDEV.P(F31:F46)</f>
        <v>18.618915083315226</v>
      </c>
      <c r="I31" s="196">
        <f>H31/G31</f>
        <v>0.11873565666282891</v>
      </c>
      <c r="J31" s="8">
        <f>$G$31</f>
        <v>156.80980428808306</v>
      </c>
      <c r="L31" s="188">
        <f>G31+2*H31</f>
        <v>194.04763445471352</v>
      </c>
      <c r="M31" s="191">
        <f>G31-2*H31</f>
        <v>119.5719741214526</v>
      </c>
      <c r="N31" s="191" t="str" cm="1">
        <f t="array" ref="N31">IF(AND(F31:F46&lt;=L31,F31:F46&gt;=M31),"OK","REVISAR")</f>
        <v>OK</v>
      </c>
    </row>
    <row r="32" spans="2:14">
      <c r="B32" s="2">
        <v>24</v>
      </c>
      <c r="C32" s="2">
        <v>5.75</v>
      </c>
      <c r="D32" s="2">
        <v>26</v>
      </c>
      <c r="E32" s="3">
        <f t="shared" si="0"/>
        <v>132.62567738409976</v>
      </c>
      <c r="F32" s="5">
        <f t="shared" si="1"/>
        <v>132.62567738409976</v>
      </c>
      <c r="G32" s="194"/>
      <c r="H32" s="194"/>
      <c r="I32" s="196"/>
      <c r="J32" s="8">
        <f t="shared" ref="J32:J46" si="3">$G$31</f>
        <v>156.80980428808306</v>
      </c>
      <c r="L32" s="188"/>
      <c r="M32" s="188"/>
      <c r="N32" s="188"/>
    </row>
    <row r="33" spans="2:14">
      <c r="B33" s="2">
        <v>25</v>
      </c>
      <c r="C33" s="2">
        <v>6</v>
      </c>
      <c r="D33" s="2">
        <v>30</v>
      </c>
      <c r="E33" s="3">
        <f t="shared" si="0"/>
        <v>143.48581332099121</v>
      </c>
      <c r="F33" s="5">
        <f t="shared" si="1"/>
        <v>143.48581332099121</v>
      </c>
      <c r="G33" s="194"/>
      <c r="H33" s="194"/>
      <c r="I33" s="196"/>
      <c r="J33" s="8">
        <f t="shared" si="3"/>
        <v>156.80980428808306</v>
      </c>
      <c r="L33" s="188"/>
      <c r="M33" s="188"/>
      <c r="N33" s="188"/>
    </row>
    <row r="34" spans="2:14">
      <c r="B34" s="2">
        <v>26</v>
      </c>
      <c r="C34" s="2">
        <v>6.25</v>
      </c>
      <c r="D34" s="2">
        <v>30</v>
      </c>
      <c r="E34" s="3">
        <f t="shared" si="0"/>
        <v>143.48581332099121</v>
      </c>
      <c r="F34" s="5">
        <f t="shared" si="1"/>
        <v>143.48581332099121</v>
      </c>
      <c r="G34" s="194"/>
      <c r="H34" s="194"/>
      <c r="I34" s="196"/>
      <c r="J34" s="8">
        <f t="shared" si="3"/>
        <v>156.80980428808306</v>
      </c>
      <c r="L34" s="188"/>
      <c r="M34" s="188"/>
      <c r="N34" s="188"/>
    </row>
    <row r="35" spans="2:14">
      <c r="B35" s="2">
        <v>27</v>
      </c>
      <c r="C35" s="2">
        <v>6.5</v>
      </c>
      <c r="D35" s="2">
        <v>30</v>
      </c>
      <c r="E35" s="3">
        <f t="shared" si="0"/>
        <v>143.48581332099121</v>
      </c>
      <c r="F35" s="5">
        <f t="shared" si="1"/>
        <v>143.48581332099121</v>
      </c>
      <c r="G35" s="194"/>
      <c r="H35" s="194"/>
      <c r="I35" s="196"/>
      <c r="J35" s="8">
        <f t="shared" si="3"/>
        <v>156.80980428808306</v>
      </c>
      <c r="L35" s="188"/>
      <c r="M35" s="188"/>
      <c r="N35" s="188"/>
    </row>
    <row r="36" spans="2:14">
      <c r="B36" s="2">
        <v>28</v>
      </c>
      <c r="C36" s="2">
        <v>6.75</v>
      </c>
      <c r="D36" s="2">
        <v>31</v>
      </c>
      <c r="E36" s="3">
        <f t="shared" si="0"/>
        <v>146.09696878281605</v>
      </c>
      <c r="F36" s="5">
        <f t="shared" si="1"/>
        <v>146.09696878281605</v>
      </c>
      <c r="G36" s="194"/>
      <c r="H36" s="194"/>
      <c r="I36" s="196"/>
      <c r="J36" s="8">
        <f t="shared" si="3"/>
        <v>156.80980428808306</v>
      </c>
      <c r="L36" s="188"/>
      <c r="M36" s="188"/>
      <c r="N36" s="188"/>
    </row>
    <row r="37" spans="2:14">
      <c r="B37" s="2">
        <v>29</v>
      </c>
      <c r="C37" s="2">
        <v>7</v>
      </c>
      <c r="D37" s="2">
        <v>39</v>
      </c>
      <c r="E37" s="3">
        <f t="shared" si="0"/>
        <v>165.75926316924642</v>
      </c>
      <c r="F37" s="5">
        <f t="shared" si="1"/>
        <v>165.75926316924642</v>
      </c>
      <c r="G37" s="194"/>
      <c r="H37" s="194"/>
      <c r="I37" s="196"/>
      <c r="J37" s="8">
        <f t="shared" si="3"/>
        <v>156.80980428808306</v>
      </c>
      <c r="L37" s="188"/>
      <c r="M37" s="188"/>
      <c r="N37" s="188"/>
    </row>
    <row r="38" spans="2:14">
      <c r="B38" s="2">
        <v>30</v>
      </c>
      <c r="C38" s="2">
        <v>7.25</v>
      </c>
      <c r="D38" s="2">
        <v>40</v>
      </c>
      <c r="E38" s="3">
        <f t="shared" si="0"/>
        <v>168.0835720320332</v>
      </c>
      <c r="F38" s="5">
        <f t="shared" si="1"/>
        <v>168.0835720320332</v>
      </c>
      <c r="G38" s="194"/>
      <c r="H38" s="194"/>
      <c r="I38" s="196"/>
      <c r="J38" s="8">
        <f t="shared" si="3"/>
        <v>156.80980428808306</v>
      </c>
      <c r="L38" s="188"/>
      <c r="M38" s="188"/>
      <c r="N38" s="188"/>
    </row>
    <row r="39" spans="2:14">
      <c r="B39" s="2">
        <v>31</v>
      </c>
      <c r="C39" s="2">
        <v>7.5</v>
      </c>
      <c r="D39" s="2">
        <v>50</v>
      </c>
      <c r="E39" s="3">
        <f t="shared" si="0"/>
        <v>190.03157860019411</v>
      </c>
      <c r="F39" s="5">
        <f t="shared" si="1"/>
        <v>190.03157860019411</v>
      </c>
      <c r="G39" s="194"/>
      <c r="H39" s="194"/>
      <c r="I39" s="196"/>
      <c r="J39" s="8">
        <f t="shared" si="3"/>
        <v>156.80980428808306</v>
      </c>
      <c r="L39" s="188"/>
      <c r="M39" s="188"/>
      <c r="N39" s="188"/>
    </row>
    <row r="40" spans="2:14">
      <c r="B40" s="2">
        <v>32</v>
      </c>
      <c r="C40" s="2">
        <v>7.75</v>
      </c>
      <c r="D40" s="2">
        <v>33</v>
      </c>
      <c r="E40" s="3">
        <f t="shared" si="0"/>
        <v>151.20805971683163</v>
      </c>
      <c r="F40" s="5">
        <f t="shared" si="1"/>
        <v>151.20805971683163</v>
      </c>
      <c r="G40" s="194"/>
      <c r="H40" s="194"/>
      <c r="I40" s="196"/>
      <c r="J40" s="8">
        <f t="shared" si="3"/>
        <v>156.80980428808306</v>
      </c>
      <c r="L40" s="188"/>
      <c r="M40" s="188"/>
      <c r="N40" s="188"/>
    </row>
    <row r="41" spans="2:14">
      <c r="B41" s="2">
        <v>33</v>
      </c>
      <c r="C41" s="2">
        <v>8</v>
      </c>
      <c r="D41" s="2">
        <v>45</v>
      </c>
      <c r="E41" s="3">
        <f t="shared" si="0"/>
        <v>179.3325633500514</v>
      </c>
      <c r="F41" s="5">
        <f t="shared" si="1"/>
        <v>179.3325633500514</v>
      </c>
      <c r="G41" s="194"/>
      <c r="H41" s="194"/>
      <c r="I41" s="196"/>
      <c r="J41" s="8">
        <f t="shared" si="3"/>
        <v>156.80980428808306</v>
      </c>
      <c r="L41" s="188"/>
      <c r="M41" s="188"/>
      <c r="N41" s="188"/>
    </row>
    <row r="42" spans="2:14">
      <c r="B42" s="2">
        <v>34</v>
      </c>
      <c r="C42" s="2">
        <v>8.25</v>
      </c>
      <c r="D42" s="2">
        <v>33</v>
      </c>
      <c r="E42" s="3">
        <f t="shared" si="0"/>
        <v>151.20805971683163</v>
      </c>
      <c r="F42" s="5">
        <f t="shared" si="1"/>
        <v>151.20805971683163</v>
      </c>
      <c r="G42" s="194"/>
      <c r="H42" s="194"/>
      <c r="I42" s="196"/>
      <c r="J42" s="8">
        <f t="shared" si="3"/>
        <v>156.80980428808306</v>
      </c>
      <c r="L42" s="188"/>
      <c r="M42" s="188"/>
      <c r="N42" s="188"/>
    </row>
    <row r="43" spans="2:14">
      <c r="B43" s="2">
        <v>35</v>
      </c>
      <c r="C43" s="2">
        <v>8.5</v>
      </c>
      <c r="D43" s="2">
        <v>34</v>
      </c>
      <c r="E43" s="3">
        <f t="shared" si="0"/>
        <v>153.71125840213801</v>
      </c>
      <c r="F43" s="5">
        <f t="shared" si="1"/>
        <v>153.71125840213801</v>
      </c>
      <c r="G43" s="194"/>
      <c r="H43" s="194"/>
      <c r="I43" s="196"/>
      <c r="J43" s="8">
        <f t="shared" si="3"/>
        <v>156.80980428808306</v>
      </c>
      <c r="L43" s="188"/>
      <c r="M43" s="188"/>
      <c r="N43" s="188"/>
    </row>
    <row r="44" spans="2:14">
      <c r="B44" s="2">
        <v>36</v>
      </c>
      <c r="C44" s="2">
        <v>8.75</v>
      </c>
      <c r="D44" s="2">
        <v>50</v>
      </c>
      <c r="E44" s="3">
        <f t="shared" si="0"/>
        <v>190.03157860019411</v>
      </c>
      <c r="F44" s="5">
        <f t="shared" si="1"/>
        <v>190.03157860019411</v>
      </c>
      <c r="G44" s="194"/>
      <c r="H44" s="194"/>
      <c r="I44" s="196"/>
      <c r="J44" s="8">
        <f t="shared" si="3"/>
        <v>156.80980428808306</v>
      </c>
      <c r="L44" s="188"/>
      <c r="M44" s="188"/>
      <c r="N44" s="188"/>
    </row>
    <row r="45" spans="2:14">
      <c r="B45" s="2">
        <v>37</v>
      </c>
      <c r="C45" s="2">
        <v>9</v>
      </c>
      <c r="D45" s="2">
        <v>44</v>
      </c>
      <c r="E45" s="3">
        <f t="shared" si="0"/>
        <v>177.12964235970134</v>
      </c>
      <c r="F45" s="5">
        <f t="shared" si="1"/>
        <v>177.12964235970134</v>
      </c>
      <c r="G45" s="194"/>
      <c r="H45" s="194"/>
      <c r="I45" s="196"/>
      <c r="J45" s="8">
        <f t="shared" si="3"/>
        <v>156.80980428808306</v>
      </c>
      <c r="L45" s="188"/>
      <c r="M45" s="188"/>
      <c r="N45" s="188"/>
    </row>
    <row r="46" spans="2:14">
      <c r="B46" s="2">
        <v>38</v>
      </c>
      <c r="C46" s="2">
        <v>9.25</v>
      </c>
      <c r="D46" s="2">
        <v>30</v>
      </c>
      <c r="E46" s="3">
        <f t="shared" si="0"/>
        <v>143.48581332099121</v>
      </c>
      <c r="F46" s="5">
        <f t="shared" si="1"/>
        <v>143.48581332099121</v>
      </c>
      <c r="G46" s="197"/>
      <c r="H46" s="197"/>
      <c r="I46" s="196"/>
      <c r="J46" s="8">
        <f t="shared" si="3"/>
        <v>156.80980428808306</v>
      </c>
      <c r="L46" s="188"/>
      <c r="M46" s="188"/>
      <c r="N46" s="188"/>
    </row>
    <row r="47" spans="2:14">
      <c r="B47" s="2">
        <v>39</v>
      </c>
      <c r="C47" s="2">
        <v>9.5</v>
      </c>
      <c r="D47" s="2">
        <v>14</v>
      </c>
      <c r="E47" s="3">
        <f t="shared" si="0"/>
        <v>94.354516453663848</v>
      </c>
      <c r="F47" s="83">
        <f t="shared" si="1"/>
        <v>94.354516453663848</v>
      </c>
      <c r="G47" s="192">
        <f>AVERAGE(F47:F57)</f>
        <v>97.858508280293123</v>
      </c>
      <c r="H47" s="192">
        <f>_xlfn.STDEV.P(F47:F57)</f>
        <v>8.5554095133226458</v>
      </c>
      <c r="I47" s="193">
        <f>H47/G47</f>
        <v>8.742632259238664E-2</v>
      </c>
      <c r="J47" s="8">
        <f>$G$47</f>
        <v>97.858508280293123</v>
      </c>
      <c r="L47" s="188">
        <f>G47+2*H47</f>
        <v>114.96932730693841</v>
      </c>
      <c r="M47" s="188">
        <f>G47-2*H47</f>
        <v>80.747689253647835</v>
      </c>
      <c r="N47" s="188" t="str" cm="1">
        <f t="array" ref="N47">IF(AND(F47:F57&lt;=L47,F47:F57&gt;=M47),"OK","REVISAR")</f>
        <v>OK</v>
      </c>
    </row>
    <row r="48" spans="2:14">
      <c r="B48" s="2">
        <v>40</v>
      </c>
      <c r="C48" s="2">
        <v>9.75</v>
      </c>
      <c r="D48" s="2">
        <v>13</v>
      </c>
      <c r="E48" s="3">
        <f t="shared" si="0"/>
        <v>90.586007193000626</v>
      </c>
      <c r="F48" s="83">
        <f t="shared" si="1"/>
        <v>90.586007193000626</v>
      </c>
      <c r="G48" s="192"/>
      <c r="H48" s="192"/>
      <c r="I48" s="193"/>
      <c r="J48" s="8">
        <f t="shared" ref="J48:J57" si="4">$G$47</f>
        <v>97.858508280293123</v>
      </c>
      <c r="L48" s="188"/>
      <c r="M48" s="188"/>
      <c r="N48" s="188"/>
    </row>
    <row r="49" spans="2:14">
      <c r="B49" s="2">
        <v>41</v>
      </c>
      <c r="C49" s="2">
        <v>10</v>
      </c>
      <c r="D49" s="2">
        <v>11</v>
      </c>
      <c r="E49" s="3">
        <f t="shared" si="0"/>
        <v>81.658986666412488</v>
      </c>
      <c r="F49" s="83">
        <f t="shared" si="1"/>
        <v>81.658986666412488</v>
      </c>
      <c r="G49" s="192"/>
      <c r="H49" s="192"/>
      <c r="I49" s="193"/>
      <c r="J49" s="8">
        <f t="shared" si="4"/>
        <v>97.858508280293123</v>
      </c>
      <c r="L49" s="188"/>
      <c r="M49" s="188"/>
      <c r="N49" s="188"/>
    </row>
    <row r="50" spans="2:14">
      <c r="B50" s="2">
        <v>42</v>
      </c>
      <c r="C50" s="2">
        <v>10.25</v>
      </c>
      <c r="D50" s="2">
        <v>14</v>
      </c>
      <c r="E50" s="3">
        <f t="shared" si="0"/>
        <v>94.354516453663848</v>
      </c>
      <c r="F50" s="83">
        <f t="shared" si="1"/>
        <v>94.354516453663848</v>
      </c>
      <c r="G50" s="192"/>
      <c r="H50" s="192"/>
      <c r="I50" s="193"/>
      <c r="J50" s="8">
        <f t="shared" si="4"/>
        <v>97.858508280293123</v>
      </c>
      <c r="L50" s="188"/>
      <c r="M50" s="188"/>
      <c r="N50" s="188"/>
    </row>
    <row r="51" spans="2:14">
      <c r="B51" s="2">
        <v>43</v>
      </c>
      <c r="C51" s="2">
        <v>10.5</v>
      </c>
      <c r="D51" s="2">
        <v>8</v>
      </c>
      <c r="E51" s="3">
        <f t="shared" si="0"/>
        <v>66.602458329481948</v>
      </c>
      <c r="F51" s="83">
        <f t="shared" si="1"/>
        <v>106.79043675953793</v>
      </c>
      <c r="G51" s="192"/>
      <c r="H51" s="192"/>
      <c r="I51" s="193"/>
      <c r="J51" s="8">
        <f t="shared" si="4"/>
        <v>97.858508280293123</v>
      </c>
      <c r="L51" s="188"/>
      <c r="M51" s="188"/>
      <c r="N51" s="188"/>
    </row>
    <row r="52" spans="2:14">
      <c r="B52" s="2">
        <v>44</v>
      </c>
      <c r="C52" s="2">
        <v>10.75</v>
      </c>
      <c r="D52" s="2">
        <v>4</v>
      </c>
      <c r="E52" s="3">
        <f t="shared" si="0"/>
        <v>42.739659930705656</v>
      </c>
      <c r="F52" s="83">
        <f t="shared" si="1"/>
        <v>99.74213088795689</v>
      </c>
      <c r="G52" s="192"/>
      <c r="H52" s="192"/>
      <c r="I52" s="193"/>
      <c r="J52" s="8">
        <f t="shared" si="4"/>
        <v>97.858508280293123</v>
      </c>
      <c r="L52" s="188"/>
      <c r="M52" s="188"/>
      <c r="N52" s="188"/>
    </row>
    <row r="53" spans="2:14">
      <c r="B53" s="2">
        <v>45</v>
      </c>
      <c r="C53" s="2">
        <v>11</v>
      </c>
      <c r="D53" s="2">
        <v>5</v>
      </c>
      <c r="E53" s="3">
        <f t="shared" si="0"/>
        <v>49.300743693806268</v>
      </c>
      <c r="F53" s="83">
        <f t="shared" si="1"/>
        <v>102.07125379753373</v>
      </c>
      <c r="G53" s="192"/>
      <c r="H53" s="192"/>
      <c r="I53" s="193"/>
      <c r="J53" s="8">
        <f t="shared" si="4"/>
        <v>97.858508280293123</v>
      </c>
      <c r="L53" s="188"/>
      <c r="M53" s="188"/>
      <c r="N53" s="188"/>
    </row>
    <row r="54" spans="2:14">
      <c r="B54" s="2">
        <v>46</v>
      </c>
      <c r="C54" s="2">
        <v>11.25</v>
      </c>
      <c r="D54" s="2">
        <v>7</v>
      </c>
      <c r="E54" s="3">
        <f t="shared" si="0"/>
        <v>61.147036455796005</v>
      </c>
      <c r="F54" s="83">
        <f t="shared" si="1"/>
        <v>105.47404499035791</v>
      </c>
      <c r="G54" s="192"/>
      <c r="H54" s="192"/>
      <c r="I54" s="193"/>
      <c r="J54" s="8">
        <f t="shared" si="4"/>
        <v>97.858508280293123</v>
      </c>
      <c r="L54" s="188"/>
      <c r="M54" s="188"/>
      <c r="N54" s="188"/>
    </row>
    <row r="55" spans="2:14">
      <c r="B55" s="2">
        <v>47</v>
      </c>
      <c r="C55" s="2">
        <v>11.5</v>
      </c>
      <c r="D55" s="2">
        <v>8</v>
      </c>
      <c r="E55" s="3">
        <f t="shared" si="0"/>
        <v>66.602458329481948</v>
      </c>
      <c r="F55" s="83">
        <f t="shared" si="1"/>
        <v>106.79043675953793</v>
      </c>
      <c r="G55" s="192"/>
      <c r="H55" s="192"/>
      <c r="I55" s="193"/>
      <c r="J55" s="8">
        <f t="shared" si="4"/>
        <v>97.858508280293123</v>
      </c>
      <c r="L55" s="188"/>
      <c r="M55" s="188"/>
      <c r="N55" s="188"/>
    </row>
    <row r="56" spans="2:14">
      <c r="B56" s="2">
        <v>48</v>
      </c>
      <c r="C56" s="2">
        <v>11.75</v>
      </c>
      <c r="D56" s="2">
        <v>9</v>
      </c>
      <c r="E56" s="3">
        <f t="shared" si="0"/>
        <v>71.817101600169877</v>
      </c>
      <c r="F56" s="83">
        <f t="shared" si="1"/>
        <v>107.93665922417256</v>
      </c>
      <c r="G56" s="192"/>
      <c r="H56" s="192"/>
      <c r="I56" s="193"/>
      <c r="J56" s="8">
        <f t="shared" si="4"/>
        <v>97.858508280293123</v>
      </c>
      <c r="L56" s="188"/>
      <c r="M56" s="188"/>
      <c r="N56" s="188"/>
    </row>
    <row r="57" spans="2:14">
      <c r="B57" s="2">
        <v>49</v>
      </c>
      <c r="C57" s="2">
        <v>12</v>
      </c>
      <c r="D57" s="2">
        <v>12</v>
      </c>
      <c r="E57" s="3">
        <f t="shared" si="0"/>
        <v>86.684601897386656</v>
      </c>
      <c r="F57" s="83">
        <f t="shared" si="1"/>
        <v>86.684601897386656</v>
      </c>
      <c r="G57" s="192"/>
      <c r="H57" s="192"/>
      <c r="I57" s="193"/>
      <c r="J57" s="8">
        <f t="shared" si="4"/>
        <v>97.858508280293123</v>
      </c>
      <c r="L57" s="188"/>
      <c r="M57" s="188"/>
      <c r="N57" s="188"/>
    </row>
  </sheetData>
  <mergeCells count="19">
    <mergeCell ref="B2:D2"/>
    <mergeCell ref="H47:H57"/>
    <mergeCell ref="I47:I57"/>
    <mergeCell ref="G9:G30"/>
    <mergeCell ref="H9:H30"/>
    <mergeCell ref="I9:I30"/>
    <mergeCell ref="G31:G46"/>
    <mergeCell ref="H31:H46"/>
    <mergeCell ref="I31:I46"/>
    <mergeCell ref="G47:G57"/>
    <mergeCell ref="L47:L57"/>
    <mergeCell ref="M47:M57"/>
    <mergeCell ref="N47:N57"/>
    <mergeCell ref="L9:L30"/>
    <mergeCell ref="M9:M30"/>
    <mergeCell ref="N9:N30"/>
    <mergeCell ref="L31:L46"/>
    <mergeCell ref="M31:M46"/>
    <mergeCell ref="N31:N46"/>
  </mergeCells>
  <conditionalFormatting sqref="D9:D57">
    <cfRule type="cellIs" dxfId="7" priority="1" operator="lessThanOrEqual">
      <formula>3</formula>
    </cfRule>
    <cfRule type="cellIs" dxfId="6" priority="2" operator="between">
      <formula>4</formula>
      <formula>10</formula>
    </cfRule>
  </conditionalFormatting>
  <pageMargins left="0.7" right="0.7" top="0.75" bottom="0.75" header="0.3" footer="0.3"/>
  <pageSetup fitToWidth="0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35233-D5E4-48D1-A495-9E348D82972B}">
  <dimension ref="A1:AI104"/>
  <sheetViews>
    <sheetView topLeftCell="Y57" workbookViewId="0">
      <selection activeCell="AH67" sqref="AD65:AH67"/>
    </sheetView>
  </sheetViews>
  <sheetFormatPr defaultColWidth="11.42578125" defaultRowHeight="14.45"/>
  <cols>
    <col min="8" max="8" width="12.5703125" bestFit="1" customWidth="1"/>
    <col min="17" max="17" width="12.5703125" bestFit="1" customWidth="1"/>
    <col min="23" max="23" width="12" bestFit="1" customWidth="1"/>
    <col min="33" max="33" width="14.140625" bestFit="1" customWidth="1"/>
    <col min="34" max="34" width="13.7109375" bestFit="1" customWidth="1"/>
    <col min="35" max="35" width="18.7109375" bestFit="1" customWidth="1"/>
  </cols>
  <sheetData>
    <row r="1" spans="1:22">
      <c r="A1" s="181" t="s">
        <v>46</v>
      </c>
      <c r="B1" s="181"/>
      <c r="C1" s="181"/>
      <c r="E1" t="s">
        <v>50</v>
      </c>
    </row>
    <row r="2" spans="1:22">
      <c r="A2" s="2" t="s">
        <v>47</v>
      </c>
      <c r="B2" s="2">
        <v>1.5</v>
      </c>
      <c r="C2" s="2" t="s">
        <v>48</v>
      </c>
      <c r="E2" s="159">
        <v>0.02</v>
      </c>
      <c r="F2" t="s">
        <v>65</v>
      </c>
    </row>
    <row r="3" spans="1:22">
      <c r="A3" s="2" t="s">
        <v>49</v>
      </c>
      <c r="B3" s="2">
        <v>1</v>
      </c>
      <c r="C3" s="2" t="s">
        <v>48</v>
      </c>
      <c r="E3" s="159">
        <v>0.05</v>
      </c>
      <c r="F3" t="s">
        <v>66</v>
      </c>
      <c r="G3">
        <v>102.07</v>
      </c>
      <c r="H3" t="s">
        <v>67</v>
      </c>
    </row>
    <row r="4" spans="1:22">
      <c r="A4" s="2" t="s">
        <v>50</v>
      </c>
      <c r="B4" s="2">
        <v>20</v>
      </c>
      <c r="C4" s="2" t="s">
        <v>51</v>
      </c>
      <c r="E4" s="159">
        <v>7.0000000000000007E-2</v>
      </c>
      <c r="F4" t="s">
        <v>66</v>
      </c>
      <c r="G4">
        <v>105.47</v>
      </c>
      <c r="H4" t="s">
        <v>67</v>
      </c>
    </row>
    <row r="5" spans="1:22">
      <c r="A5" s="2" t="s">
        <v>52</v>
      </c>
      <c r="B5" s="5">
        <f>IF(B4&lt;12,17.6*B4^0.64,22.1*B4^0.55)</f>
        <v>114.80446294741726</v>
      </c>
      <c r="C5" s="2" t="s">
        <v>53</v>
      </c>
    </row>
    <row r="6" spans="1:22" ht="15">
      <c r="N6" t="s">
        <v>68</v>
      </c>
      <c r="O6" t="s">
        <v>69</v>
      </c>
      <c r="P6" s="159">
        <v>0.05</v>
      </c>
      <c r="U6" s="163" t="s">
        <v>70</v>
      </c>
      <c r="V6" s="169">
        <v>13218454.949085878</v>
      </c>
    </row>
    <row r="7" spans="1:22" ht="15">
      <c r="E7" s="10" t="s">
        <v>71</v>
      </c>
      <c r="F7" s="10" t="s">
        <v>72</v>
      </c>
      <c r="G7" s="10" t="s">
        <v>73</v>
      </c>
      <c r="H7" s="10" t="s">
        <v>74</v>
      </c>
      <c r="I7" s="10" t="s">
        <v>75</v>
      </c>
      <c r="J7" s="10" t="s">
        <v>72</v>
      </c>
      <c r="K7" s="10" t="s">
        <v>73</v>
      </c>
      <c r="L7" s="10" t="s">
        <v>74</v>
      </c>
      <c r="N7" t="s">
        <v>76</v>
      </c>
      <c r="O7" t="s">
        <v>77</v>
      </c>
      <c r="P7" s="159">
        <v>0.02</v>
      </c>
      <c r="U7" s="163" t="s">
        <v>78</v>
      </c>
      <c r="V7" s="170">
        <v>60</v>
      </c>
    </row>
    <row r="8" spans="1:22" ht="15">
      <c r="A8" t="s">
        <v>68</v>
      </c>
      <c r="B8" t="s">
        <v>69</v>
      </c>
      <c r="C8" s="159">
        <v>0.05</v>
      </c>
      <c r="E8" s="10" t="s">
        <v>68</v>
      </c>
      <c r="F8" s="10">
        <v>5</v>
      </c>
      <c r="G8" s="198">
        <v>102.07</v>
      </c>
      <c r="H8" s="195">
        <f>69.78*LOG10(16.2)-10.16</f>
        <v>74.239957714784794</v>
      </c>
      <c r="I8" s="10" t="s">
        <v>68</v>
      </c>
      <c r="J8" s="10">
        <v>5</v>
      </c>
      <c r="K8" s="198">
        <v>102.07</v>
      </c>
      <c r="L8" s="198">
        <v>103.07</v>
      </c>
      <c r="N8" t="s">
        <v>79</v>
      </c>
      <c r="O8" t="s">
        <v>69</v>
      </c>
      <c r="P8" s="159">
        <v>0.05</v>
      </c>
      <c r="U8" s="164" t="s">
        <v>80</v>
      </c>
      <c r="V8" s="171">
        <v>-0.253</v>
      </c>
    </row>
    <row r="9" spans="1:22" ht="15">
      <c r="A9" t="s">
        <v>81</v>
      </c>
      <c r="B9" t="s">
        <v>77</v>
      </c>
      <c r="C9" s="159">
        <v>0.02</v>
      </c>
      <c r="E9" s="10" t="s">
        <v>82</v>
      </c>
      <c r="F9" s="10">
        <v>5</v>
      </c>
      <c r="G9" s="198"/>
      <c r="H9" s="195"/>
      <c r="I9" s="10" t="s">
        <v>82</v>
      </c>
      <c r="J9" s="10">
        <v>5</v>
      </c>
      <c r="K9" s="198"/>
      <c r="L9" s="198"/>
      <c r="N9" t="s">
        <v>83</v>
      </c>
      <c r="O9" t="s">
        <v>77</v>
      </c>
      <c r="P9" s="159">
        <v>0.02</v>
      </c>
      <c r="U9" s="163" t="s">
        <v>84</v>
      </c>
      <c r="V9" s="170">
        <v>0.35</v>
      </c>
    </row>
    <row r="10" spans="1:22" ht="15">
      <c r="A10" t="s">
        <v>85</v>
      </c>
      <c r="B10" t="s">
        <v>69</v>
      </c>
      <c r="C10" s="159">
        <v>0.05</v>
      </c>
      <c r="E10" s="10" t="s">
        <v>86</v>
      </c>
      <c r="F10" s="10">
        <v>5</v>
      </c>
      <c r="G10" s="198"/>
      <c r="H10" s="195"/>
      <c r="I10" s="10" t="s">
        <v>86</v>
      </c>
      <c r="J10" s="10">
        <v>5</v>
      </c>
      <c r="K10" s="198"/>
      <c r="L10" s="198"/>
      <c r="N10" t="s">
        <v>87</v>
      </c>
      <c r="O10" t="s">
        <v>88</v>
      </c>
      <c r="U10" s="163" t="s">
        <v>89</v>
      </c>
      <c r="V10" s="170">
        <v>4.5</v>
      </c>
    </row>
    <row r="11" spans="1:22" ht="15">
      <c r="A11" t="s">
        <v>90</v>
      </c>
      <c r="B11" t="s">
        <v>77</v>
      </c>
      <c r="C11" s="159">
        <v>0.02</v>
      </c>
      <c r="E11" s="10" t="s">
        <v>91</v>
      </c>
      <c r="F11" s="10">
        <v>5</v>
      </c>
      <c r="G11" s="198"/>
      <c r="H11" s="195"/>
      <c r="I11" s="10" t="s">
        <v>91</v>
      </c>
      <c r="J11" s="10">
        <v>5</v>
      </c>
      <c r="K11" s="198"/>
      <c r="L11" s="198"/>
      <c r="U11" s="163" t="s">
        <v>92</v>
      </c>
      <c r="V11" s="170">
        <v>2</v>
      </c>
    </row>
    <row r="12" spans="1:22" ht="15">
      <c r="A12" t="s">
        <v>93</v>
      </c>
      <c r="B12" t="s">
        <v>88</v>
      </c>
      <c r="E12" s="10" t="s">
        <v>94</v>
      </c>
      <c r="F12" s="10">
        <v>5</v>
      </c>
      <c r="G12" s="198"/>
      <c r="H12" s="195"/>
      <c r="I12" s="10" t="s">
        <v>94</v>
      </c>
      <c r="J12" s="10">
        <v>5</v>
      </c>
      <c r="K12" s="198"/>
      <c r="L12" s="198"/>
      <c r="N12" t="s">
        <v>95</v>
      </c>
      <c r="O12" t="s">
        <v>96</v>
      </c>
      <c r="U12" s="161" t="s">
        <v>97</v>
      </c>
      <c r="V12" s="172">
        <v>1</v>
      </c>
    </row>
    <row r="13" spans="1:22" ht="15">
      <c r="E13" s="10" t="s">
        <v>98</v>
      </c>
      <c r="F13" s="10">
        <v>5</v>
      </c>
      <c r="G13" s="198"/>
      <c r="H13" s="195"/>
      <c r="I13" s="10" t="s">
        <v>98</v>
      </c>
      <c r="J13" s="10">
        <v>5</v>
      </c>
      <c r="K13" s="198"/>
      <c r="L13" s="198"/>
      <c r="N13">
        <v>5</v>
      </c>
      <c r="O13">
        <v>20</v>
      </c>
      <c r="U13" s="162" t="s">
        <v>99</v>
      </c>
      <c r="V13" s="173">
        <v>4</v>
      </c>
    </row>
    <row r="14" spans="1:22" ht="15">
      <c r="E14" s="10" t="s">
        <v>100</v>
      </c>
      <c r="F14" s="10">
        <v>5</v>
      </c>
      <c r="G14" s="198"/>
      <c r="H14" s="195"/>
      <c r="I14" s="10" t="s">
        <v>100</v>
      </c>
      <c r="J14" s="10">
        <v>5</v>
      </c>
      <c r="K14" s="198"/>
      <c r="L14" s="198"/>
      <c r="U14" s="160" t="s">
        <v>101</v>
      </c>
      <c r="V14" s="174">
        <v>654.55263000000014</v>
      </c>
    </row>
    <row r="15" spans="1:22" ht="15">
      <c r="E15" s="10" t="s">
        <v>102</v>
      </c>
      <c r="F15" s="10">
        <v>5</v>
      </c>
      <c r="G15" s="198"/>
      <c r="H15" s="195"/>
      <c r="I15" s="10" t="s">
        <v>102</v>
      </c>
      <c r="J15" s="10">
        <v>5</v>
      </c>
      <c r="K15" s="198"/>
      <c r="L15" s="198"/>
      <c r="N15" s="45" t="s">
        <v>103</v>
      </c>
      <c r="O15" s="45" t="s">
        <v>52</v>
      </c>
      <c r="P15" s="45" t="s">
        <v>104</v>
      </c>
      <c r="Q15" s="45" t="s">
        <v>105</v>
      </c>
      <c r="R15" s="45" t="s">
        <v>106</v>
      </c>
      <c r="T15" t="s">
        <v>107</v>
      </c>
      <c r="U15" s="131" t="s">
        <v>50</v>
      </c>
      <c r="V15" s="168">
        <v>40</v>
      </c>
    </row>
    <row r="16" spans="1:22" ht="15">
      <c r="E16" s="10" t="s">
        <v>108</v>
      </c>
      <c r="F16" s="10">
        <v>5</v>
      </c>
      <c r="G16" s="198"/>
      <c r="H16" s="195"/>
      <c r="I16" s="10" t="s">
        <v>108</v>
      </c>
      <c r="J16" s="10">
        <v>5</v>
      </c>
      <c r="K16" s="198"/>
      <c r="L16" s="198"/>
      <c r="N16" s="125">
        <f>17.6*N13^0.64</f>
        <v>49.300743693806268</v>
      </c>
      <c r="O16" s="125">
        <f>22.1*O13^0.55</f>
        <v>114.80446294741726</v>
      </c>
      <c r="P16" s="125">
        <f>0.125/(0.0156+(1^2)*(O16/N16)^(2/3))^(0.5)*(1-N16/O16)+N16/O16</f>
        <v>0.48300321451520656</v>
      </c>
      <c r="Q16" s="125">
        <f>N16/P16</f>
        <v>102.07125379753371</v>
      </c>
      <c r="R16" s="125">
        <f>(Q16/22.1)^(1/0.55)</f>
        <v>16.151101179811036</v>
      </c>
      <c r="T16" t="s">
        <v>109</v>
      </c>
      <c r="U16" s="130" t="s">
        <v>110</v>
      </c>
      <c r="V16" s="167">
        <f>69.78*LOG10(V15)-10.16</f>
        <v>101.63174619486522</v>
      </c>
    </row>
    <row r="17" spans="5:22">
      <c r="E17" s="10" t="s">
        <v>111</v>
      </c>
      <c r="F17" s="10">
        <v>5</v>
      </c>
      <c r="G17" s="198"/>
      <c r="H17" s="195"/>
      <c r="I17" s="10" t="s">
        <v>111</v>
      </c>
      <c r="J17" s="10">
        <v>5</v>
      </c>
      <c r="K17" s="198"/>
      <c r="L17" s="198"/>
      <c r="T17" t="s">
        <v>112</v>
      </c>
      <c r="U17" s="10" t="s">
        <v>113</v>
      </c>
      <c r="V17" s="165">
        <f>H8</f>
        <v>74.239957714784794</v>
      </c>
    </row>
    <row r="18" spans="5:22" ht="15">
      <c r="E18" s="10" t="s">
        <v>114</v>
      </c>
      <c r="F18" s="10">
        <v>5</v>
      </c>
      <c r="G18" s="198"/>
      <c r="H18" s="195"/>
      <c r="I18" s="10" t="s">
        <v>114</v>
      </c>
      <c r="J18" s="10">
        <v>5</v>
      </c>
      <c r="K18" s="198"/>
      <c r="L18" s="198"/>
      <c r="U18" s="130" t="s">
        <v>115</v>
      </c>
      <c r="V18" s="10">
        <v>15</v>
      </c>
    </row>
    <row r="19" spans="5:22" ht="15">
      <c r="E19" s="10" t="s">
        <v>116</v>
      </c>
      <c r="F19" s="10">
        <v>5</v>
      </c>
      <c r="G19" s="198"/>
      <c r="H19" s="195"/>
      <c r="I19" s="10" t="s">
        <v>116</v>
      </c>
      <c r="J19" s="10">
        <v>2</v>
      </c>
      <c r="K19" s="198">
        <v>114.8</v>
      </c>
      <c r="L19" s="198">
        <v>115.8</v>
      </c>
      <c r="U19" s="130" t="s">
        <v>117</v>
      </c>
      <c r="V19" s="165">
        <f>(1+(V18/38)^2*(V16/V17)^(2/3))^0.5*V17</f>
        <v>81.057896275236232</v>
      </c>
    </row>
    <row r="20" spans="5:22" ht="15">
      <c r="E20" s="10" t="s">
        <v>118</v>
      </c>
      <c r="F20" s="10">
        <v>5</v>
      </c>
      <c r="G20" s="198"/>
      <c r="H20" s="195"/>
      <c r="I20" s="10" t="s">
        <v>118</v>
      </c>
      <c r="J20" s="10">
        <v>2</v>
      </c>
      <c r="K20" s="198"/>
      <c r="L20" s="198"/>
      <c r="U20" s="130" t="s">
        <v>119</v>
      </c>
      <c r="V20" s="165">
        <f>V19*3.68</f>
        <v>298.29305829286932</v>
      </c>
    </row>
    <row r="21" spans="5:22">
      <c r="E21" s="10" t="s">
        <v>120</v>
      </c>
      <c r="F21" s="10">
        <v>5</v>
      </c>
      <c r="G21" s="198"/>
      <c r="H21" s="195"/>
      <c r="I21" s="10" t="s">
        <v>120</v>
      </c>
      <c r="J21" s="10">
        <v>2</v>
      </c>
      <c r="K21" s="198"/>
      <c r="L21" s="198"/>
      <c r="U21" t="s">
        <v>121</v>
      </c>
      <c r="V21">
        <v>4206450</v>
      </c>
    </row>
    <row r="22" spans="5:22" ht="15">
      <c r="E22" s="10" t="s">
        <v>122</v>
      </c>
      <c r="F22" s="10">
        <v>5</v>
      </c>
      <c r="G22" s="198"/>
      <c r="H22" s="195"/>
      <c r="I22" s="10" t="s">
        <v>122</v>
      </c>
      <c r="J22" s="10">
        <v>2</v>
      </c>
      <c r="K22" s="198"/>
      <c r="L22" s="198"/>
      <c r="U22" s="166" t="s">
        <v>123</v>
      </c>
      <c r="V22">
        <v>9.6999999999999993</v>
      </c>
    </row>
    <row r="23" spans="5:22" ht="15">
      <c r="E23" s="10" t="s">
        <v>124</v>
      </c>
      <c r="F23" s="10">
        <v>5</v>
      </c>
      <c r="G23" s="198"/>
      <c r="H23" s="195"/>
      <c r="I23" s="10" t="s">
        <v>124</v>
      </c>
      <c r="J23" s="10">
        <v>2</v>
      </c>
      <c r="K23" s="198"/>
      <c r="L23" s="198"/>
      <c r="U23" s="166" t="s">
        <v>125</v>
      </c>
      <c r="V23">
        <f>V22*2.54</f>
        <v>24.637999999999998</v>
      </c>
    </row>
    <row r="24" spans="5:22" ht="15">
      <c r="E24" s="10" t="s">
        <v>126</v>
      </c>
      <c r="F24" s="10">
        <v>5</v>
      </c>
      <c r="G24" s="198"/>
      <c r="H24" s="195"/>
      <c r="I24" s="10" t="s">
        <v>126</v>
      </c>
      <c r="J24" s="10">
        <v>2</v>
      </c>
      <c r="K24" s="198"/>
      <c r="L24" s="198"/>
      <c r="U24" s="166" t="s">
        <v>127</v>
      </c>
      <c r="V24">
        <v>25</v>
      </c>
    </row>
    <row r="25" spans="5:22">
      <c r="E25" s="10" t="s">
        <v>128</v>
      </c>
      <c r="F25" s="10">
        <v>5</v>
      </c>
      <c r="G25" s="198"/>
      <c r="H25" s="195"/>
      <c r="I25" s="10" t="s">
        <v>128</v>
      </c>
      <c r="J25" s="10">
        <v>2</v>
      </c>
      <c r="K25" s="198"/>
      <c r="L25" s="198"/>
    </row>
    <row r="26" spans="5:22">
      <c r="E26" s="10" t="s">
        <v>129</v>
      </c>
      <c r="F26" s="10">
        <v>2</v>
      </c>
      <c r="G26" s="198">
        <v>114.8</v>
      </c>
      <c r="H26" s="195">
        <f>69.78*LOG10(B4)-10.16</f>
        <v>80.625873097432617</v>
      </c>
      <c r="I26" s="10" t="s">
        <v>129</v>
      </c>
      <c r="J26" s="10">
        <v>2</v>
      </c>
      <c r="K26" s="198"/>
      <c r="L26" s="198"/>
    </row>
    <row r="27" spans="5:22">
      <c r="E27" s="10" t="s">
        <v>130</v>
      </c>
      <c r="F27" s="10">
        <v>2</v>
      </c>
      <c r="G27" s="198"/>
      <c r="H27" s="195"/>
      <c r="I27" s="10" t="s">
        <v>130</v>
      </c>
      <c r="J27" s="10">
        <v>2</v>
      </c>
      <c r="K27" s="198"/>
      <c r="L27" s="198"/>
    </row>
    <row r="28" spans="5:22">
      <c r="E28" s="10" t="s">
        <v>131</v>
      </c>
      <c r="F28" s="10">
        <v>2</v>
      </c>
      <c r="G28" s="198"/>
      <c r="H28" s="195"/>
      <c r="I28" s="10" t="s">
        <v>131</v>
      </c>
      <c r="J28" s="10">
        <v>2</v>
      </c>
      <c r="K28" s="198"/>
      <c r="L28" s="198"/>
    </row>
    <row r="29" spans="5:22">
      <c r="E29" s="10" t="s">
        <v>132</v>
      </c>
      <c r="F29" s="10">
        <v>2</v>
      </c>
      <c r="G29" s="198"/>
      <c r="H29" s="195"/>
      <c r="I29" s="10" t="s">
        <v>132</v>
      </c>
      <c r="J29" s="10">
        <v>2</v>
      </c>
      <c r="K29" s="198"/>
      <c r="L29" s="198"/>
    </row>
    <row r="30" spans="5:22">
      <c r="E30" s="10" t="s">
        <v>133</v>
      </c>
      <c r="F30" s="10">
        <v>2</v>
      </c>
      <c r="G30" s="198"/>
      <c r="H30" s="195"/>
      <c r="I30" s="10" t="s">
        <v>133</v>
      </c>
      <c r="J30" s="10">
        <v>2</v>
      </c>
      <c r="K30" s="198"/>
      <c r="L30" s="198"/>
    </row>
    <row r="31" spans="5:22">
      <c r="E31" s="10" t="s">
        <v>134</v>
      </c>
      <c r="F31" s="10">
        <v>2</v>
      </c>
      <c r="G31" s="198"/>
      <c r="H31" s="195"/>
      <c r="I31" s="10" t="s">
        <v>134</v>
      </c>
      <c r="J31" s="10">
        <v>2</v>
      </c>
      <c r="K31" s="198"/>
      <c r="L31" s="198"/>
    </row>
    <row r="32" spans="5:22">
      <c r="E32" s="10" t="s">
        <v>135</v>
      </c>
      <c r="F32" s="10">
        <v>2</v>
      </c>
      <c r="G32" s="198"/>
      <c r="H32" s="195"/>
      <c r="I32" s="10" t="s">
        <v>135</v>
      </c>
      <c r="J32" s="10">
        <v>2</v>
      </c>
      <c r="K32" s="198"/>
      <c r="L32" s="198"/>
    </row>
    <row r="33" spans="5:12">
      <c r="E33" s="10" t="s">
        <v>136</v>
      </c>
      <c r="F33" s="10">
        <v>2</v>
      </c>
      <c r="G33" s="198"/>
      <c r="H33" s="195"/>
      <c r="I33" s="10" t="s">
        <v>136</v>
      </c>
      <c r="J33" s="10">
        <v>2</v>
      </c>
      <c r="K33" s="198"/>
      <c r="L33" s="198"/>
    </row>
    <row r="34" spans="5:12">
      <c r="E34" s="10" t="s">
        <v>137</v>
      </c>
      <c r="F34" s="10">
        <v>2</v>
      </c>
      <c r="G34" s="198"/>
      <c r="H34" s="195"/>
      <c r="I34" s="10" t="s">
        <v>137</v>
      </c>
      <c r="J34" s="10">
        <v>2</v>
      </c>
      <c r="K34" s="198"/>
      <c r="L34" s="198"/>
    </row>
    <row r="35" spans="5:12">
      <c r="E35" s="10" t="s">
        <v>138</v>
      </c>
      <c r="F35" s="10">
        <v>2</v>
      </c>
      <c r="G35" s="198"/>
      <c r="H35" s="195"/>
      <c r="I35" s="10" t="s">
        <v>138</v>
      </c>
      <c r="J35" s="10">
        <v>2</v>
      </c>
      <c r="K35" s="198"/>
      <c r="L35" s="198"/>
    </row>
    <row r="36" spans="5:12">
      <c r="E36" s="10" t="s">
        <v>139</v>
      </c>
      <c r="F36" s="10">
        <v>2</v>
      </c>
      <c r="G36" s="198"/>
      <c r="H36" s="195"/>
      <c r="I36" s="10" t="s">
        <v>139</v>
      </c>
      <c r="J36" s="10">
        <v>2</v>
      </c>
      <c r="K36" s="198"/>
      <c r="L36" s="198"/>
    </row>
    <row r="37" spans="5:12">
      <c r="E37" s="10" t="s">
        <v>140</v>
      </c>
      <c r="F37" s="10">
        <v>2</v>
      </c>
      <c r="G37" s="198"/>
      <c r="H37" s="195"/>
      <c r="I37" s="10" t="s">
        <v>140</v>
      </c>
      <c r="J37" s="10">
        <v>2</v>
      </c>
      <c r="K37" s="198"/>
      <c r="L37" s="198"/>
    </row>
    <row r="38" spans="5:12">
      <c r="E38" s="10" t="s">
        <v>141</v>
      </c>
      <c r="F38" s="10">
        <v>2</v>
      </c>
      <c r="G38" s="198"/>
      <c r="H38" s="195"/>
      <c r="I38" s="10" t="s">
        <v>141</v>
      </c>
      <c r="J38" s="10">
        <v>2</v>
      </c>
      <c r="K38" s="198"/>
      <c r="L38" s="198"/>
    </row>
    <row r="39" spans="5:12">
      <c r="E39" s="10" t="s">
        <v>142</v>
      </c>
      <c r="F39" s="10">
        <v>2</v>
      </c>
      <c r="G39" s="198"/>
      <c r="H39" s="195"/>
      <c r="I39" s="10" t="s">
        <v>142</v>
      </c>
      <c r="J39" s="10">
        <v>2</v>
      </c>
      <c r="K39" s="198"/>
      <c r="L39" s="198"/>
    </row>
    <row r="40" spans="5:12">
      <c r="E40" s="10" t="s">
        <v>143</v>
      </c>
      <c r="F40" s="10">
        <v>2</v>
      </c>
      <c r="G40" s="198"/>
      <c r="H40" s="195"/>
      <c r="I40" s="10" t="s">
        <v>143</v>
      </c>
      <c r="J40" s="10">
        <v>2</v>
      </c>
      <c r="K40" s="198"/>
      <c r="L40" s="198"/>
    </row>
    <row r="41" spans="5:12">
      <c r="E41" s="10" t="s">
        <v>144</v>
      </c>
      <c r="F41" s="10">
        <v>2</v>
      </c>
      <c r="G41" s="198"/>
      <c r="H41" s="195"/>
      <c r="I41" s="10" t="s">
        <v>144</v>
      </c>
      <c r="J41" s="10">
        <v>2</v>
      </c>
      <c r="K41" s="198"/>
      <c r="L41" s="198"/>
    </row>
    <row r="42" spans="5:12">
      <c r="E42" s="10" t="s">
        <v>145</v>
      </c>
      <c r="F42" s="10">
        <v>2</v>
      </c>
      <c r="G42" s="198"/>
      <c r="H42" s="195"/>
      <c r="I42" s="10" t="s">
        <v>145</v>
      </c>
      <c r="J42" s="10">
        <v>2</v>
      </c>
      <c r="K42" s="198"/>
      <c r="L42" s="198"/>
    </row>
    <row r="43" spans="5:12">
      <c r="E43" s="10" t="s">
        <v>146</v>
      </c>
      <c r="F43" s="10">
        <v>2</v>
      </c>
      <c r="G43" s="198"/>
      <c r="H43" s="195"/>
      <c r="I43" s="10" t="s">
        <v>146</v>
      </c>
      <c r="J43" s="10">
        <v>2</v>
      </c>
      <c r="K43" s="198"/>
      <c r="L43" s="198"/>
    </row>
    <row r="44" spans="5:12">
      <c r="E44" s="10" t="s">
        <v>147</v>
      </c>
      <c r="F44" s="10">
        <v>2</v>
      </c>
      <c r="G44" s="198"/>
      <c r="H44" s="195"/>
      <c r="I44" s="10" t="s">
        <v>147</v>
      </c>
      <c r="J44" s="10">
        <v>2</v>
      </c>
      <c r="K44" s="198"/>
      <c r="L44" s="198"/>
    </row>
    <row r="45" spans="5:12">
      <c r="E45" s="10" t="s">
        <v>148</v>
      </c>
      <c r="F45" s="10">
        <v>2</v>
      </c>
      <c r="G45" s="198"/>
      <c r="H45" s="195"/>
      <c r="I45" s="10" t="s">
        <v>148</v>
      </c>
      <c r="J45" s="10">
        <v>2</v>
      </c>
      <c r="K45" s="198"/>
      <c r="L45" s="198"/>
    </row>
    <row r="46" spans="5:12">
      <c r="E46" s="10" t="s">
        <v>149</v>
      </c>
      <c r="F46" s="10">
        <v>2</v>
      </c>
      <c r="G46" s="198"/>
      <c r="H46" s="195"/>
      <c r="I46" s="10" t="s">
        <v>149</v>
      </c>
      <c r="J46" s="10">
        <v>2</v>
      </c>
      <c r="K46" s="198"/>
      <c r="L46" s="198"/>
    </row>
    <row r="47" spans="5:12">
      <c r="E47" s="10" t="s">
        <v>150</v>
      </c>
      <c r="F47" s="10">
        <v>2</v>
      </c>
      <c r="G47" s="198"/>
      <c r="H47" s="195"/>
      <c r="I47" s="10" t="s">
        <v>150</v>
      </c>
      <c r="J47" s="10">
        <v>2</v>
      </c>
      <c r="K47" s="198"/>
      <c r="L47" s="198"/>
    </row>
    <row r="48" spans="5:12">
      <c r="E48" s="10" t="s">
        <v>151</v>
      </c>
      <c r="F48" s="10">
        <v>2</v>
      </c>
      <c r="G48" s="198"/>
      <c r="H48" s="195"/>
      <c r="I48" s="10" t="s">
        <v>151</v>
      </c>
      <c r="J48" s="10">
        <v>2</v>
      </c>
      <c r="K48" s="198"/>
      <c r="L48" s="198"/>
    </row>
    <row r="49" spans="5:28">
      <c r="E49" s="10" t="s">
        <v>152</v>
      </c>
      <c r="F49" s="10">
        <v>2</v>
      </c>
      <c r="G49" s="198"/>
      <c r="H49" s="195"/>
      <c r="I49" s="10" t="s">
        <v>152</v>
      </c>
      <c r="J49" s="10">
        <v>2</v>
      </c>
      <c r="K49" s="198"/>
      <c r="L49" s="198"/>
    </row>
    <row r="50" spans="5:28">
      <c r="E50" s="10" t="s">
        <v>85</v>
      </c>
      <c r="F50" s="10">
        <v>2</v>
      </c>
      <c r="G50" s="198"/>
      <c r="H50" s="195"/>
      <c r="I50" s="10" t="s">
        <v>85</v>
      </c>
      <c r="J50" s="10">
        <v>2</v>
      </c>
      <c r="K50" s="198"/>
      <c r="L50" s="198"/>
    </row>
    <row r="51" spans="5:28">
      <c r="E51" s="10" t="s">
        <v>153</v>
      </c>
      <c r="F51" s="10">
        <v>5</v>
      </c>
      <c r="G51" s="198">
        <v>102.07</v>
      </c>
      <c r="H51" s="195">
        <f>69.78*LOG10(F51)-10.16</f>
        <v>38.614126902567392</v>
      </c>
      <c r="I51" s="10" t="s">
        <v>153</v>
      </c>
      <c r="J51" s="10">
        <v>2</v>
      </c>
      <c r="K51" s="198"/>
      <c r="L51" s="198"/>
    </row>
    <row r="52" spans="5:28">
      <c r="E52" s="10" t="s">
        <v>154</v>
      </c>
      <c r="F52" s="10">
        <v>5</v>
      </c>
      <c r="G52" s="198"/>
      <c r="H52" s="195"/>
      <c r="I52" s="10" t="s">
        <v>154</v>
      </c>
      <c r="J52" s="10">
        <v>2</v>
      </c>
      <c r="K52" s="198"/>
      <c r="L52" s="198"/>
    </row>
    <row r="53" spans="5:28">
      <c r="E53" s="10" t="s">
        <v>155</v>
      </c>
      <c r="F53" s="10">
        <v>5</v>
      </c>
      <c r="G53" s="198"/>
      <c r="H53" s="195"/>
      <c r="I53" s="10" t="s">
        <v>155</v>
      </c>
      <c r="J53" s="10">
        <v>2</v>
      </c>
      <c r="K53" s="198"/>
      <c r="L53" s="198"/>
    </row>
    <row r="54" spans="5:28">
      <c r="E54" s="10" t="s">
        <v>79</v>
      </c>
      <c r="F54" s="10">
        <v>5</v>
      </c>
      <c r="G54" s="198"/>
      <c r="H54" s="195"/>
      <c r="I54" s="10" t="s">
        <v>79</v>
      </c>
      <c r="J54" s="10">
        <v>2</v>
      </c>
      <c r="K54" s="198"/>
      <c r="L54" s="198"/>
    </row>
    <row r="55" spans="5:28">
      <c r="E55" s="10" t="s">
        <v>156</v>
      </c>
      <c r="F55" s="10">
        <v>5</v>
      </c>
      <c r="G55" s="198"/>
      <c r="H55" s="195"/>
      <c r="I55" s="10" t="s">
        <v>156</v>
      </c>
      <c r="J55" s="10">
        <v>5</v>
      </c>
      <c r="K55" s="198">
        <v>102.07</v>
      </c>
      <c r="L55" s="198">
        <v>103.07</v>
      </c>
    </row>
    <row r="56" spans="5:28">
      <c r="E56" s="10" t="s">
        <v>157</v>
      </c>
      <c r="F56" s="10">
        <v>5</v>
      </c>
      <c r="G56" s="198"/>
      <c r="H56" s="195"/>
      <c r="I56" s="10" t="s">
        <v>157</v>
      </c>
      <c r="J56" s="10">
        <v>5</v>
      </c>
      <c r="K56" s="198"/>
      <c r="L56" s="198"/>
    </row>
    <row r="57" spans="5:28">
      <c r="E57" s="10" t="s">
        <v>158</v>
      </c>
      <c r="F57" s="10">
        <v>5</v>
      </c>
      <c r="G57" s="198"/>
      <c r="H57" s="195"/>
      <c r="I57" s="10" t="s">
        <v>158</v>
      </c>
      <c r="J57" s="10">
        <v>5</v>
      </c>
      <c r="K57" s="198"/>
      <c r="L57" s="198"/>
    </row>
    <row r="58" spans="5:28">
      <c r="E58" s="10" t="s">
        <v>159</v>
      </c>
      <c r="F58" s="10">
        <v>5</v>
      </c>
      <c r="G58" s="198"/>
      <c r="H58" s="195"/>
      <c r="I58" s="10" t="s">
        <v>159</v>
      </c>
      <c r="J58" s="10">
        <v>5</v>
      </c>
      <c r="K58" s="198"/>
      <c r="L58" s="198"/>
      <c r="Q58" t="s">
        <v>160</v>
      </c>
    </row>
    <row r="59" spans="5:28">
      <c r="E59" s="10" t="s">
        <v>161</v>
      </c>
      <c r="F59" s="10">
        <v>5</v>
      </c>
      <c r="G59" s="198"/>
      <c r="H59" s="195"/>
      <c r="I59" s="10" t="s">
        <v>161</v>
      </c>
      <c r="J59" s="10">
        <v>5</v>
      </c>
      <c r="K59" s="198"/>
      <c r="L59" s="198"/>
      <c r="N59" t="s">
        <v>162</v>
      </c>
      <c r="O59" t="s">
        <v>163</v>
      </c>
      <c r="Q59" t="s">
        <v>164</v>
      </c>
      <c r="R59" t="s">
        <v>165</v>
      </c>
      <c r="T59" t="s">
        <v>166</v>
      </c>
      <c r="U59" t="s">
        <v>167</v>
      </c>
      <c r="V59" t="s">
        <v>168</v>
      </c>
      <c r="W59" t="s">
        <v>169</v>
      </c>
      <c r="X59" t="s">
        <v>170</v>
      </c>
      <c r="Y59" t="s">
        <v>171</v>
      </c>
      <c r="Z59" t="s">
        <v>172</v>
      </c>
      <c r="AA59" t="s">
        <v>173</v>
      </c>
      <c r="AB59" t="s">
        <v>174</v>
      </c>
    </row>
    <row r="60" spans="5:28">
      <c r="E60" s="10" t="s">
        <v>175</v>
      </c>
      <c r="F60" s="10">
        <v>5</v>
      </c>
      <c r="G60" s="198"/>
      <c r="H60" s="195"/>
      <c r="I60" s="10" t="s">
        <v>175</v>
      </c>
      <c r="J60" s="10">
        <v>5</v>
      </c>
      <c r="K60" s="198"/>
      <c r="L60" s="198"/>
      <c r="M60" t="s">
        <v>176</v>
      </c>
      <c r="N60">
        <v>313420</v>
      </c>
      <c r="O60">
        <v>1938132</v>
      </c>
      <c r="P60" t="s">
        <v>177</v>
      </c>
      <c r="Q60">
        <v>0</v>
      </c>
      <c r="R60">
        <f>O60*8562</f>
        <v>16594286184</v>
      </c>
      <c r="T60">
        <v>11300</v>
      </c>
      <c r="U60">
        <f>7.2</f>
        <v>7.2</v>
      </c>
      <c r="V60">
        <f>0.15+0.25</f>
        <v>0.4</v>
      </c>
      <c r="W60">
        <f>198966</f>
        <v>198966</v>
      </c>
      <c r="X60">
        <f>14514+11637</f>
        <v>26151</v>
      </c>
      <c r="Y60">
        <f>5250-2250+11250-10375</f>
        <v>3875</v>
      </c>
      <c r="Z60">
        <f>8562+14514</f>
        <v>23076</v>
      </c>
      <c r="AA60">
        <f>2125+10250-5375</f>
        <v>7000</v>
      </c>
      <c r="AB60">
        <v>19013</v>
      </c>
    </row>
    <row r="61" spans="5:28">
      <c r="E61" s="10" t="s">
        <v>178</v>
      </c>
      <c r="F61" s="10">
        <v>5</v>
      </c>
      <c r="G61" s="198"/>
      <c r="H61" s="195"/>
      <c r="I61" s="10" t="s">
        <v>178</v>
      </c>
      <c r="J61" s="10">
        <v>5</v>
      </c>
      <c r="K61" s="198"/>
      <c r="L61" s="198"/>
      <c r="M61" t="s">
        <v>179</v>
      </c>
      <c r="N61">
        <v>130961</v>
      </c>
      <c r="O61">
        <v>1748650</v>
      </c>
      <c r="P61" t="s">
        <v>177</v>
      </c>
      <c r="Q61">
        <v>0</v>
      </c>
      <c r="R61">
        <f>O61*8562</f>
        <v>14971941300</v>
      </c>
      <c r="T61">
        <v>11991</v>
      </c>
      <c r="U61">
        <f>7.2</f>
        <v>7.2</v>
      </c>
      <c r="V61">
        <f>0.15+0.25</f>
        <v>0.4</v>
      </c>
      <c r="W61">
        <f>198966</f>
        <v>198966</v>
      </c>
      <c r="X61">
        <f>14514+11637</f>
        <v>26151</v>
      </c>
      <c r="Y61">
        <f>5750-1375+12000-10375</f>
        <v>6000</v>
      </c>
      <c r="Z61">
        <f>8562+14514</f>
        <v>23076</v>
      </c>
      <c r="AA61">
        <f>1250+11125-5875</f>
        <v>6500</v>
      </c>
      <c r="AB61">
        <v>19013</v>
      </c>
    </row>
    <row r="62" spans="5:28">
      <c r="E62" s="10" t="s">
        <v>180</v>
      </c>
      <c r="F62" s="10">
        <v>5</v>
      </c>
      <c r="G62" s="198"/>
      <c r="H62" s="195"/>
      <c r="I62" s="10" t="s">
        <v>180</v>
      </c>
      <c r="J62" s="10">
        <v>5</v>
      </c>
      <c r="K62" s="198"/>
      <c r="L62" s="198"/>
    </row>
    <row r="63" spans="5:28">
      <c r="E63" s="10" t="s">
        <v>181</v>
      </c>
      <c r="F63" s="10">
        <v>5</v>
      </c>
      <c r="G63" s="198"/>
      <c r="H63" s="195"/>
      <c r="I63" s="10" t="s">
        <v>181</v>
      </c>
      <c r="J63" s="10">
        <v>5</v>
      </c>
      <c r="K63" s="198"/>
      <c r="L63" s="198"/>
      <c r="O63" s="159">
        <v>0.35</v>
      </c>
      <c r="W63" t="s">
        <v>182</v>
      </c>
      <c r="X63" t="s">
        <v>183</v>
      </c>
      <c r="Y63" t="s">
        <v>184</v>
      </c>
      <c r="Z63" t="s">
        <v>185</v>
      </c>
    </row>
    <row r="64" spans="5:28" ht="15">
      <c r="E64" s="10" t="s">
        <v>186</v>
      </c>
      <c r="F64" s="10">
        <v>5</v>
      </c>
      <c r="G64" s="198"/>
      <c r="H64" s="195"/>
      <c r="I64" s="10" t="s">
        <v>186</v>
      </c>
      <c r="J64" s="10">
        <v>5</v>
      </c>
      <c r="K64" s="198"/>
      <c r="L64" s="198"/>
      <c r="O64">
        <f>0.35*O60</f>
        <v>678346.2</v>
      </c>
      <c r="P64" t="s">
        <v>187</v>
      </c>
    </row>
    <row r="65" spans="5:35" ht="15">
      <c r="E65" s="10" t="s">
        <v>188</v>
      </c>
      <c r="F65" s="10">
        <v>5</v>
      </c>
      <c r="G65" s="198"/>
      <c r="H65" s="195"/>
      <c r="I65" s="10" t="s">
        <v>188</v>
      </c>
      <c r="J65" s="10">
        <v>5</v>
      </c>
      <c r="K65" s="198"/>
      <c r="L65" s="198"/>
      <c r="O65">
        <f>0.35*O61</f>
        <v>612027.5</v>
      </c>
      <c r="V65" t="s">
        <v>160</v>
      </c>
      <c r="W65" t="s">
        <v>189</v>
      </c>
      <c r="X65" t="s">
        <v>174</v>
      </c>
      <c r="Y65" t="s">
        <v>172</v>
      </c>
      <c r="Z65" t="s">
        <v>170</v>
      </c>
      <c r="AA65" s="179" t="s">
        <v>190</v>
      </c>
      <c r="AB65" s="179"/>
      <c r="AD65" s="48" t="s">
        <v>191</v>
      </c>
      <c r="AE65" s="48" t="s">
        <v>192</v>
      </c>
      <c r="AF65" s="48" t="s">
        <v>193</v>
      </c>
      <c r="AG65" s="48" t="s">
        <v>194</v>
      </c>
      <c r="AH65" s="48" t="s">
        <v>195</v>
      </c>
      <c r="AI65" s="48" t="s">
        <v>196</v>
      </c>
    </row>
    <row r="66" spans="5:35" ht="14.45" customHeight="1">
      <c r="E66" s="10" t="s">
        <v>197</v>
      </c>
      <c r="F66" s="10">
        <v>5</v>
      </c>
      <c r="G66" s="198"/>
      <c r="H66" s="195"/>
      <c r="I66" s="10" t="s">
        <v>197</v>
      </c>
      <c r="J66" s="10">
        <v>5</v>
      </c>
      <c r="K66" s="198"/>
      <c r="L66" s="198"/>
      <c r="W66">
        <f>T60*U60*0.25*W60</f>
        <v>4046968440</v>
      </c>
      <c r="X66">
        <f>T60*U60*0.15*AB60</f>
        <v>232034652</v>
      </c>
      <c r="Y66">
        <f>AA60*U60*1*Z60</f>
        <v>1163030400</v>
      </c>
      <c r="Z66">
        <f>1.5*Y60*U60*X60</f>
        <v>1094419350</v>
      </c>
      <c r="AA66" s="199">
        <f>R60++W66+X66+Y66+Z66</f>
        <v>23130739026</v>
      </c>
      <c r="AB66" s="199"/>
      <c r="AC66" s="136"/>
      <c r="AD66" s="48">
        <v>1</v>
      </c>
      <c r="AE66" s="48">
        <v>11.3</v>
      </c>
      <c r="AF66" s="48">
        <f>O60</f>
        <v>1938132</v>
      </c>
      <c r="AG66" s="112">
        <f>0.35*AF66</f>
        <v>678346.2</v>
      </c>
      <c r="AH66" s="48">
        <f>N60</f>
        <v>313420</v>
      </c>
      <c r="AI66" s="137">
        <f>R60</f>
        <v>16594286184</v>
      </c>
    </row>
    <row r="67" spans="5:35" ht="15">
      <c r="E67" s="10" t="s">
        <v>198</v>
      </c>
      <c r="F67" s="10">
        <v>5</v>
      </c>
      <c r="G67" s="198"/>
      <c r="H67" s="195"/>
      <c r="I67" s="10" t="s">
        <v>198</v>
      </c>
      <c r="J67" s="10">
        <v>5</v>
      </c>
      <c r="K67" s="198"/>
      <c r="L67" s="198"/>
      <c r="W67">
        <f>T61*U61*0.25*W61</f>
        <v>4294442350.7999997</v>
      </c>
      <c r="X67">
        <f>T61*U61*0.15*AB61</f>
        <v>246223673.63999999</v>
      </c>
      <c r="Y67">
        <f>AA61*U61*1*Z61</f>
        <v>1079956800</v>
      </c>
      <c r="Z67">
        <f>1.5*Y61*U61*X61</f>
        <v>1694584800</v>
      </c>
      <c r="AA67" s="199">
        <f>R61++W67+X67+Y67+Z67</f>
        <v>22287148924.439999</v>
      </c>
      <c r="AB67" s="199"/>
      <c r="AD67" s="48">
        <v>2</v>
      </c>
      <c r="AE67" s="48" t="s">
        <v>199</v>
      </c>
      <c r="AF67" s="48">
        <f>O61</f>
        <v>1748650</v>
      </c>
      <c r="AG67" s="112">
        <f>0.35*AF67</f>
        <v>612027.5</v>
      </c>
      <c r="AH67" s="48">
        <f>N61</f>
        <v>130961</v>
      </c>
      <c r="AI67" s="137">
        <f>R61</f>
        <v>14971941300</v>
      </c>
    </row>
    <row r="68" spans="5:35" ht="15">
      <c r="E68" s="10" t="s">
        <v>200</v>
      </c>
      <c r="F68" s="10">
        <v>5</v>
      </c>
      <c r="G68" s="198"/>
      <c r="H68" s="195"/>
      <c r="I68" s="10" t="s">
        <v>200</v>
      </c>
      <c r="J68" s="10">
        <v>5</v>
      </c>
      <c r="K68" s="198"/>
      <c r="L68" s="198"/>
      <c r="AA68" s="136">
        <f>AA66/(T60/1000)</f>
        <v>2046968055.3982301</v>
      </c>
    </row>
    <row r="69" spans="5:35">
      <c r="E69" s="10" t="s">
        <v>201</v>
      </c>
      <c r="F69" s="10">
        <v>5</v>
      </c>
      <c r="G69" s="198"/>
      <c r="H69" s="195"/>
      <c r="I69" s="10" t="s">
        <v>201</v>
      </c>
      <c r="J69" s="10">
        <v>5</v>
      </c>
      <c r="K69" s="198"/>
      <c r="L69" s="198"/>
      <c r="AA69" s="175">
        <f>AA67/(T61/1000)</f>
        <v>1858656402.672004</v>
      </c>
    </row>
    <row r="70" spans="5:35">
      <c r="E70" s="10" t="s">
        <v>202</v>
      </c>
      <c r="F70" s="10">
        <v>5</v>
      </c>
      <c r="G70" s="198"/>
      <c r="H70" s="195"/>
      <c r="I70" s="10" t="s">
        <v>202</v>
      </c>
      <c r="J70" s="10">
        <v>5</v>
      </c>
      <c r="K70" s="198"/>
      <c r="L70" s="198"/>
    </row>
    <row r="71" spans="5:35">
      <c r="E71" s="10" t="s">
        <v>203</v>
      </c>
      <c r="F71" s="10">
        <v>5</v>
      </c>
      <c r="G71" s="198"/>
      <c r="H71" s="195"/>
      <c r="I71" s="10" t="s">
        <v>203</v>
      </c>
      <c r="J71" s="10">
        <v>5</v>
      </c>
      <c r="K71" s="198"/>
      <c r="L71" s="198"/>
    </row>
    <row r="72" spans="5:35" ht="15">
      <c r="E72" s="10" t="s">
        <v>204</v>
      </c>
      <c r="F72" s="10">
        <v>5</v>
      </c>
      <c r="G72" s="198"/>
      <c r="H72" s="195"/>
      <c r="I72" s="10" t="s">
        <v>204</v>
      </c>
      <c r="J72" s="10">
        <v>5</v>
      </c>
      <c r="K72" s="198"/>
      <c r="L72" s="198"/>
    </row>
    <row r="73" spans="5:35" ht="15">
      <c r="E73" s="10" t="s">
        <v>205</v>
      </c>
      <c r="F73" s="10">
        <v>5</v>
      </c>
      <c r="G73" s="198"/>
      <c r="H73" s="195"/>
      <c r="I73" s="10" t="s">
        <v>205</v>
      </c>
      <c r="J73" s="10">
        <v>5</v>
      </c>
      <c r="K73" s="198"/>
      <c r="L73" s="198"/>
    </row>
    <row r="74" spans="5:35" ht="15">
      <c r="E74" s="10" t="s">
        <v>206</v>
      </c>
      <c r="F74" s="10">
        <v>5</v>
      </c>
      <c r="G74" s="198"/>
      <c r="H74" s="195"/>
      <c r="I74" s="10" t="s">
        <v>206</v>
      </c>
      <c r="J74" s="10">
        <v>5</v>
      </c>
      <c r="K74" s="198"/>
      <c r="L74" s="198"/>
    </row>
    <row r="75" spans="5:35" ht="15">
      <c r="E75" s="10" t="s">
        <v>207</v>
      </c>
      <c r="F75" s="10">
        <v>5</v>
      </c>
      <c r="G75" s="198"/>
      <c r="H75" s="195"/>
      <c r="I75" s="10" t="s">
        <v>207</v>
      </c>
      <c r="J75" s="10">
        <v>5</v>
      </c>
      <c r="K75" s="198"/>
      <c r="L75" s="198"/>
    </row>
    <row r="76" spans="5:35" ht="15">
      <c r="E76" s="10" t="s">
        <v>208</v>
      </c>
      <c r="F76" s="10">
        <v>5</v>
      </c>
      <c r="G76" s="198"/>
      <c r="H76" s="195"/>
      <c r="I76" s="10" t="s">
        <v>208</v>
      </c>
      <c r="J76" s="10">
        <v>5</v>
      </c>
      <c r="K76" s="198"/>
      <c r="L76" s="198"/>
    </row>
    <row r="77" spans="5:35">
      <c r="E77" s="10" t="s">
        <v>209</v>
      </c>
      <c r="F77" s="10">
        <v>5</v>
      </c>
      <c r="G77" s="198"/>
      <c r="H77" s="195"/>
      <c r="I77" s="10" t="s">
        <v>209</v>
      </c>
      <c r="J77" s="10">
        <v>5</v>
      </c>
      <c r="K77" s="198"/>
      <c r="L77" s="198"/>
    </row>
    <row r="78" spans="5:35">
      <c r="E78" s="10" t="s">
        <v>210</v>
      </c>
      <c r="F78" s="10">
        <v>5</v>
      </c>
      <c r="G78" s="198"/>
      <c r="H78" s="195"/>
      <c r="I78" s="10" t="s">
        <v>210</v>
      </c>
      <c r="J78" s="10">
        <v>5</v>
      </c>
      <c r="K78" s="198"/>
      <c r="L78" s="198"/>
    </row>
    <row r="79" spans="5:35">
      <c r="E79" s="10" t="s">
        <v>211</v>
      </c>
      <c r="F79" s="10">
        <v>5</v>
      </c>
      <c r="G79" s="198"/>
      <c r="H79" s="195"/>
      <c r="I79" s="10" t="s">
        <v>211</v>
      </c>
      <c r="J79" s="10">
        <v>5</v>
      </c>
      <c r="K79" s="198"/>
      <c r="L79" s="198"/>
    </row>
    <row r="80" spans="5:35">
      <c r="E80" s="10" t="s">
        <v>212</v>
      </c>
      <c r="F80" s="10">
        <v>5</v>
      </c>
      <c r="G80" s="198"/>
      <c r="H80" s="195"/>
      <c r="I80" s="10" t="s">
        <v>212</v>
      </c>
      <c r="J80" s="10">
        <v>5</v>
      </c>
      <c r="K80" s="198"/>
      <c r="L80" s="198"/>
    </row>
    <row r="81" spans="5:12">
      <c r="E81" s="10" t="s">
        <v>213</v>
      </c>
      <c r="F81" s="10">
        <v>5</v>
      </c>
      <c r="G81" s="198"/>
      <c r="H81" s="195"/>
      <c r="I81" s="10" t="s">
        <v>213</v>
      </c>
      <c r="J81" s="10">
        <v>5</v>
      </c>
      <c r="K81" s="198"/>
      <c r="L81" s="198"/>
    </row>
    <row r="82" spans="5:12">
      <c r="E82" s="10" t="s">
        <v>214</v>
      </c>
      <c r="F82" s="10">
        <v>5</v>
      </c>
      <c r="G82" s="198"/>
      <c r="H82" s="195"/>
      <c r="I82" s="10" t="s">
        <v>214</v>
      </c>
      <c r="J82" s="10">
        <v>5</v>
      </c>
      <c r="K82" s="198"/>
      <c r="L82" s="198"/>
    </row>
    <row r="83" spans="5:12">
      <c r="E83" s="10" t="s">
        <v>215</v>
      </c>
      <c r="F83" s="10">
        <v>5</v>
      </c>
      <c r="G83" s="198"/>
      <c r="H83" s="195"/>
      <c r="I83" s="10" t="s">
        <v>215</v>
      </c>
      <c r="J83" s="10">
        <v>5</v>
      </c>
      <c r="K83" s="198"/>
      <c r="L83" s="198"/>
    </row>
    <row r="84" spans="5:12">
      <c r="E84" s="10" t="s">
        <v>216</v>
      </c>
      <c r="F84" s="10">
        <v>5</v>
      </c>
      <c r="G84" s="198"/>
      <c r="H84" s="195"/>
      <c r="I84" s="10" t="s">
        <v>216</v>
      </c>
      <c r="J84" s="10">
        <v>5</v>
      </c>
      <c r="K84" s="198"/>
      <c r="L84" s="198"/>
    </row>
    <row r="85" spans="5:12">
      <c r="E85" s="10" t="s">
        <v>217</v>
      </c>
      <c r="F85" s="10">
        <v>5</v>
      </c>
      <c r="G85" s="198"/>
      <c r="H85" s="195"/>
      <c r="I85" s="10" t="s">
        <v>217</v>
      </c>
      <c r="J85" s="10">
        <v>5</v>
      </c>
      <c r="K85" s="198"/>
      <c r="L85" s="198"/>
    </row>
    <row r="86" spans="5:12">
      <c r="E86" s="10" t="s">
        <v>218</v>
      </c>
      <c r="F86" s="10">
        <v>5</v>
      </c>
      <c r="G86" s="198"/>
      <c r="H86" s="195"/>
      <c r="I86" s="10" t="s">
        <v>218</v>
      </c>
      <c r="J86" s="10">
        <v>5</v>
      </c>
      <c r="K86" s="198"/>
      <c r="L86" s="198"/>
    </row>
    <row r="87" spans="5:12">
      <c r="E87" s="10" t="s">
        <v>219</v>
      </c>
      <c r="F87" s="10">
        <v>5</v>
      </c>
      <c r="G87" s="198"/>
      <c r="H87" s="195"/>
      <c r="I87" s="10" t="s">
        <v>219</v>
      </c>
      <c r="J87" s="10">
        <v>5</v>
      </c>
      <c r="K87" s="198"/>
      <c r="L87" s="198"/>
    </row>
    <row r="88" spans="5:12">
      <c r="E88" s="10" t="s">
        <v>220</v>
      </c>
      <c r="F88" s="10">
        <v>5</v>
      </c>
      <c r="G88" s="198"/>
      <c r="H88" s="195"/>
      <c r="I88" s="10" t="s">
        <v>220</v>
      </c>
      <c r="J88" s="10">
        <v>5</v>
      </c>
      <c r="K88" s="198"/>
      <c r="L88" s="198"/>
    </row>
    <row r="89" spans="5:12">
      <c r="E89" s="10" t="s">
        <v>221</v>
      </c>
      <c r="F89" s="10">
        <v>5</v>
      </c>
      <c r="G89" s="198"/>
      <c r="H89" s="195"/>
      <c r="I89" s="10" t="s">
        <v>221</v>
      </c>
      <c r="J89" s="10">
        <v>5</v>
      </c>
      <c r="K89" s="198"/>
      <c r="L89" s="198"/>
    </row>
    <row r="90" spans="5:12">
      <c r="E90" s="10" t="s">
        <v>222</v>
      </c>
      <c r="F90" s="10">
        <v>5</v>
      </c>
      <c r="G90" s="198"/>
      <c r="H90" s="195"/>
      <c r="I90" s="10" t="s">
        <v>222</v>
      </c>
      <c r="J90" s="10">
        <v>5</v>
      </c>
      <c r="K90" s="198"/>
      <c r="L90" s="198"/>
    </row>
    <row r="91" spans="5:12">
      <c r="E91" s="10" t="s">
        <v>223</v>
      </c>
      <c r="F91" s="10">
        <v>2</v>
      </c>
      <c r="G91" s="198">
        <v>114.8</v>
      </c>
      <c r="H91" s="195">
        <f>69.78*LOG10(F91)-10.16</f>
        <v>10.845873097432609</v>
      </c>
      <c r="I91" s="10" t="s">
        <v>223</v>
      </c>
      <c r="J91" s="10">
        <v>5</v>
      </c>
      <c r="K91" s="198"/>
      <c r="L91" s="198"/>
    </row>
    <row r="92" spans="5:12">
      <c r="E92" s="10" t="s">
        <v>224</v>
      </c>
      <c r="F92" s="10">
        <v>2</v>
      </c>
      <c r="G92" s="198"/>
      <c r="H92" s="195"/>
      <c r="I92" s="10" t="s">
        <v>224</v>
      </c>
      <c r="J92" s="10">
        <v>5</v>
      </c>
      <c r="K92" s="198"/>
      <c r="L92" s="198"/>
    </row>
    <row r="93" spans="5:12">
      <c r="E93" s="10" t="s">
        <v>225</v>
      </c>
      <c r="F93" s="10">
        <v>2</v>
      </c>
      <c r="G93" s="198"/>
      <c r="H93" s="195"/>
      <c r="I93" s="10" t="s">
        <v>225</v>
      </c>
      <c r="J93" s="10">
        <v>5</v>
      </c>
      <c r="K93" s="198"/>
      <c r="L93" s="198"/>
    </row>
    <row r="94" spans="5:12">
      <c r="E94" s="10" t="s">
        <v>226</v>
      </c>
      <c r="F94" s="10">
        <v>2</v>
      </c>
      <c r="G94" s="198"/>
      <c r="H94" s="195"/>
      <c r="I94" s="10" t="s">
        <v>226</v>
      </c>
      <c r="J94" s="10">
        <v>5</v>
      </c>
      <c r="K94" s="198"/>
      <c r="L94" s="198"/>
    </row>
    <row r="95" spans="5:12">
      <c r="E95" s="10" t="s">
        <v>227</v>
      </c>
      <c r="F95" s="10">
        <v>2</v>
      </c>
      <c r="G95" s="198"/>
      <c r="H95" s="195"/>
      <c r="I95" s="10" t="s">
        <v>227</v>
      </c>
      <c r="J95" s="10">
        <v>5</v>
      </c>
      <c r="K95" s="198"/>
      <c r="L95" s="198"/>
    </row>
    <row r="96" spans="5:12">
      <c r="E96" s="10" t="s">
        <v>228</v>
      </c>
      <c r="F96" s="10">
        <v>2</v>
      </c>
      <c r="G96" s="198"/>
      <c r="H96" s="195"/>
      <c r="I96" s="10" t="s">
        <v>228</v>
      </c>
      <c r="J96" s="10">
        <v>5</v>
      </c>
      <c r="K96" s="198"/>
      <c r="L96" s="198"/>
    </row>
    <row r="97" spans="5:12">
      <c r="E97" s="10" t="s">
        <v>229</v>
      </c>
      <c r="F97" s="10">
        <v>2</v>
      </c>
      <c r="G97" s="198"/>
      <c r="H97" s="195"/>
      <c r="I97" s="10" t="s">
        <v>229</v>
      </c>
      <c r="J97" s="10">
        <v>5</v>
      </c>
      <c r="K97" s="198"/>
      <c r="L97" s="198"/>
    </row>
    <row r="98" spans="5:12">
      <c r="E98" s="10" t="s">
        <v>230</v>
      </c>
      <c r="F98" s="10">
        <v>2</v>
      </c>
      <c r="G98" s="198"/>
      <c r="H98" s="195"/>
      <c r="I98" s="10" t="s">
        <v>230</v>
      </c>
      <c r="J98" s="10">
        <v>2</v>
      </c>
      <c r="K98" s="198">
        <v>114.8</v>
      </c>
      <c r="L98" s="198">
        <v>115.8</v>
      </c>
    </row>
    <row r="99" spans="5:12">
      <c r="I99" s="10" t="s">
        <v>231</v>
      </c>
      <c r="J99" s="10">
        <v>2</v>
      </c>
      <c r="K99" s="198"/>
      <c r="L99" s="198"/>
    </row>
    <row r="100" spans="5:12">
      <c r="I100" s="10" t="s">
        <v>232</v>
      </c>
      <c r="J100" s="10">
        <v>2</v>
      </c>
      <c r="K100" s="198"/>
      <c r="L100" s="198"/>
    </row>
    <row r="101" spans="5:12">
      <c r="I101" s="10" t="s">
        <v>233</v>
      </c>
      <c r="J101" s="10">
        <v>2</v>
      </c>
      <c r="K101" s="198"/>
      <c r="L101" s="198"/>
    </row>
    <row r="102" spans="5:12">
      <c r="I102" s="10" t="s">
        <v>234</v>
      </c>
      <c r="J102" s="10">
        <v>2</v>
      </c>
      <c r="K102" s="198"/>
      <c r="L102" s="198"/>
    </row>
    <row r="103" spans="5:12">
      <c r="I103" s="10" t="s">
        <v>235</v>
      </c>
      <c r="J103" s="10">
        <v>2</v>
      </c>
      <c r="K103" s="198"/>
      <c r="L103" s="198"/>
    </row>
    <row r="104" spans="5:12">
      <c r="I104" s="10" t="s">
        <v>236</v>
      </c>
      <c r="J104" s="10">
        <v>2</v>
      </c>
      <c r="K104" s="198"/>
      <c r="L104" s="198"/>
    </row>
  </sheetData>
  <mergeCells count="20">
    <mergeCell ref="L98:L104"/>
    <mergeCell ref="H8:H25"/>
    <mergeCell ref="H26:H50"/>
    <mergeCell ref="H51:H90"/>
    <mergeCell ref="H91:H98"/>
    <mergeCell ref="G91:G98"/>
    <mergeCell ref="K8:K18"/>
    <mergeCell ref="K19:K54"/>
    <mergeCell ref="K55:K97"/>
    <mergeCell ref="K98:K104"/>
    <mergeCell ref="A1:C1"/>
    <mergeCell ref="G8:G25"/>
    <mergeCell ref="G26:G50"/>
    <mergeCell ref="G51:G90"/>
    <mergeCell ref="AA66:AB66"/>
    <mergeCell ref="AA67:AB67"/>
    <mergeCell ref="AA65:AB65"/>
    <mergeCell ref="L8:L18"/>
    <mergeCell ref="L19:L54"/>
    <mergeCell ref="L55:L97"/>
  </mergeCells>
  <phoneticPr fontId="1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C105"/>
  <sheetViews>
    <sheetView topLeftCell="A51" zoomScale="66" zoomScaleNormal="70" workbookViewId="0">
      <selection activeCell="M58" sqref="M58"/>
    </sheetView>
  </sheetViews>
  <sheetFormatPr defaultColWidth="8.85546875" defaultRowHeight="15" customHeight="1"/>
  <cols>
    <col min="2" max="2" width="22.7109375" bestFit="1" customWidth="1"/>
    <col min="3" max="3" width="17.42578125" bestFit="1" customWidth="1"/>
    <col min="6" max="6" width="16.28515625" bestFit="1" customWidth="1"/>
    <col min="7" max="7" width="10.85546875" bestFit="1" customWidth="1"/>
    <col min="10" max="10" width="13.7109375" customWidth="1"/>
    <col min="11" max="11" width="21" customWidth="1"/>
    <col min="12" max="30" width="9.140625" customWidth="1"/>
  </cols>
  <sheetData>
    <row r="3" spans="2:28" ht="14.45">
      <c r="B3" s="222" t="s">
        <v>237</v>
      </c>
      <c r="C3" s="223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3"/>
    </row>
    <row r="4" spans="2:28" ht="14.45" customHeight="1">
      <c r="B4" s="224"/>
      <c r="C4" s="221"/>
      <c r="O4" s="149"/>
      <c r="R4" s="211"/>
      <c r="S4" s="211"/>
      <c r="T4" s="211"/>
      <c r="U4" s="211"/>
      <c r="V4" s="211"/>
      <c r="W4" s="211"/>
      <c r="X4" s="211"/>
      <c r="Y4" s="211"/>
      <c r="Z4" s="211"/>
      <c r="AA4" s="211"/>
      <c r="AB4" s="211"/>
    </row>
    <row r="5" spans="2:28" ht="14.45" customHeight="1">
      <c r="B5" s="144"/>
      <c r="O5" s="149"/>
      <c r="R5" s="211"/>
      <c r="S5" s="211"/>
      <c r="T5" s="211"/>
      <c r="U5" s="211"/>
      <c r="V5" s="211"/>
      <c r="W5" s="211"/>
      <c r="X5" s="211"/>
      <c r="Y5" s="211"/>
      <c r="Z5" s="211"/>
      <c r="AA5" s="211"/>
      <c r="AB5" s="211"/>
    </row>
    <row r="6" spans="2:28" ht="14.45" customHeight="1">
      <c r="B6" s="145" t="s">
        <v>238</v>
      </c>
      <c r="C6" s="1"/>
      <c r="F6" s="25" t="s">
        <v>239</v>
      </c>
      <c r="G6" s="1"/>
      <c r="J6" s="25" t="s">
        <v>240</v>
      </c>
      <c r="K6" s="1"/>
      <c r="O6" s="149"/>
      <c r="R6" s="211"/>
      <c r="S6" s="211"/>
      <c r="T6" s="211"/>
      <c r="U6" s="211"/>
      <c r="V6" s="211"/>
      <c r="W6" s="211"/>
      <c r="X6" s="211"/>
      <c r="Y6" s="211"/>
      <c r="Z6" s="211"/>
      <c r="AA6" s="211"/>
      <c r="AB6" s="211"/>
    </row>
    <row r="7" spans="2:28" ht="14.45" customHeight="1">
      <c r="B7" s="144"/>
      <c r="C7" s="1"/>
      <c r="G7" s="1"/>
      <c r="K7" s="1"/>
      <c r="O7" s="149"/>
      <c r="R7" s="211"/>
      <c r="S7" s="211"/>
      <c r="T7" s="211"/>
      <c r="U7" s="211"/>
      <c r="V7" s="211"/>
      <c r="W7" s="211"/>
      <c r="X7" s="211"/>
      <c r="Y7" s="211"/>
      <c r="Z7" s="211"/>
      <c r="AA7" s="211"/>
      <c r="AB7" s="211"/>
    </row>
    <row r="8" spans="2:28" ht="14.45" customHeight="1">
      <c r="B8" s="146" t="s">
        <v>241</v>
      </c>
      <c r="C8" s="1"/>
      <c r="F8" s="26" t="s">
        <v>241</v>
      </c>
      <c r="G8" s="1"/>
      <c r="J8" s="26" t="s">
        <v>241</v>
      </c>
      <c r="K8" s="1"/>
      <c r="O8" s="149"/>
      <c r="R8" s="211"/>
      <c r="S8" s="211"/>
      <c r="T8" s="211"/>
      <c r="U8" s="211"/>
      <c r="V8" s="211"/>
      <c r="W8" s="211"/>
      <c r="X8" s="211"/>
      <c r="Y8" s="211"/>
      <c r="Z8" s="211"/>
      <c r="AA8" s="211"/>
      <c r="AB8" s="211"/>
    </row>
    <row r="9" spans="2:28" ht="14.45" customHeight="1">
      <c r="B9" s="147" t="s">
        <v>242</v>
      </c>
      <c r="C9" s="28" t="s">
        <v>243</v>
      </c>
      <c r="F9" s="27" t="s">
        <v>242</v>
      </c>
      <c r="G9" s="28" t="s">
        <v>243</v>
      </c>
      <c r="J9" s="27" t="s">
        <v>242</v>
      </c>
      <c r="K9" s="28" t="s">
        <v>243</v>
      </c>
      <c r="O9" s="149"/>
      <c r="R9" s="211"/>
      <c r="S9" s="211"/>
      <c r="T9" s="211"/>
      <c r="U9" s="211"/>
      <c r="V9" s="211"/>
      <c r="W9" s="211"/>
      <c r="X9" s="211"/>
      <c r="Y9" s="211"/>
      <c r="Z9" s="211"/>
      <c r="AA9" s="211"/>
      <c r="AB9" s="211"/>
    </row>
    <row r="10" spans="2:28" ht="14.45" customHeight="1">
      <c r="B10" s="148" t="s">
        <v>70</v>
      </c>
      <c r="C10" s="30">
        <f>Tránsito!O47</f>
        <v>13218454.949085878</v>
      </c>
      <c r="F10" s="29" t="s">
        <v>70</v>
      </c>
      <c r="G10" s="30">
        <f>C10</f>
        <v>13218454.949085878</v>
      </c>
      <c r="J10" s="29" t="s">
        <v>70</v>
      </c>
      <c r="K10" s="30">
        <f>C10</f>
        <v>13218454.949085878</v>
      </c>
      <c r="O10" s="149"/>
      <c r="R10" s="211"/>
      <c r="S10" s="211"/>
      <c r="T10" s="211"/>
      <c r="U10" s="211"/>
      <c r="V10" s="211"/>
      <c r="W10" s="211"/>
      <c r="X10" s="211"/>
      <c r="Y10" s="211"/>
      <c r="Z10" s="211"/>
      <c r="AA10" s="211"/>
      <c r="AB10" s="211"/>
    </row>
    <row r="11" spans="2:28" ht="14.45">
      <c r="B11" s="225" t="s">
        <v>244</v>
      </c>
      <c r="C11" s="31">
        <f>Tramificación!G9</f>
        <v>105.82989552012964</v>
      </c>
      <c r="D11" t="s">
        <v>53</v>
      </c>
      <c r="F11" s="227" t="s">
        <v>244</v>
      </c>
      <c r="G11" s="31">
        <f>Tramificación!G31</f>
        <v>156.80980428808306</v>
      </c>
      <c r="H11" t="s">
        <v>53</v>
      </c>
      <c r="J11" s="227" t="s">
        <v>244</v>
      </c>
      <c r="K11" s="31">
        <f>Tramificación!G47</f>
        <v>97.858508280293123</v>
      </c>
      <c r="L11" t="s">
        <v>53</v>
      </c>
      <c r="O11" s="149"/>
      <c r="R11" s="211"/>
      <c r="S11" s="211"/>
      <c r="T11" s="211"/>
      <c r="U11" s="211"/>
      <c r="V11" s="211"/>
      <c r="W11" s="211"/>
      <c r="X11" s="211"/>
      <c r="Y11" s="211"/>
      <c r="Z11" s="211"/>
      <c r="AA11" s="211"/>
      <c r="AB11" s="211"/>
    </row>
    <row r="12" spans="2:28" ht="14.45">
      <c r="B12" s="226"/>
      <c r="C12" s="82">
        <f>C11*145.05</f>
        <v>15350.626345194805</v>
      </c>
      <c r="D12" t="s">
        <v>245</v>
      </c>
      <c r="F12" s="228"/>
      <c r="G12" s="82">
        <f>G11*145.05</f>
        <v>22745.262111986449</v>
      </c>
      <c r="H12" t="s">
        <v>245</v>
      </c>
      <c r="J12" s="228"/>
      <c r="K12" s="82">
        <f>K11*145.05</f>
        <v>14194.376626056519</v>
      </c>
      <c r="L12" t="s">
        <v>245</v>
      </c>
      <c r="O12" s="149"/>
    </row>
    <row r="13" spans="2:28" ht="14.45">
      <c r="B13" s="150" t="s">
        <v>246</v>
      </c>
      <c r="C13" s="37">
        <f>Tramificación!I9</f>
        <v>9.444901332625899E-2</v>
      </c>
      <c r="F13" s="32" t="s">
        <v>246</v>
      </c>
      <c r="G13" s="37">
        <f>Tramificación!I31</f>
        <v>0.11873565666282891</v>
      </c>
      <c r="J13" s="32" t="s">
        <v>246</v>
      </c>
      <c r="K13" s="37">
        <f>Tramificación!I47</f>
        <v>8.742632259238664E-2</v>
      </c>
      <c r="O13" s="149"/>
      <c r="R13" s="211" t="e" vm="1">
        <v>#VALUE!</v>
      </c>
      <c r="S13" s="211"/>
      <c r="T13" s="211"/>
      <c r="U13" s="211"/>
      <c r="V13" s="211"/>
      <c r="W13" s="211"/>
      <c r="X13" s="211"/>
      <c r="Y13" s="211"/>
      <c r="Z13" s="211"/>
      <c r="AA13" s="211"/>
      <c r="AB13" s="211"/>
    </row>
    <row r="14" spans="2:28" ht="14.45">
      <c r="B14" s="144"/>
      <c r="C14" s="1"/>
      <c r="G14" s="1"/>
      <c r="K14" s="1"/>
      <c r="O14" s="149"/>
      <c r="R14" s="211"/>
      <c r="S14" s="211"/>
      <c r="T14" s="211"/>
      <c r="U14" s="211"/>
      <c r="V14" s="211"/>
      <c r="W14" s="211"/>
      <c r="X14" s="211"/>
      <c r="Y14" s="211"/>
      <c r="Z14" s="211"/>
      <c r="AA14" s="211"/>
      <c r="AB14" s="211"/>
    </row>
    <row r="15" spans="2:28" ht="14.45">
      <c r="B15" s="151" t="s">
        <v>247</v>
      </c>
      <c r="C15" s="1"/>
      <c r="F15" s="33" t="s">
        <v>247</v>
      </c>
      <c r="G15" s="1"/>
      <c r="J15" s="33" t="s">
        <v>247</v>
      </c>
      <c r="K15" s="1"/>
      <c r="O15" s="149"/>
      <c r="R15" s="211"/>
      <c r="S15" s="211"/>
      <c r="T15" s="211"/>
      <c r="U15" s="211"/>
      <c r="V15" s="211"/>
      <c r="W15" s="211"/>
      <c r="X15" s="211"/>
      <c r="Y15" s="211"/>
      <c r="Z15" s="211"/>
      <c r="AA15" s="211"/>
      <c r="AB15" s="211"/>
    </row>
    <row r="16" spans="2:28" ht="14.45">
      <c r="B16" s="148" t="s">
        <v>78</v>
      </c>
      <c r="C16" s="2">
        <v>70</v>
      </c>
      <c r="F16" s="29" t="s">
        <v>78</v>
      </c>
      <c r="G16" s="2">
        <v>70</v>
      </c>
      <c r="J16" s="29" t="s">
        <v>78</v>
      </c>
      <c r="K16" s="2">
        <v>70</v>
      </c>
      <c r="O16" s="149"/>
      <c r="R16" s="211"/>
      <c r="S16" s="211"/>
      <c r="T16" s="211"/>
      <c r="U16" s="211"/>
      <c r="V16" s="211"/>
      <c r="W16" s="211"/>
      <c r="X16" s="211"/>
      <c r="Y16" s="211"/>
      <c r="Z16" s="211"/>
      <c r="AA16" s="211"/>
      <c r="AB16" s="211"/>
    </row>
    <row r="17" spans="2:55" ht="14.45">
      <c r="B17" s="150" t="s">
        <v>80</v>
      </c>
      <c r="C17" s="34">
        <v>-0.52400000000000002</v>
      </c>
      <c r="F17" s="32" t="s">
        <v>80</v>
      </c>
      <c r="G17" s="34">
        <v>-0.52400000000000002</v>
      </c>
      <c r="J17" s="32" t="s">
        <v>80</v>
      </c>
      <c r="K17" s="34">
        <v>-0.52400000000000002</v>
      </c>
      <c r="O17" s="149"/>
      <c r="R17" s="211"/>
      <c r="S17" s="211"/>
      <c r="T17" s="211"/>
      <c r="U17" s="211"/>
      <c r="V17" s="211"/>
      <c r="W17" s="211"/>
      <c r="X17" s="211"/>
      <c r="Y17" s="211"/>
      <c r="Z17" s="211"/>
      <c r="AA17" s="211"/>
      <c r="AB17" s="211"/>
    </row>
    <row r="18" spans="2:55" ht="14.45">
      <c r="B18" s="148" t="s">
        <v>84</v>
      </c>
      <c r="C18" s="2">
        <v>0.45</v>
      </c>
      <c r="D18" t="s">
        <v>248</v>
      </c>
      <c r="F18" s="29" t="s">
        <v>84</v>
      </c>
      <c r="G18" s="2">
        <v>0.45</v>
      </c>
      <c r="J18" s="29" t="s">
        <v>84</v>
      </c>
      <c r="K18" s="2">
        <v>0.45</v>
      </c>
      <c r="O18" s="149"/>
      <c r="R18" s="211"/>
      <c r="S18" s="211"/>
      <c r="T18" s="211"/>
      <c r="U18" s="211"/>
      <c r="V18" s="211"/>
      <c r="W18" s="211"/>
      <c r="X18" s="211"/>
      <c r="Y18" s="211"/>
      <c r="Z18" s="211"/>
      <c r="AA18" s="211"/>
      <c r="AB18" s="211"/>
    </row>
    <row r="19" spans="2:55" ht="14.45">
      <c r="B19" s="148" t="s">
        <v>249</v>
      </c>
      <c r="C19" s="2">
        <v>4.2</v>
      </c>
      <c r="F19" s="29" t="s">
        <v>249</v>
      </c>
      <c r="G19" s="2">
        <v>4.2</v>
      </c>
      <c r="J19" s="29" t="s">
        <v>249</v>
      </c>
      <c r="K19" s="2">
        <v>4.2</v>
      </c>
      <c r="O19" s="149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</row>
    <row r="20" spans="2:55" ht="14.45">
      <c r="B20" s="148" t="s">
        <v>250</v>
      </c>
      <c r="C20" s="2">
        <v>2</v>
      </c>
      <c r="F20" s="29" t="s">
        <v>250</v>
      </c>
      <c r="G20" s="2">
        <v>2</v>
      </c>
      <c r="J20" s="29" t="s">
        <v>250</v>
      </c>
      <c r="K20" s="2">
        <v>2</v>
      </c>
      <c r="O20" s="149"/>
    </row>
    <row r="21" spans="2:55" ht="14.45">
      <c r="B21" s="144"/>
      <c r="C21" s="1"/>
      <c r="G21" s="1"/>
      <c r="K21" s="1"/>
      <c r="O21" s="149"/>
      <c r="R21" s="23" t="s">
        <v>70</v>
      </c>
      <c r="S21" s="156">
        <f>K10</f>
        <v>13218454.949085878</v>
      </c>
      <c r="T21" t="s">
        <v>251</v>
      </c>
      <c r="U21" s="39" t="s">
        <v>252</v>
      </c>
      <c r="V21" s="39" t="s">
        <v>253</v>
      </c>
      <c r="W21" s="39" t="s">
        <v>254</v>
      </c>
      <c r="X21" s="39" t="s">
        <v>255</v>
      </c>
      <c r="Y21" s="39" t="s">
        <v>256</v>
      </c>
      <c r="Z21" s="39" t="s">
        <v>257</v>
      </c>
      <c r="AA21" s="39" t="s">
        <v>258</v>
      </c>
      <c r="AB21" s="39" t="s">
        <v>259</v>
      </c>
    </row>
    <row r="22" spans="2:55" ht="14.45">
      <c r="B22" s="144"/>
      <c r="C22" s="1"/>
      <c r="G22" s="1"/>
      <c r="K22" s="1"/>
      <c r="O22" s="149"/>
      <c r="R22" s="23" t="s">
        <v>80</v>
      </c>
      <c r="S22">
        <f>K17</f>
        <v>-0.52400000000000002</v>
      </c>
      <c r="U22" s="1">
        <f>LOG10(S21)</f>
        <v>7.1211806952176726</v>
      </c>
      <c r="V22" s="1">
        <f>S22*S23</f>
        <v>-0.23580000000000001</v>
      </c>
      <c r="W22" s="1">
        <f>U22-V22-X22-Y22/Z22-AA22-AB22</f>
        <v>5.76777141478507</v>
      </c>
      <c r="X22" s="1">
        <v>-0.2</v>
      </c>
      <c r="Y22" s="1">
        <f>LOG10((S24-S25)/(4.2-1.5))</f>
        <v>-8.8941083336781038E-2</v>
      </c>
      <c r="Z22" s="1">
        <f>0.4+1094/(W26+1)^5.19</f>
        <v>1.2209675040669361</v>
      </c>
      <c r="AA22" s="1">
        <f>2.32*LOG10(S26)</f>
        <v>10.562054039232919</v>
      </c>
      <c r="AB22" s="1">
        <v>-8.6999999999999993</v>
      </c>
      <c r="AC22" s="1"/>
    </row>
    <row r="23" spans="2:55" ht="14.45">
      <c r="B23" s="229" t="s">
        <v>260</v>
      </c>
      <c r="C23" s="230"/>
      <c r="F23" s="230" t="s">
        <v>260</v>
      </c>
      <c r="G23" s="230"/>
      <c r="J23" s="230" t="s">
        <v>260</v>
      </c>
      <c r="K23" s="230"/>
      <c r="O23" s="149"/>
      <c r="R23" s="23" t="s">
        <v>261</v>
      </c>
      <c r="S23">
        <f>K18</f>
        <v>0.45</v>
      </c>
      <c r="U23" s="1"/>
      <c r="V23" s="1"/>
      <c r="W23" s="1"/>
      <c r="X23" s="1"/>
      <c r="Y23" s="1"/>
      <c r="Z23" s="1"/>
      <c r="AA23" s="1"/>
      <c r="AB23" s="1"/>
      <c r="AC23" s="1"/>
    </row>
    <row r="24" spans="2:55" ht="14.45">
      <c r="B24" s="152" t="s">
        <v>262</v>
      </c>
      <c r="C24" s="35">
        <v>4.0999999999999996</v>
      </c>
      <c r="D24" s="36" t="s">
        <v>263</v>
      </c>
      <c r="F24" s="35" t="s">
        <v>262</v>
      </c>
      <c r="G24" s="35">
        <v>3.6</v>
      </c>
      <c r="H24" s="36" t="s">
        <v>263</v>
      </c>
      <c r="J24" s="35" t="s">
        <v>262</v>
      </c>
      <c r="K24" s="35">
        <v>4.2</v>
      </c>
      <c r="L24" s="36" t="s">
        <v>263</v>
      </c>
      <c r="O24" s="149"/>
      <c r="R24" s="23" t="s">
        <v>264</v>
      </c>
      <c r="S24">
        <v>4.2</v>
      </c>
      <c r="T24" s="38" t="s">
        <v>265</v>
      </c>
      <c r="U24" s="1"/>
      <c r="V24" s="42" t="s">
        <v>266</v>
      </c>
      <c r="W24" s="40">
        <f>10^(W22/9.36)-1</f>
        <v>3.1325193401484368</v>
      </c>
      <c r="X24" s="40" t="s">
        <v>263</v>
      </c>
      <c r="Y24" s="1"/>
      <c r="Z24" s="1"/>
      <c r="AA24" s="1"/>
      <c r="AB24" s="1"/>
      <c r="AC24" s="1"/>
    </row>
    <row r="25" spans="2:55" ht="14.45">
      <c r="B25" s="144"/>
      <c r="C25" s="91">
        <f>C24*2.54</f>
        <v>10.414</v>
      </c>
      <c r="D25" t="s">
        <v>267</v>
      </c>
      <c r="G25" s="91">
        <f>G24*2.54</f>
        <v>9.1440000000000001</v>
      </c>
      <c r="H25" t="s">
        <v>267</v>
      </c>
      <c r="K25" s="91">
        <f>K24*2.54</f>
        <v>10.668000000000001</v>
      </c>
      <c r="L25" t="s">
        <v>267</v>
      </c>
      <c r="O25" s="149"/>
      <c r="R25" s="23" t="s">
        <v>268</v>
      </c>
      <c r="S25">
        <v>2</v>
      </c>
      <c r="T25" s="38" t="s">
        <v>265</v>
      </c>
      <c r="U25" s="1"/>
      <c r="V25" s="1"/>
      <c r="W25" s="1"/>
      <c r="X25" s="1"/>
      <c r="Y25" s="1"/>
      <c r="Z25" s="1"/>
      <c r="AA25" s="1"/>
      <c r="AB25" s="1"/>
      <c r="AC25" s="1"/>
    </row>
    <row r="26" spans="2:55" ht="14.45">
      <c r="B26" s="153"/>
      <c r="C26" s="154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5"/>
      <c r="R26" s="23" t="s">
        <v>269</v>
      </c>
      <c r="S26" s="43">
        <f>S36</f>
        <v>35695.173700330932</v>
      </c>
      <c r="T26" t="s">
        <v>245</v>
      </c>
      <c r="U26" s="1"/>
      <c r="V26" s="42" t="s">
        <v>270</v>
      </c>
      <c r="W26" s="41">
        <v>3</v>
      </c>
      <c r="X26" s="40" t="s">
        <v>263</v>
      </c>
      <c r="Y26" s="1"/>
      <c r="Z26" s="1"/>
      <c r="AA26" s="1"/>
      <c r="AB26" s="1"/>
      <c r="AC26" s="1"/>
    </row>
    <row r="27" spans="2:55" ht="14.45">
      <c r="R27" s="23"/>
      <c r="S27" s="8"/>
      <c r="U27" s="1"/>
      <c r="Y27" s="1"/>
      <c r="Z27" s="1"/>
      <c r="AA27" s="1"/>
      <c r="AB27" s="1"/>
      <c r="AC27" s="1"/>
    </row>
    <row r="28" spans="2:55" ht="14.45"/>
    <row r="29" spans="2:55" ht="14.45" customHeight="1">
      <c r="B29" s="221" t="s">
        <v>271</v>
      </c>
      <c r="C29" s="221"/>
      <c r="F29" s="113" t="s">
        <v>272</v>
      </c>
      <c r="G29" s="103">
        <v>12000</v>
      </c>
      <c r="H29" s="90" t="s">
        <v>48</v>
      </c>
      <c r="J29" s="211" t="s">
        <v>273</v>
      </c>
      <c r="K29" s="211"/>
      <c r="L29" s="211"/>
      <c r="M29" s="211"/>
      <c r="N29" s="211"/>
    </row>
    <row r="30" spans="2:55" ht="14.45" customHeight="1">
      <c r="B30" s="221"/>
      <c r="C30" s="221"/>
      <c r="F30" s="113" t="s">
        <v>274</v>
      </c>
      <c r="G30" s="103">
        <v>6.6</v>
      </c>
      <c r="H30" s="90" t="s">
        <v>48</v>
      </c>
      <c r="J30" s="211"/>
      <c r="K30" s="211"/>
      <c r="L30" s="211"/>
      <c r="M30" s="211"/>
      <c r="N30" s="211"/>
      <c r="P30" s="212" t="s">
        <v>275</v>
      </c>
      <c r="Q30" s="212"/>
      <c r="R30" s="212"/>
      <c r="S30" s="212"/>
      <c r="T30" s="212"/>
      <c r="V30" s="212" t="s">
        <v>276</v>
      </c>
      <c r="W30" s="212"/>
      <c r="X30" s="212"/>
      <c r="Y30" s="212"/>
      <c r="Z30" s="212"/>
      <c r="AA30" s="212"/>
      <c r="AB30" s="212"/>
      <c r="AC30" s="212"/>
      <c r="AF30" s="211" t="e" vm="2">
        <v>#VALUE!</v>
      </c>
      <c r="AG30" s="211"/>
      <c r="AH30" s="211"/>
      <c r="AI30" s="211"/>
      <c r="AJ30" s="211"/>
      <c r="AK30" s="211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1"/>
      <c r="BB30" s="211"/>
      <c r="BC30" s="211"/>
    </row>
    <row r="31" spans="2:55" ht="15" customHeight="1">
      <c r="F31" s="66" t="s">
        <v>277</v>
      </c>
      <c r="G31" s="104">
        <f>G29*G30</f>
        <v>79200</v>
      </c>
      <c r="H31" s="51" t="s">
        <v>278</v>
      </c>
      <c r="P31" s="212"/>
      <c r="Q31" s="212"/>
      <c r="R31" s="212"/>
      <c r="S31" s="212"/>
      <c r="T31" s="212"/>
      <c r="V31" s="212"/>
      <c r="W31" s="212"/>
      <c r="X31" s="212"/>
      <c r="Y31" s="212"/>
      <c r="Z31" s="212"/>
      <c r="AA31" s="212"/>
      <c r="AB31" s="212"/>
      <c r="AC31" s="212"/>
      <c r="AF31" s="211"/>
      <c r="AG31" s="211"/>
      <c r="AH31" s="211"/>
      <c r="AI31" s="211"/>
      <c r="AJ31" s="211"/>
      <c r="AK31" s="211"/>
      <c r="AL31" s="211"/>
      <c r="AM31" s="211"/>
      <c r="AN31" s="211"/>
      <c r="AO31" s="211"/>
      <c r="AP31" s="211"/>
      <c r="AQ31" s="211"/>
      <c r="AR31" s="211"/>
      <c r="AS31" s="211"/>
      <c r="AT31" s="211"/>
      <c r="AU31" s="211"/>
      <c r="AV31" s="211"/>
      <c r="AW31" s="211"/>
      <c r="AX31" s="211"/>
      <c r="AY31" s="211"/>
      <c r="AZ31" s="211"/>
      <c r="BA31" s="211"/>
      <c r="BB31" s="211"/>
      <c r="BC31" s="211"/>
    </row>
    <row r="32" spans="2:55" ht="14.45">
      <c r="P32" s="141"/>
      <c r="Q32" s="23"/>
      <c r="T32" s="99"/>
      <c r="W32" s="1"/>
      <c r="AF32" s="211"/>
      <c r="AG32" s="211"/>
      <c r="AH32" s="211"/>
      <c r="AI32" s="211"/>
      <c r="AJ32" s="211"/>
      <c r="AK32" s="211"/>
      <c r="AL32" s="211"/>
      <c r="AM32" s="211"/>
      <c r="AN32" s="211"/>
      <c r="AO32" s="211"/>
      <c r="AP32" s="211"/>
      <c r="AQ32" s="211"/>
      <c r="AR32" s="211"/>
      <c r="AS32" s="211"/>
      <c r="AT32" s="211"/>
      <c r="AU32" s="211"/>
      <c r="AV32" s="211"/>
      <c r="AW32" s="211"/>
      <c r="AX32" s="211"/>
      <c r="AY32" s="211"/>
      <c r="AZ32" s="211"/>
      <c r="BA32" s="211"/>
      <c r="BB32" s="211"/>
      <c r="BC32" s="211"/>
    </row>
    <row r="33" spans="1:55" ht="14.45">
      <c r="B33" s="201" t="s">
        <v>279</v>
      </c>
      <c r="C33" s="201"/>
      <c r="D33" s="201" t="s">
        <v>280</v>
      </c>
      <c r="E33" s="201"/>
      <c r="F33" s="66" t="s">
        <v>281</v>
      </c>
      <c r="G33" s="66" t="s">
        <v>282</v>
      </c>
      <c r="H33" s="66" t="s">
        <v>125</v>
      </c>
      <c r="I33" s="74" t="s">
        <v>283</v>
      </c>
      <c r="J33" s="66" t="s">
        <v>284</v>
      </c>
      <c r="K33" s="66" t="s">
        <v>285</v>
      </c>
      <c r="L33" s="39" t="s">
        <v>286</v>
      </c>
      <c r="M33" s="39"/>
      <c r="N33" s="39"/>
      <c r="O33" s="39"/>
      <c r="P33" s="98"/>
      <c r="Q33" s="39"/>
      <c r="T33" s="99"/>
      <c r="V33" s="52"/>
      <c r="W33" s="53" t="s">
        <v>287</v>
      </c>
      <c r="X33" s="54" t="s">
        <v>288</v>
      </c>
      <c r="Z33" s="60" t="s">
        <v>251</v>
      </c>
      <c r="AA33" s="231">
        <f>C10</f>
        <v>13218454.949085878</v>
      </c>
      <c r="AB33" s="231"/>
      <c r="AF33" s="211"/>
      <c r="AG33" s="211"/>
      <c r="AH33" s="211"/>
      <c r="AI33" s="211"/>
      <c r="AJ33" s="211"/>
      <c r="AK33" s="211"/>
      <c r="AL33" s="211"/>
      <c r="AM33" s="211"/>
      <c r="AN33" s="211"/>
      <c r="AO33" s="211"/>
      <c r="AP33" s="211"/>
      <c r="AQ33" s="211"/>
      <c r="AR33" s="211"/>
      <c r="AS33" s="211"/>
      <c r="AT33" s="211"/>
      <c r="AU33" s="211"/>
      <c r="AV33" s="211"/>
      <c r="AW33" s="211"/>
      <c r="AX33" s="211"/>
      <c r="AY33" s="211"/>
      <c r="AZ33" s="211"/>
      <c r="BA33" s="211"/>
      <c r="BB33" s="211"/>
      <c r="BC33" s="211"/>
    </row>
    <row r="34" spans="1:55" ht="14.45">
      <c r="B34" s="204" t="s">
        <v>289</v>
      </c>
      <c r="C34" s="204"/>
      <c r="D34" s="205" t="s">
        <v>290</v>
      </c>
      <c r="E34" s="203"/>
      <c r="F34" s="49">
        <f>0.0078*9000^0.441</f>
        <v>0.43242973482106162</v>
      </c>
      <c r="G34" s="48">
        <v>1</v>
      </c>
      <c r="H34" s="77">
        <v>5</v>
      </c>
      <c r="I34" s="71">
        <f>H34*G34*F34</f>
        <v>2.1621486741053082</v>
      </c>
      <c r="J34" s="106">
        <v>225234</v>
      </c>
      <c r="K34" s="106">
        <f>(H34*10^-2)*$G$31*J34</f>
        <v>891926640</v>
      </c>
      <c r="L34" s="72">
        <v>25</v>
      </c>
      <c r="M34" s="76" t="s">
        <v>291</v>
      </c>
      <c r="N34" s="76" t="s">
        <v>292</v>
      </c>
      <c r="O34" s="72"/>
      <c r="P34" s="98"/>
      <c r="Q34" s="215" t="s">
        <v>293</v>
      </c>
      <c r="R34" s="67" t="s">
        <v>50</v>
      </c>
      <c r="S34" s="2">
        <v>80</v>
      </c>
      <c r="T34" s="99"/>
      <c r="V34" s="55" t="s">
        <v>294</v>
      </c>
      <c r="W34" s="56">
        <v>19.7</v>
      </c>
      <c r="X34" s="62">
        <f>10^((W34-20.348)/17.5683)</f>
        <v>0.91857661277178071</v>
      </c>
      <c r="Z34" s="60" t="s">
        <v>295</v>
      </c>
      <c r="AA34" s="232">
        <f>10^(-K17*K18)</f>
        <v>1.7210758077588462</v>
      </c>
      <c r="AB34" s="232"/>
      <c r="AF34" s="211"/>
      <c r="AG34" s="211"/>
      <c r="AH34" s="211"/>
      <c r="AI34" s="211"/>
      <c r="AJ34" s="211"/>
      <c r="AK34" s="211"/>
      <c r="AL34" s="211"/>
      <c r="AM34" s="211"/>
      <c r="AN34" s="211"/>
      <c r="AO34" s="211"/>
      <c r="AP34" s="211"/>
      <c r="AQ34" s="211"/>
      <c r="AR34" s="211"/>
      <c r="AS34" s="211"/>
      <c r="AT34" s="211"/>
      <c r="AU34" s="211"/>
      <c r="AV34" s="211"/>
      <c r="AW34" s="211"/>
      <c r="AX34" s="211"/>
      <c r="AY34" s="211"/>
      <c r="AZ34" s="211"/>
      <c r="BA34" s="211"/>
      <c r="BB34" s="211"/>
      <c r="BC34" s="211"/>
    </row>
    <row r="35" spans="1:55" ht="14.45">
      <c r="B35" s="204" t="s">
        <v>296</v>
      </c>
      <c r="C35" s="204"/>
      <c r="D35" s="205" t="s">
        <v>297</v>
      </c>
      <c r="E35" s="203"/>
      <c r="F35" s="49">
        <f>0.0078*8000^0.441</f>
        <v>0.41054171003339512</v>
      </c>
      <c r="G35" s="48">
        <v>1</v>
      </c>
      <c r="H35" s="73">
        <v>10</v>
      </c>
      <c r="I35" s="71">
        <f t="shared" ref="I35:I36" si="0">H35*G35*F35</f>
        <v>4.105417100333951</v>
      </c>
      <c r="J35" s="106">
        <v>192548</v>
      </c>
      <c r="K35" s="106">
        <f t="shared" ref="K35:K39" si="1">(H35*10^-2)*$G$31*J35</f>
        <v>1524980160</v>
      </c>
      <c r="L35" s="72">
        <v>26</v>
      </c>
      <c r="M35" s="75">
        <v>1</v>
      </c>
      <c r="N35" s="114">
        <f>C25</f>
        <v>10.414</v>
      </c>
      <c r="O35" s="72"/>
      <c r="P35" s="98"/>
      <c r="Q35" s="216"/>
      <c r="R35" s="218" t="s">
        <v>269</v>
      </c>
      <c r="S35" s="3">
        <f>22.1*S34^0.55</f>
        <v>246.08875353554589</v>
      </c>
      <c r="T35" s="99" t="s">
        <v>53</v>
      </c>
      <c r="V35" s="57" t="s">
        <v>298</v>
      </c>
      <c r="W35" s="56">
        <v>19.2</v>
      </c>
      <c r="X35" s="62">
        <f t="shared" ref="X35:X45" si="2">10^((W35-20.348)/17.5683)</f>
        <v>0.86031012089381964</v>
      </c>
      <c r="Z35" s="61" t="s">
        <v>299</v>
      </c>
      <c r="AA35" s="231">
        <f>AA33*AA34</f>
        <v>22749963.028821897</v>
      </c>
      <c r="AB35" s="231"/>
      <c r="AF35" s="211"/>
      <c r="AG35" s="211"/>
      <c r="AH35" s="211"/>
      <c r="AI35" s="211"/>
      <c r="AJ35" s="211"/>
      <c r="AK35" s="211"/>
      <c r="AL35" s="211"/>
      <c r="AM35" s="211"/>
      <c r="AN35" s="211"/>
      <c r="AO35" s="211"/>
      <c r="AP35" s="211"/>
      <c r="AQ35" s="211"/>
      <c r="AR35" s="211"/>
      <c r="AS35" s="211"/>
      <c r="AT35" s="211"/>
      <c r="AU35" s="211"/>
      <c r="AV35" s="211"/>
      <c r="AW35" s="211"/>
      <c r="AX35" s="211"/>
      <c r="AY35" s="211"/>
      <c r="AZ35" s="211"/>
      <c r="BA35" s="211"/>
      <c r="BB35" s="211"/>
      <c r="BC35" s="211"/>
    </row>
    <row r="36" spans="1:55" ht="14.45">
      <c r="B36" s="204" t="s">
        <v>300</v>
      </c>
      <c r="C36" s="204"/>
      <c r="D36" s="205" t="s">
        <v>301</v>
      </c>
      <c r="E36" s="203"/>
      <c r="F36" s="49">
        <f>0.0078*6000^0.441</f>
        <v>0.36162571397861853</v>
      </c>
      <c r="G36" s="48">
        <v>1</v>
      </c>
      <c r="H36" s="73">
        <v>0</v>
      </c>
      <c r="I36" s="71">
        <f t="shared" si="0"/>
        <v>0</v>
      </c>
      <c r="J36" s="106">
        <v>179060</v>
      </c>
      <c r="K36" s="106">
        <f>(H36*10^-2)*$G$31*J36</f>
        <v>0</v>
      </c>
      <c r="L36" s="72">
        <v>29</v>
      </c>
      <c r="M36" s="75">
        <v>2</v>
      </c>
      <c r="N36" s="114">
        <f>G25</f>
        <v>9.1440000000000001</v>
      </c>
      <c r="O36" s="72"/>
      <c r="P36" s="98"/>
      <c r="Q36" s="217"/>
      <c r="R36" s="218"/>
      <c r="S36" s="70">
        <f>S35*145.05</f>
        <v>35695.173700330932</v>
      </c>
      <c r="T36" s="99" t="s">
        <v>245</v>
      </c>
      <c r="V36" s="57" t="s">
        <v>302</v>
      </c>
      <c r="W36" s="56">
        <v>18.5</v>
      </c>
      <c r="X36" s="62">
        <f t="shared" si="2"/>
        <v>0.78489315100668389</v>
      </c>
      <c r="AF36" s="211"/>
      <c r="AG36" s="211"/>
      <c r="AH36" s="211"/>
      <c r="AI36" s="211"/>
      <c r="AJ36" s="211"/>
      <c r="AK36" s="211"/>
      <c r="AL36" s="211"/>
      <c r="AM36" s="211"/>
      <c r="AN36" s="211"/>
      <c r="AO36" s="211"/>
      <c r="AP36" s="211"/>
      <c r="AQ36" s="211"/>
      <c r="AR36" s="211"/>
      <c r="AS36" s="211"/>
      <c r="AT36" s="211"/>
      <c r="AU36" s="211"/>
      <c r="AV36" s="211"/>
      <c r="AW36" s="211"/>
      <c r="AX36" s="211"/>
      <c r="AY36" s="211"/>
      <c r="AZ36" s="211"/>
      <c r="BA36" s="211"/>
      <c r="BB36" s="211"/>
      <c r="BC36" s="211"/>
    </row>
    <row r="37" spans="1:55" ht="14.45">
      <c r="B37" s="204" t="s">
        <v>300</v>
      </c>
      <c r="C37" s="204"/>
      <c r="D37" s="205" t="s">
        <v>303</v>
      </c>
      <c r="E37" s="203"/>
      <c r="F37" s="49">
        <f>0.0052*1500^0.555</f>
        <v>0.3011161107668705</v>
      </c>
      <c r="G37" s="48">
        <v>1</v>
      </c>
      <c r="H37" s="73">
        <v>15</v>
      </c>
      <c r="I37" s="71">
        <f t="shared" ref="I37" si="3">H37*G37*F37</f>
        <v>4.5167416615030573</v>
      </c>
      <c r="J37" s="106">
        <v>161802</v>
      </c>
      <c r="K37" s="106">
        <f t="shared" si="1"/>
        <v>1922207760</v>
      </c>
      <c r="L37" s="72">
        <v>35</v>
      </c>
      <c r="M37" s="75">
        <v>3</v>
      </c>
      <c r="N37" s="114">
        <f>K25</f>
        <v>10.668000000000001</v>
      </c>
      <c r="O37" s="72"/>
      <c r="P37" s="98"/>
      <c r="R37" s="1"/>
      <c r="T37" s="99"/>
      <c r="V37" s="57" t="s">
        <v>304</v>
      </c>
      <c r="W37" s="56">
        <v>15.7</v>
      </c>
      <c r="X37" s="62">
        <f t="shared" si="2"/>
        <v>0.54379169287361007</v>
      </c>
      <c r="Z37" s="214" t="s">
        <v>305</v>
      </c>
      <c r="AA37" s="214"/>
      <c r="AB37" s="69">
        <f>S41</f>
        <v>10.784307435942317</v>
      </c>
      <c r="AF37" s="211"/>
      <c r="AG37" s="211"/>
      <c r="AH37" s="211"/>
      <c r="AI37" s="211"/>
      <c r="AJ37" s="211"/>
      <c r="AK37" s="211"/>
      <c r="AL37" s="211"/>
      <c r="AM37" s="211"/>
      <c r="AN37" s="211"/>
      <c r="AO37" s="211"/>
      <c r="AP37" s="211"/>
      <c r="AQ37" s="211"/>
      <c r="AR37" s="211"/>
      <c r="AS37" s="211"/>
      <c r="AT37" s="211"/>
      <c r="AU37" s="211"/>
      <c r="AV37" s="211"/>
      <c r="AW37" s="211"/>
      <c r="AX37" s="211"/>
      <c r="AY37" s="211"/>
      <c r="AZ37" s="211"/>
      <c r="BA37" s="211"/>
      <c r="BB37" s="211"/>
      <c r="BC37" s="211"/>
    </row>
    <row r="38" spans="1:55" ht="14.45">
      <c r="B38" s="204" t="s">
        <v>306</v>
      </c>
      <c r="C38" s="204"/>
      <c r="D38" s="205" t="s">
        <v>307</v>
      </c>
      <c r="E38" s="203"/>
      <c r="F38" s="49">
        <f>0.032*80^0.32</f>
        <v>0.13005850997020973</v>
      </c>
      <c r="G38" s="48">
        <v>1.4</v>
      </c>
      <c r="H38" s="73">
        <v>0</v>
      </c>
      <c r="I38" s="71">
        <f>H38*G38*F38</f>
        <v>0</v>
      </c>
      <c r="J38" s="106">
        <v>23345</v>
      </c>
      <c r="K38" s="106">
        <f t="shared" si="1"/>
        <v>0</v>
      </c>
      <c r="L38" s="72">
        <v>58</v>
      </c>
      <c r="M38" s="72"/>
      <c r="N38" s="72"/>
      <c r="O38" s="72"/>
      <c r="P38" s="98"/>
      <c r="R38" s="140"/>
      <c r="T38" s="99"/>
      <c r="V38" s="57" t="s">
        <v>308</v>
      </c>
      <c r="W38" s="56">
        <v>12.3</v>
      </c>
      <c r="X38" s="62">
        <f t="shared" si="2"/>
        <v>0.34825886162219877</v>
      </c>
      <c r="AF38" s="211"/>
      <c r="AG38" s="211"/>
      <c r="AH38" s="211"/>
      <c r="AI38" s="211"/>
      <c r="AJ38" s="211"/>
      <c r="AK38" s="211"/>
      <c r="AL38" s="211"/>
      <c r="AM38" s="211"/>
      <c r="AN38" s="211"/>
      <c r="AO38" s="211"/>
      <c r="AP38" s="211"/>
      <c r="AQ38" s="211"/>
      <c r="AR38" s="211"/>
      <c r="AS38" s="211"/>
      <c r="AT38" s="211"/>
      <c r="AU38" s="211"/>
      <c r="AV38" s="211"/>
      <c r="AW38" s="211"/>
      <c r="AX38" s="211"/>
      <c r="AY38" s="211"/>
      <c r="AZ38" s="211"/>
      <c r="BA38" s="211"/>
      <c r="BB38" s="211"/>
      <c r="BC38" s="211"/>
    </row>
    <row r="39" spans="1:55" ht="14.45">
      <c r="B39" s="204" t="s">
        <v>309</v>
      </c>
      <c r="C39" s="204"/>
      <c r="D39" s="205" t="s">
        <v>310</v>
      </c>
      <c r="E39" s="203"/>
      <c r="F39" s="49">
        <f>0.058*40^0.19</f>
        <v>0.11690131377050249</v>
      </c>
      <c r="G39" s="48">
        <v>1.4</v>
      </c>
      <c r="H39" s="73">
        <v>0</v>
      </c>
      <c r="I39" s="71">
        <f>H39*G39*F39</f>
        <v>0</v>
      </c>
      <c r="J39" s="106">
        <v>19013</v>
      </c>
      <c r="K39" s="107">
        <f t="shared" si="1"/>
        <v>0</v>
      </c>
      <c r="L39" s="72">
        <v>64</v>
      </c>
      <c r="M39" s="72"/>
      <c r="N39" s="72"/>
      <c r="O39" s="72"/>
      <c r="P39" s="98"/>
      <c r="Q39" s="213" t="s">
        <v>292</v>
      </c>
      <c r="R39" s="213"/>
      <c r="S39" s="48">
        <v>3</v>
      </c>
      <c r="T39" s="99" t="s">
        <v>263</v>
      </c>
      <c r="V39" s="57" t="s">
        <v>311</v>
      </c>
      <c r="W39" s="56">
        <v>10.6</v>
      </c>
      <c r="X39" s="62">
        <f t="shared" si="2"/>
        <v>0.27870000703356657</v>
      </c>
      <c r="Z39" s="78" t="s">
        <v>291</v>
      </c>
      <c r="AA39" s="78" t="s">
        <v>312</v>
      </c>
      <c r="AB39" s="78" t="s">
        <v>313</v>
      </c>
      <c r="AF39" s="211"/>
      <c r="AG39" s="211"/>
      <c r="AH39" s="211"/>
      <c r="AI39" s="211"/>
      <c r="AJ39" s="211"/>
      <c r="AK39" s="211"/>
      <c r="AL39" s="211"/>
      <c r="AM39" s="211"/>
      <c r="AN39" s="211"/>
      <c r="AO39" s="211"/>
      <c r="AP39" s="211"/>
      <c r="AQ39" s="211"/>
      <c r="AR39" s="211"/>
      <c r="AS39" s="211"/>
      <c r="AT39" s="211"/>
      <c r="AU39" s="211"/>
      <c r="AV39" s="211"/>
      <c r="AW39" s="211"/>
      <c r="AX39" s="211"/>
      <c r="AY39" s="211"/>
      <c r="AZ39" s="211"/>
      <c r="BA39" s="211"/>
      <c r="BB39" s="211"/>
      <c r="BC39" s="211"/>
    </row>
    <row r="40" spans="1:55" ht="14.45">
      <c r="H40" s="111">
        <f>SUM(H34:H39)</f>
        <v>30</v>
      </c>
      <c r="I40" s="110">
        <f>SUM(I34:I39)</f>
        <v>10.784307435942317</v>
      </c>
      <c r="K40" s="108">
        <f>SUM(K34:K39)</f>
        <v>4339114560</v>
      </c>
      <c r="P40" s="98"/>
      <c r="Q40" s="213"/>
      <c r="R40" s="213"/>
      <c r="S40" s="49">
        <f>S39*2.54</f>
        <v>7.62</v>
      </c>
      <c r="T40" s="99" t="s">
        <v>267</v>
      </c>
      <c r="V40" s="57" t="s">
        <v>314</v>
      </c>
      <c r="W40" s="56">
        <v>9.6999999999999993</v>
      </c>
      <c r="X40" s="62">
        <f t="shared" si="2"/>
        <v>0.24768992764516901</v>
      </c>
      <c r="Z40" s="48">
        <v>1</v>
      </c>
      <c r="AA40" s="49">
        <f>C11</f>
        <v>105.82989552012964</v>
      </c>
      <c r="AB40" s="78">
        <v>5.7</v>
      </c>
      <c r="AF40" s="211"/>
      <c r="AG40" s="211"/>
      <c r="AH40" s="211"/>
      <c r="AI40" s="211"/>
      <c r="AJ40" s="211"/>
      <c r="AK40" s="211"/>
      <c r="AL40" s="211"/>
      <c r="AM40" s="211"/>
      <c r="AN40" s="211"/>
      <c r="AO40" s="211"/>
      <c r="AP40" s="211"/>
      <c r="AQ40" s="211"/>
      <c r="AR40" s="211"/>
      <c r="AS40" s="211"/>
      <c r="AT40" s="211"/>
      <c r="AU40" s="211"/>
      <c r="AV40" s="211"/>
      <c r="AW40" s="211"/>
      <c r="AX40" s="211"/>
      <c r="AY40" s="211"/>
      <c r="AZ40" s="211"/>
      <c r="BA40" s="211"/>
      <c r="BB40" s="211"/>
      <c r="BC40" s="211"/>
    </row>
    <row r="41" spans="1:55" ht="14.45">
      <c r="P41" s="98"/>
      <c r="Q41" s="214" t="s">
        <v>305</v>
      </c>
      <c r="R41" s="214"/>
      <c r="S41" s="79">
        <f>SUM(I34:I37)</f>
        <v>10.784307435942317</v>
      </c>
      <c r="T41" s="99" t="s">
        <v>267</v>
      </c>
      <c r="V41" s="57" t="s">
        <v>315</v>
      </c>
      <c r="W41" s="56">
        <v>10.7</v>
      </c>
      <c r="X41" s="62">
        <f t="shared" si="2"/>
        <v>0.28237682452524748</v>
      </c>
      <c r="Z41" s="48">
        <v>2</v>
      </c>
      <c r="AA41" s="49">
        <f>G11</f>
        <v>156.80980428808306</v>
      </c>
      <c r="AB41" s="78">
        <v>5</v>
      </c>
      <c r="AF41" s="211"/>
      <c r="AG41" s="211"/>
      <c r="AH41" s="211"/>
      <c r="AI41" s="211"/>
      <c r="AJ41" s="211"/>
      <c r="AK41" s="211"/>
      <c r="AL41" s="211"/>
      <c r="AM41" s="211"/>
      <c r="AN41" s="211"/>
      <c r="AO41" s="211"/>
      <c r="AP41" s="211"/>
      <c r="AQ41" s="211"/>
      <c r="AR41" s="211"/>
      <c r="AS41" s="211"/>
      <c r="AT41" s="211"/>
      <c r="AU41" s="211"/>
      <c r="AV41" s="211"/>
      <c r="AW41" s="211"/>
      <c r="AX41" s="211"/>
      <c r="AY41" s="211"/>
      <c r="AZ41" s="211"/>
      <c r="BA41" s="211"/>
      <c r="BB41" s="211"/>
      <c r="BC41" s="211"/>
    </row>
    <row r="42" spans="1:55" ht="14.45">
      <c r="A42" s="96"/>
      <c r="B42" s="219" t="s">
        <v>316</v>
      </c>
      <c r="C42" s="219"/>
      <c r="D42" s="219"/>
      <c r="E42" s="219"/>
      <c r="F42" s="219"/>
      <c r="G42" s="219"/>
      <c r="H42" s="219"/>
      <c r="I42" s="219"/>
      <c r="J42" s="219"/>
      <c r="K42" s="219"/>
      <c r="L42" s="97"/>
      <c r="P42" s="98"/>
      <c r="R42" s="1"/>
      <c r="T42" s="99"/>
      <c r="V42" s="57" t="s">
        <v>317</v>
      </c>
      <c r="W42" s="56">
        <v>12.6</v>
      </c>
      <c r="X42" s="62">
        <f t="shared" si="2"/>
        <v>0.36222497173706747</v>
      </c>
      <c r="Z42" s="48">
        <v>3</v>
      </c>
      <c r="AA42" s="49">
        <f>K11</f>
        <v>97.858508280293123</v>
      </c>
      <c r="AB42" s="78">
        <v>5.7</v>
      </c>
      <c r="AF42" s="211"/>
      <c r="AG42" s="211"/>
      <c r="AH42" s="211"/>
      <c r="AI42" s="211"/>
      <c r="AJ42" s="211"/>
      <c r="AK42" s="211"/>
      <c r="AL42" s="211"/>
      <c r="AM42" s="211"/>
      <c r="AN42" s="211"/>
      <c r="AO42" s="211"/>
      <c r="AP42" s="211"/>
      <c r="AQ42" s="211"/>
      <c r="AR42" s="211"/>
      <c r="AS42" s="211"/>
      <c r="AT42" s="211"/>
      <c r="AU42" s="211"/>
      <c r="AV42" s="211"/>
      <c r="AW42" s="211"/>
      <c r="AX42" s="211"/>
      <c r="AY42" s="211"/>
      <c r="AZ42" s="211"/>
      <c r="BA42" s="211"/>
      <c r="BB42" s="211"/>
      <c r="BC42" s="211"/>
    </row>
    <row r="43" spans="1:55" ht="14.45">
      <c r="A43" s="235" t="s">
        <v>318</v>
      </c>
      <c r="B43" s="220" t="s">
        <v>279</v>
      </c>
      <c r="C43" s="201"/>
      <c r="D43" s="201" t="s">
        <v>280</v>
      </c>
      <c r="E43" s="201"/>
      <c r="F43" s="66" t="s">
        <v>281</v>
      </c>
      <c r="G43" s="66" t="s">
        <v>282</v>
      </c>
      <c r="H43" s="66" t="s">
        <v>125</v>
      </c>
      <c r="I43" s="74" t="s">
        <v>283</v>
      </c>
      <c r="J43" s="66" t="s">
        <v>284</v>
      </c>
      <c r="K43" s="66" t="s">
        <v>285</v>
      </c>
      <c r="L43" s="99"/>
      <c r="P43" s="98"/>
      <c r="Q43" t="s">
        <v>305</v>
      </c>
      <c r="T43" s="99"/>
      <c r="V43" s="57" t="s">
        <v>319</v>
      </c>
      <c r="W43" s="56">
        <v>13.9</v>
      </c>
      <c r="X43" s="62">
        <f t="shared" si="2"/>
        <v>0.42951200015193053</v>
      </c>
      <c r="AF43" s="211"/>
      <c r="AG43" s="211"/>
      <c r="AH43" s="211"/>
      <c r="AI43" s="211"/>
      <c r="AJ43" s="211"/>
      <c r="AK43" s="211"/>
      <c r="AL43" s="211"/>
      <c r="AM43" s="211"/>
      <c r="AN43" s="211"/>
      <c r="AO43" s="211"/>
      <c r="AP43" s="211"/>
      <c r="AQ43" s="211"/>
      <c r="AR43" s="211"/>
      <c r="AS43" s="211"/>
      <c r="AT43" s="211"/>
      <c r="AU43" s="211"/>
      <c r="AV43" s="211"/>
      <c r="AW43" s="211"/>
      <c r="AX43" s="211"/>
      <c r="AY43" s="211"/>
      <c r="AZ43" s="211"/>
      <c r="BA43" s="211"/>
      <c r="BB43" s="211"/>
      <c r="BC43" s="211"/>
    </row>
    <row r="44" spans="1:55" ht="14.45">
      <c r="A44" s="236"/>
      <c r="B44" s="203" t="s">
        <v>289</v>
      </c>
      <c r="C44" s="204"/>
      <c r="D44" s="205" t="s">
        <v>290</v>
      </c>
      <c r="E44" s="203"/>
      <c r="F44" s="49">
        <f>0.0078*9000^0.441</f>
        <v>0.43242973482106162</v>
      </c>
      <c r="G44" s="48">
        <v>1</v>
      </c>
      <c r="H44" s="73">
        <v>5</v>
      </c>
      <c r="I44" s="71">
        <f>H44*G44*F44</f>
        <v>2.1621486741053082</v>
      </c>
      <c r="J44" s="109">
        <v>225234</v>
      </c>
      <c r="K44" s="106">
        <f>(H44*10^-2)*$G$31*J44</f>
        <v>891926640</v>
      </c>
      <c r="L44" s="99"/>
      <c r="P44" s="98" t="s">
        <v>320</v>
      </c>
      <c r="Q44" s="91">
        <f>SUM(I44:I46)</f>
        <v>7.8311143640584691</v>
      </c>
      <c r="T44" s="99"/>
      <c r="V44" s="57" t="s">
        <v>321</v>
      </c>
      <c r="W44" s="56">
        <v>16</v>
      </c>
      <c r="X44" s="62">
        <f t="shared" si="2"/>
        <v>0.56559919154528104</v>
      </c>
      <c r="AF44" s="211"/>
      <c r="AG44" s="211"/>
      <c r="AH44" s="211"/>
      <c r="AI44" s="211"/>
      <c r="AJ44" s="211"/>
      <c r="AK44" s="211"/>
      <c r="AL44" s="211"/>
      <c r="AM44" s="211"/>
      <c r="AN44" s="211"/>
      <c r="AO44" s="211"/>
      <c r="AP44" s="211"/>
      <c r="AQ44" s="211"/>
      <c r="AR44" s="211"/>
      <c r="AS44" s="211"/>
      <c r="AT44" s="211"/>
      <c r="AU44" s="211"/>
      <c r="AV44" s="211"/>
      <c r="AW44" s="211"/>
      <c r="AX44" s="211"/>
      <c r="AY44" s="211"/>
      <c r="AZ44" s="211"/>
      <c r="BA44" s="211"/>
      <c r="BB44" s="211"/>
      <c r="BC44" s="211"/>
    </row>
    <row r="45" spans="1:55" ht="14.45">
      <c r="A45" s="236"/>
      <c r="B45" s="203" t="s">
        <v>296</v>
      </c>
      <c r="C45" s="204"/>
      <c r="D45" s="205" t="s">
        <v>297</v>
      </c>
      <c r="E45" s="203"/>
      <c r="F45" s="49">
        <f>0.0078*8000^0.441</f>
        <v>0.41054171003339512</v>
      </c>
      <c r="G45" s="48">
        <v>1</v>
      </c>
      <c r="H45" s="73">
        <v>5</v>
      </c>
      <c r="I45" s="71">
        <f t="shared" ref="I45:I47" si="4">H45*G45*F45</f>
        <v>2.0527085501669755</v>
      </c>
      <c r="J45" s="109">
        <v>192548</v>
      </c>
      <c r="K45" s="106">
        <f t="shared" ref="K45:K49" si="5">(H45*10^-2)*$G$31*J45</f>
        <v>762490080</v>
      </c>
      <c r="L45" s="99"/>
      <c r="P45" s="100" t="s">
        <v>322</v>
      </c>
      <c r="Q45" s="101">
        <v>10.784307435942317</v>
      </c>
      <c r="R45" s="101"/>
      <c r="S45" s="101"/>
      <c r="T45" s="102"/>
      <c r="V45" s="57" t="s">
        <v>323</v>
      </c>
      <c r="W45" s="56">
        <v>18.3</v>
      </c>
      <c r="X45" s="62">
        <f t="shared" si="2"/>
        <v>0.76458610053401366</v>
      </c>
      <c r="AA45">
        <v>19949794.881915201</v>
      </c>
    </row>
    <row r="46" spans="1:55" ht="14.45">
      <c r="A46" s="236"/>
      <c r="B46" s="203" t="s">
        <v>300</v>
      </c>
      <c r="C46" s="204"/>
      <c r="D46" s="205" t="s">
        <v>301</v>
      </c>
      <c r="E46" s="203"/>
      <c r="F46" s="49">
        <f>0.0078*6000^0.441</f>
        <v>0.36162571397861853</v>
      </c>
      <c r="G46" s="48">
        <v>1</v>
      </c>
      <c r="H46" s="73">
        <v>10</v>
      </c>
      <c r="I46" s="71">
        <f t="shared" si="4"/>
        <v>3.6162571397861853</v>
      </c>
      <c r="J46" s="109">
        <v>179060</v>
      </c>
      <c r="K46" s="106">
        <f t="shared" si="5"/>
        <v>1418155200</v>
      </c>
      <c r="L46" s="99"/>
      <c r="V46" s="52"/>
      <c r="W46" s="58" t="s">
        <v>324</v>
      </c>
      <c r="X46" s="63">
        <f>AVERAGE(X34:X45)</f>
        <v>0.53220995519503067</v>
      </c>
    </row>
    <row r="47" spans="1:55" ht="14.45">
      <c r="A47" s="236"/>
      <c r="B47" s="203" t="s">
        <v>325</v>
      </c>
      <c r="C47" s="204"/>
      <c r="D47" s="205" t="s">
        <v>303</v>
      </c>
      <c r="E47" s="203"/>
      <c r="F47" s="49">
        <f>0.0052*1500^0.555</f>
        <v>0.3011161107668705</v>
      </c>
      <c r="G47" s="48">
        <v>1</v>
      </c>
      <c r="H47" s="73">
        <v>0</v>
      </c>
      <c r="I47" s="71">
        <f t="shared" si="4"/>
        <v>0</v>
      </c>
      <c r="J47" s="109">
        <v>161802</v>
      </c>
      <c r="K47" s="106">
        <f t="shared" si="5"/>
        <v>0</v>
      </c>
      <c r="L47" s="99"/>
      <c r="V47" s="52"/>
      <c r="W47" s="58" t="s">
        <v>326</v>
      </c>
      <c r="X47" s="64">
        <f>20.348+17.5683*LOG10(X46)</f>
        <v>15.535743862422352</v>
      </c>
    </row>
    <row r="48" spans="1:55" ht="14.45">
      <c r="A48" s="236"/>
      <c r="B48" s="203" t="s">
        <v>306</v>
      </c>
      <c r="C48" s="204"/>
      <c r="D48" s="205" t="s">
        <v>307</v>
      </c>
      <c r="E48" s="203"/>
      <c r="F48" s="49">
        <f>0.032*80^0.32</f>
        <v>0.13005850997020973</v>
      </c>
      <c r="G48" s="48">
        <v>1.4</v>
      </c>
      <c r="H48" s="73">
        <v>12</v>
      </c>
      <c r="I48" s="71">
        <f>H48*G48*F48</f>
        <v>2.1849829674995234</v>
      </c>
      <c r="J48" s="109">
        <v>23345</v>
      </c>
      <c r="K48" s="106">
        <f t="shared" si="5"/>
        <v>221870880</v>
      </c>
      <c r="L48" s="99"/>
      <c r="N48" s="65"/>
      <c r="V48" s="52"/>
      <c r="W48" s="58" t="s">
        <v>327</v>
      </c>
      <c r="X48" s="59">
        <v>14</v>
      </c>
      <c r="Y48" s="234" t="s">
        <v>328</v>
      </c>
      <c r="Z48" s="179"/>
      <c r="AA48" s="179"/>
      <c r="AB48" s="179"/>
    </row>
    <row r="49" spans="1:33" ht="14.45">
      <c r="A49" s="237"/>
      <c r="B49" s="203" t="s">
        <v>309</v>
      </c>
      <c r="C49" s="204"/>
      <c r="D49" s="205" t="s">
        <v>310</v>
      </c>
      <c r="E49" s="203"/>
      <c r="F49" s="49">
        <f>0.058*40^0.19</f>
        <v>0.11690131377050249</v>
      </c>
      <c r="G49" s="48">
        <v>1.4</v>
      </c>
      <c r="H49" s="73">
        <v>12</v>
      </c>
      <c r="I49" s="71">
        <f>H49*G49*F49</f>
        <v>1.9639420713444415</v>
      </c>
      <c r="J49" s="109">
        <v>19013</v>
      </c>
      <c r="K49" s="107">
        <f t="shared" si="5"/>
        <v>180699552</v>
      </c>
      <c r="L49" s="99"/>
      <c r="W49" s="1"/>
    </row>
    <row r="50" spans="1:33" ht="14.45">
      <c r="A50" s="98"/>
      <c r="H50" s="111">
        <f>SUM(H44:H49)</f>
        <v>44</v>
      </c>
      <c r="I50" s="68">
        <f>SUM(I44:I49)</f>
        <v>11.980039402902433</v>
      </c>
      <c r="K50" s="108">
        <f>SUM(K44:K49)</f>
        <v>3475142352</v>
      </c>
      <c r="L50" s="99"/>
    </row>
    <row r="51" spans="1:33" ht="14.45">
      <c r="A51" s="98"/>
      <c r="L51" s="99"/>
    </row>
    <row r="52" spans="1:33" ht="14.45">
      <c r="A52" s="98"/>
      <c r="L52" s="99"/>
    </row>
    <row r="53" spans="1:33" ht="15" customHeight="1">
      <c r="A53" s="235" t="s">
        <v>322</v>
      </c>
      <c r="B53" s="220" t="s">
        <v>279</v>
      </c>
      <c r="C53" s="201"/>
      <c r="D53" s="201" t="s">
        <v>280</v>
      </c>
      <c r="E53" s="201"/>
      <c r="F53" s="66" t="s">
        <v>281</v>
      </c>
      <c r="G53" s="66" t="s">
        <v>282</v>
      </c>
      <c r="H53" s="66" t="s">
        <v>125</v>
      </c>
      <c r="I53" s="74" t="s">
        <v>283</v>
      </c>
      <c r="J53" s="66" t="s">
        <v>284</v>
      </c>
      <c r="K53" s="66" t="s">
        <v>285</v>
      </c>
      <c r="L53" s="99"/>
      <c r="P53" s="212" t="s">
        <v>329</v>
      </c>
      <c r="Q53" s="212"/>
      <c r="R53" s="212"/>
      <c r="S53" s="212"/>
      <c r="T53" s="212"/>
      <c r="U53" s="212"/>
      <c r="V53" s="212"/>
    </row>
    <row r="54" spans="1:33" ht="15" customHeight="1">
      <c r="A54" s="236"/>
      <c r="B54" s="203" t="s">
        <v>289</v>
      </c>
      <c r="C54" s="204"/>
      <c r="D54" s="205" t="s">
        <v>290</v>
      </c>
      <c r="E54" s="203"/>
      <c r="F54" s="49">
        <f>0.0078*9000^0.441</f>
        <v>0.43242973482106162</v>
      </c>
      <c r="G54" s="48">
        <v>1</v>
      </c>
      <c r="H54" s="73">
        <v>5</v>
      </c>
      <c r="I54" s="71">
        <f>H54*G54*F54</f>
        <v>2.1621486741053082</v>
      </c>
      <c r="J54" s="109">
        <v>225234</v>
      </c>
      <c r="K54" s="106">
        <f>(H54*10^-2)*$G$31*J54</f>
        <v>891926640</v>
      </c>
      <c r="L54" s="99"/>
      <c r="P54" s="212"/>
      <c r="Q54" s="212"/>
      <c r="R54" s="212"/>
      <c r="S54" s="212"/>
      <c r="T54" s="212"/>
      <c r="U54" s="212"/>
      <c r="V54" s="212"/>
    </row>
    <row r="55" spans="1:33" ht="14.45">
      <c r="A55" s="236"/>
      <c r="B55" s="203" t="s">
        <v>296</v>
      </c>
      <c r="C55" s="204"/>
      <c r="D55" s="205" t="s">
        <v>297</v>
      </c>
      <c r="E55" s="203"/>
      <c r="F55" s="49">
        <f>0.0078*8000^0.441</f>
        <v>0.41054171003339512</v>
      </c>
      <c r="G55" s="48">
        <v>1</v>
      </c>
      <c r="H55" s="73">
        <v>0</v>
      </c>
      <c r="I55" s="71">
        <f t="shared" ref="I55:I57" si="6">H55*G55*F55</f>
        <v>0</v>
      </c>
      <c r="J55" s="109">
        <v>192548</v>
      </c>
      <c r="K55" s="106">
        <f t="shared" ref="K55:K59" si="7">(H55*10^-2)*$G$31*J55</f>
        <v>0</v>
      </c>
      <c r="L55" s="99"/>
    </row>
    <row r="56" spans="1:33" ht="14.45">
      <c r="A56" s="236"/>
      <c r="B56" s="203" t="s">
        <v>300</v>
      </c>
      <c r="C56" s="204"/>
      <c r="D56" s="205" t="s">
        <v>301</v>
      </c>
      <c r="E56" s="203"/>
      <c r="F56" s="49">
        <f>0.0078*6000^0.441</f>
        <v>0.36162571397861853</v>
      </c>
      <c r="G56" s="48">
        <v>1</v>
      </c>
      <c r="H56" s="73">
        <v>15</v>
      </c>
      <c r="I56" s="71">
        <f t="shared" si="6"/>
        <v>5.424385709679278</v>
      </c>
      <c r="J56" s="109">
        <v>179060</v>
      </c>
      <c r="K56" s="106">
        <f t="shared" si="7"/>
        <v>2127232800</v>
      </c>
      <c r="L56" s="99"/>
    </row>
    <row r="57" spans="1:33" ht="14.45">
      <c r="A57" s="236"/>
      <c r="B57" s="203" t="s">
        <v>325</v>
      </c>
      <c r="C57" s="204"/>
      <c r="D57" s="205" t="s">
        <v>303</v>
      </c>
      <c r="E57" s="203"/>
      <c r="F57" s="49">
        <f>0.0052*1500^0.555</f>
        <v>0.3011161107668705</v>
      </c>
      <c r="G57" s="48">
        <v>1</v>
      </c>
      <c r="H57" s="73">
        <v>0</v>
      </c>
      <c r="I57" s="71">
        <f t="shared" si="6"/>
        <v>0</v>
      </c>
      <c r="J57" s="109">
        <v>161802</v>
      </c>
      <c r="K57" s="106">
        <f t="shared" si="7"/>
        <v>0</v>
      </c>
      <c r="L57" s="99"/>
      <c r="P57" s="201" t="s">
        <v>330</v>
      </c>
      <c r="Q57" s="201"/>
      <c r="R57" s="208"/>
      <c r="S57" s="201" t="s">
        <v>280</v>
      </c>
      <c r="T57" s="201"/>
      <c r="U57" s="201"/>
      <c r="V57" s="201"/>
      <c r="W57" s="208"/>
      <c r="X57" s="201" t="s">
        <v>281</v>
      </c>
      <c r="Y57" s="201"/>
      <c r="Z57" s="93" t="s">
        <v>282</v>
      </c>
      <c r="AA57" s="92" t="s">
        <v>125</v>
      </c>
      <c r="AB57" s="66" t="s">
        <v>283</v>
      </c>
    </row>
    <row r="58" spans="1:33" ht="14.45">
      <c r="A58" s="236"/>
      <c r="B58" s="203" t="s">
        <v>306</v>
      </c>
      <c r="C58" s="204"/>
      <c r="D58" s="205" t="s">
        <v>307</v>
      </c>
      <c r="E58" s="203"/>
      <c r="F58" s="49">
        <f>0.032*80^0.32</f>
        <v>0.13005850997020973</v>
      </c>
      <c r="G58" s="48">
        <v>1.4</v>
      </c>
      <c r="H58" s="73">
        <v>12</v>
      </c>
      <c r="I58" s="71">
        <f>H58*G58*F58</f>
        <v>2.1849829674995234</v>
      </c>
      <c r="J58" s="109">
        <v>23345</v>
      </c>
      <c r="K58" s="106">
        <f t="shared" si="7"/>
        <v>221870880</v>
      </c>
      <c r="L58" s="99"/>
      <c r="P58" s="206" t="s">
        <v>331</v>
      </c>
      <c r="Q58" s="206"/>
      <c r="R58" s="207"/>
      <c r="S58" s="204" t="s">
        <v>332</v>
      </c>
      <c r="T58" s="204"/>
      <c r="U58" s="204"/>
      <c r="V58" s="204"/>
      <c r="W58" s="205"/>
      <c r="X58" s="202">
        <f>(0.2+0.14)/2</f>
        <v>0.17</v>
      </c>
      <c r="Y58" s="202"/>
      <c r="Z58" s="51">
        <v>1</v>
      </c>
      <c r="AA58" s="94">
        <v>5</v>
      </c>
      <c r="AB58" s="69">
        <f>AA58*Z58*X58</f>
        <v>0.85000000000000009</v>
      </c>
      <c r="AE58" s="200" t="s">
        <v>333</v>
      </c>
      <c r="AF58" s="200"/>
      <c r="AG58" s="200"/>
    </row>
    <row r="59" spans="1:33" ht="14.45">
      <c r="A59" s="237"/>
      <c r="B59" s="203" t="s">
        <v>309</v>
      </c>
      <c r="C59" s="204"/>
      <c r="D59" s="205" t="s">
        <v>310</v>
      </c>
      <c r="E59" s="203"/>
      <c r="F59" s="49">
        <f>0.058*40^0.19</f>
        <v>0.11690131377050249</v>
      </c>
      <c r="G59" s="48">
        <v>1.4</v>
      </c>
      <c r="H59" s="73">
        <v>12</v>
      </c>
      <c r="I59" s="71">
        <f>H59*G59*F59</f>
        <v>1.9639420713444415</v>
      </c>
      <c r="J59" s="109">
        <v>19013</v>
      </c>
      <c r="K59" s="107">
        <f t="shared" si="7"/>
        <v>180699552</v>
      </c>
      <c r="L59" s="99"/>
      <c r="P59" s="204" t="s">
        <v>334</v>
      </c>
      <c r="Q59" s="204"/>
      <c r="R59" s="205"/>
      <c r="S59" s="209" t="s">
        <v>335</v>
      </c>
      <c r="T59" s="209"/>
      <c r="U59" s="209"/>
      <c r="V59" s="209"/>
      <c r="W59" s="210"/>
      <c r="X59" s="202">
        <f>(0.35+0.4)/2</f>
        <v>0.375</v>
      </c>
      <c r="Y59" s="202"/>
      <c r="Z59" s="51">
        <v>1</v>
      </c>
      <c r="AA59" s="95">
        <v>5</v>
      </c>
      <c r="AB59" s="71">
        <f>AA59*Z59*X59</f>
        <v>1.875</v>
      </c>
      <c r="AC59" s="68">
        <f>SUM(AB58:AB59)</f>
        <v>2.7250000000000001</v>
      </c>
      <c r="AE59" s="200"/>
      <c r="AF59" s="200"/>
      <c r="AG59" s="200"/>
    </row>
    <row r="60" spans="1:33" ht="14.45">
      <c r="A60" s="98"/>
      <c r="H60" s="111">
        <f>SUM(H54:H59)</f>
        <v>44</v>
      </c>
      <c r="I60" s="68">
        <f>SUM(I54:I59)</f>
        <v>11.735459422628551</v>
      </c>
      <c r="K60" s="108">
        <f>SUM(K54:K59)</f>
        <v>3421729872</v>
      </c>
      <c r="L60" s="99"/>
      <c r="P60" s="204" t="s">
        <v>293</v>
      </c>
      <c r="Q60" s="204"/>
      <c r="R60" s="205"/>
      <c r="S60" s="204" t="s">
        <v>336</v>
      </c>
      <c r="T60" s="204"/>
      <c r="U60" s="204"/>
      <c r="V60" s="204"/>
      <c r="W60" s="205"/>
      <c r="X60" s="202">
        <f>0.1/2</f>
        <v>0.05</v>
      </c>
      <c r="Y60" s="202"/>
      <c r="Z60" s="51">
        <v>1</v>
      </c>
      <c r="AA60" s="95">
        <v>20</v>
      </c>
      <c r="AB60" s="69">
        <f>AA60*Z60*X60</f>
        <v>1</v>
      </c>
      <c r="AE60" s="200"/>
      <c r="AF60" s="200"/>
      <c r="AG60" s="200"/>
    </row>
    <row r="61" spans="1:33" ht="14.45">
      <c r="A61" s="98"/>
      <c r="L61" s="99"/>
      <c r="P61" s="204" t="s">
        <v>174</v>
      </c>
      <c r="Q61" s="204"/>
      <c r="R61" s="205"/>
      <c r="S61" s="209" t="s">
        <v>335</v>
      </c>
      <c r="T61" s="209"/>
      <c r="U61" s="209"/>
      <c r="V61" s="209"/>
      <c r="W61" s="210"/>
      <c r="X61" s="202">
        <f>(0.1+0.14)/2</f>
        <v>0.12000000000000001</v>
      </c>
      <c r="Y61" s="202"/>
      <c r="Z61" s="51">
        <v>1</v>
      </c>
      <c r="AA61" s="95">
        <v>20</v>
      </c>
      <c r="AB61" s="69">
        <f>AA61*Z61*X61</f>
        <v>2.4000000000000004</v>
      </c>
      <c r="AC61" s="68">
        <f>SUM(AB58:AB61)</f>
        <v>6.125</v>
      </c>
      <c r="AE61" s="200"/>
      <c r="AF61" s="200"/>
      <c r="AG61" s="200"/>
    </row>
    <row r="62" spans="1:33" ht="14.45">
      <c r="A62" s="235" t="s">
        <v>337</v>
      </c>
      <c r="B62" s="220" t="s">
        <v>279</v>
      </c>
      <c r="C62" s="201"/>
      <c r="D62" s="201" t="s">
        <v>280</v>
      </c>
      <c r="E62" s="201"/>
      <c r="F62" s="66" t="s">
        <v>281</v>
      </c>
      <c r="G62" s="66" t="s">
        <v>282</v>
      </c>
      <c r="H62" s="66" t="s">
        <v>125</v>
      </c>
      <c r="I62" s="74" t="s">
        <v>283</v>
      </c>
      <c r="J62" s="66" t="s">
        <v>284</v>
      </c>
      <c r="K62" s="66" t="s">
        <v>285</v>
      </c>
      <c r="L62" s="99"/>
    </row>
    <row r="63" spans="1:33" ht="14.45" customHeight="1">
      <c r="A63" s="236"/>
      <c r="B63" s="203" t="s">
        <v>289</v>
      </c>
      <c r="C63" s="204"/>
      <c r="D63" s="205" t="s">
        <v>290</v>
      </c>
      <c r="E63" s="203"/>
      <c r="F63" s="49">
        <f>0.0078*9000^0.441</f>
        <v>0.43242973482106162</v>
      </c>
      <c r="G63" s="48">
        <v>1</v>
      </c>
      <c r="H63" s="77">
        <v>5</v>
      </c>
      <c r="I63" s="71">
        <f>H63*G63*F63</f>
        <v>2.1621486741053082</v>
      </c>
      <c r="J63" s="106">
        <v>225234</v>
      </c>
      <c r="K63" s="106">
        <f>(H63*10^-2)*$G$31*J63</f>
        <v>891926640</v>
      </c>
      <c r="L63" s="99"/>
    </row>
    <row r="64" spans="1:33" ht="14.45" customHeight="1">
      <c r="A64" s="236"/>
      <c r="B64" s="203" t="s">
        <v>296</v>
      </c>
      <c r="C64" s="204"/>
      <c r="D64" s="205" t="s">
        <v>297</v>
      </c>
      <c r="E64" s="203"/>
      <c r="F64" s="49">
        <f>0.0078*8000^0.441</f>
        <v>0.41054171003339512</v>
      </c>
      <c r="G64" s="48">
        <v>1</v>
      </c>
      <c r="H64" s="73">
        <v>10</v>
      </c>
      <c r="I64" s="71">
        <f t="shared" ref="I64:I66" si="8">H64*G64*F64</f>
        <v>4.105417100333951</v>
      </c>
      <c r="J64" s="106">
        <v>192548</v>
      </c>
      <c r="K64" s="106">
        <f t="shared" ref="K64:K68" si="9">(H64*10^-2)*$G$31*J64</f>
        <v>1524980160</v>
      </c>
      <c r="L64" s="99"/>
      <c r="Q64" s="201" t="s">
        <v>338</v>
      </c>
      <c r="R64" s="201"/>
      <c r="S64" s="66" t="s">
        <v>125</v>
      </c>
      <c r="T64" s="66" t="s">
        <v>125</v>
      </c>
      <c r="U64" s="66" t="s">
        <v>125</v>
      </c>
    </row>
    <row r="65" spans="1:28" ht="14.45">
      <c r="A65" s="236"/>
      <c r="B65" s="203" t="s">
        <v>300</v>
      </c>
      <c r="C65" s="204"/>
      <c r="D65" s="205" t="s">
        <v>301</v>
      </c>
      <c r="E65" s="203"/>
      <c r="F65" s="49">
        <f>0.0078*6000^0.441</f>
        <v>0.36162571397861853</v>
      </c>
      <c r="G65" s="48">
        <v>1</v>
      </c>
      <c r="H65" s="73">
        <v>0</v>
      </c>
      <c r="I65" s="71">
        <f t="shared" si="8"/>
        <v>0</v>
      </c>
      <c r="J65" s="106">
        <v>179060</v>
      </c>
      <c r="K65" s="106">
        <f t="shared" si="9"/>
        <v>0</v>
      </c>
      <c r="L65" s="99"/>
      <c r="Q65" s="204" t="s">
        <v>289</v>
      </c>
      <c r="R65" s="204"/>
      <c r="S65" s="73">
        <v>5</v>
      </c>
      <c r="T65" s="73">
        <v>5</v>
      </c>
      <c r="U65" s="73">
        <v>5</v>
      </c>
    </row>
    <row r="66" spans="1:28" ht="14.45">
      <c r="A66" s="236"/>
      <c r="B66" s="203" t="s">
        <v>325</v>
      </c>
      <c r="C66" s="204"/>
      <c r="D66" s="205" t="s">
        <v>303</v>
      </c>
      <c r="E66" s="203"/>
      <c r="F66" s="49">
        <f>0.0052*1500^0.555</f>
        <v>0.3011161107668705</v>
      </c>
      <c r="G66" s="48">
        <v>1</v>
      </c>
      <c r="H66" s="73">
        <v>15</v>
      </c>
      <c r="I66" s="71">
        <f t="shared" si="8"/>
        <v>4.5167416615030573</v>
      </c>
      <c r="J66" s="106">
        <v>161802</v>
      </c>
      <c r="K66" s="106">
        <f t="shared" si="9"/>
        <v>1922207760</v>
      </c>
      <c r="L66" s="99"/>
      <c r="Q66" s="204" t="s">
        <v>296</v>
      </c>
      <c r="R66" s="204"/>
      <c r="S66" s="73">
        <v>5</v>
      </c>
      <c r="T66" s="73">
        <v>0</v>
      </c>
      <c r="U66" s="73">
        <v>10</v>
      </c>
    </row>
    <row r="67" spans="1:28" ht="14.45">
      <c r="A67" s="236"/>
      <c r="B67" s="203" t="s">
        <v>306</v>
      </c>
      <c r="C67" s="204"/>
      <c r="D67" s="205" t="s">
        <v>307</v>
      </c>
      <c r="E67" s="203"/>
      <c r="F67" s="49">
        <f>0.032*80^0.32</f>
        <v>0.13005850997020973</v>
      </c>
      <c r="G67" s="48">
        <v>1.4</v>
      </c>
      <c r="H67" s="73">
        <v>0</v>
      </c>
      <c r="I67" s="71">
        <f>H67*G67*F67</f>
        <v>0</v>
      </c>
      <c r="J67" s="106">
        <v>23345</v>
      </c>
      <c r="K67" s="106">
        <f t="shared" si="9"/>
        <v>0</v>
      </c>
      <c r="L67" s="99"/>
      <c r="Q67" s="204" t="s">
        <v>300</v>
      </c>
      <c r="R67" s="204"/>
      <c r="S67" s="73">
        <v>10</v>
      </c>
      <c r="T67" s="73">
        <v>15</v>
      </c>
      <c r="U67" s="73">
        <v>0</v>
      </c>
    </row>
    <row r="68" spans="1:28" ht="14.45">
      <c r="A68" s="237"/>
      <c r="B68" s="203" t="s">
        <v>309</v>
      </c>
      <c r="C68" s="204"/>
      <c r="D68" s="205" t="s">
        <v>310</v>
      </c>
      <c r="E68" s="203"/>
      <c r="F68" s="49">
        <f>0.058*40^0.19</f>
        <v>0.11690131377050249</v>
      </c>
      <c r="G68" s="48">
        <v>1.4</v>
      </c>
      <c r="H68" s="73">
        <v>0</v>
      </c>
      <c r="I68" s="71">
        <f>H68*G68*F68</f>
        <v>0</v>
      </c>
      <c r="J68" s="106">
        <v>19013</v>
      </c>
      <c r="K68" s="107">
        <f t="shared" si="9"/>
        <v>0</v>
      </c>
      <c r="L68" s="99"/>
      <c r="Q68" s="204" t="s">
        <v>325</v>
      </c>
      <c r="R68" s="204"/>
      <c r="S68" s="73">
        <v>0</v>
      </c>
      <c r="T68" s="73">
        <v>0</v>
      </c>
      <c r="U68" s="73">
        <v>15</v>
      </c>
    </row>
    <row r="69" spans="1:28" ht="14.45">
      <c r="A69" s="98"/>
      <c r="H69" s="111">
        <f>SUM(H63:H68)</f>
        <v>30</v>
      </c>
      <c r="I69" s="68">
        <f>SUM(I63:I68)</f>
        <v>10.784307435942317</v>
      </c>
      <c r="K69" s="108">
        <f>SUM(K63:K68)</f>
        <v>4339114560</v>
      </c>
      <c r="L69" s="99"/>
      <c r="Q69" s="204" t="s">
        <v>306</v>
      </c>
      <c r="R69" s="204"/>
      <c r="S69" s="73">
        <v>10</v>
      </c>
      <c r="T69" s="73">
        <v>10</v>
      </c>
      <c r="U69" s="73">
        <v>0</v>
      </c>
    </row>
    <row r="70" spans="1:28" ht="14.45">
      <c r="A70" s="98"/>
      <c r="L70" s="99"/>
      <c r="Q70" s="204" t="s">
        <v>309</v>
      </c>
      <c r="R70" s="204"/>
      <c r="S70" s="73">
        <v>10</v>
      </c>
      <c r="T70" s="73">
        <v>10</v>
      </c>
      <c r="U70" s="73">
        <v>0</v>
      </c>
      <c r="Z70" t="s">
        <v>339</v>
      </c>
      <c r="AA70" t="s">
        <v>340</v>
      </c>
      <c r="AB70" t="s">
        <v>337</v>
      </c>
    </row>
    <row r="71" spans="1:28" ht="14.45">
      <c r="A71" s="100"/>
      <c r="B71" s="101"/>
      <c r="C71" s="101"/>
      <c r="D71" s="101"/>
      <c r="E71" s="101"/>
      <c r="F71" s="101"/>
      <c r="G71" s="101"/>
      <c r="H71" s="101"/>
      <c r="I71" s="101"/>
      <c r="J71" s="101"/>
      <c r="K71" s="101"/>
      <c r="L71" s="102"/>
      <c r="Q71" s="233" t="s">
        <v>262</v>
      </c>
      <c r="R71" s="233"/>
      <c r="S71" s="105">
        <v>11.3</v>
      </c>
      <c r="T71" s="105">
        <v>11</v>
      </c>
      <c r="U71" s="105">
        <v>10.8</v>
      </c>
      <c r="X71" s="233" t="s">
        <v>262</v>
      </c>
      <c r="Y71" s="233"/>
      <c r="Z71" s="105">
        <v>11.3</v>
      </c>
      <c r="AA71" s="105">
        <v>10.8</v>
      </c>
      <c r="AB71" s="105">
        <v>11</v>
      </c>
    </row>
    <row r="72" spans="1:28" ht="14.45"/>
    <row r="73" spans="1:28" ht="14.45"/>
    <row r="74" spans="1:28" ht="14.45"/>
    <row r="75" spans="1:28" ht="14.45"/>
    <row r="76" spans="1:28" ht="14.45"/>
    <row r="77" spans="1:28" ht="14.45"/>
    <row r="78" spans="1:28" ht="14.45"/>
    <row r="79" spans="1:28" ht="14.45"/>
    <row r="80" spans="1:28" ht="14.45"/>
    <row r="81" ht="14.45"/>
    <row r="82" ht="14.45"/>
    <row r="83" ht="14.45"/>
    <row r="84" ht="14.45"/>
    <row r="85" ht="14.45"/>
    <row r="86" ht="14.45"/>
    <row r="87" ht="14.45"/>
    <row r="88" ht="14.45"/>
    <row r="89" ht="14.45"/>
    <row r="90" ht="14.45"/>
    <row r="91" ht="14.45"/>
    <row r="92" ht="14.45"/>
    <row r="93" ht="14.45"/>
    <row r="94" ht="14.45"/>
    <row r="95" ht="14.45"/>
    <row r="96" ht="14.45"/>
    <row r="97" ht="14.45"/>
    <row r="98" ht="14.45"/>
    <row r="99" ht="14.45"/>
    <row r="100" ht="14.45"/>
    <row r="101" ht="14.45"/>
    <row r="102" ht="14.45"/>
    <row r="103" ht="14.45"/>
    <row r="104" ht="14.45"/>
    <row r="105" ht="14.45"/>
  </sheetData>
  <mergeCells count="109">
    <mergeCell ref="A43:A49"/>
    <mergeCell ref="A53:A59"/>
    <mergeCell ref="A62:A68"/>
    <mergeCell ref="Q64:R64"/>
    <mergeCell ref="Q65:R65"/>
    <mergeCell ref="Q66:R66"/>
    <mergeCell ref="Q67:R67"/>
    <mergeCell ref="Q68:R68"/>
    <mergeCell ref="B59:C59"/>
    <mergeCell ref="D59:E59"/>
    <mergeCell ref="B55:C55"/>
    <mergeCell ref="D55:E55"/>
    <mergeCell ref="B56:C56"/>
    <mergeCell ref="D56:E56"/>
    <mergeCell ref="B57:C57"/>
    <mergeCell ref="D57:E57"/>
    <mergeCell ref="D53:E53"/>
    <mergeCell ref="B54:C54"/>
    <mergeCell ref="D54:E54"/>
    <mergeCell ref="B58:C58"/>
    <mergeCell ref="B49:C49"/>
    <mergeCell ref="D49:E49"/>
    <mergeCell ref="B44:C44"/>
    <mergeCell ref="D44:E44"/>
    <mergeCell ref="B45:C45"/>
    <mergeCell ref="D45:E45"/>
    <mergeCell ref="B46:C46"/>
    <mergeCell ref="D46:E46"/>
    <mergeCell ref="X71:Y71"/>
    <mergeCell ref="Q69:R69"/>
    <mergeCell ref="Q70:R70"/>
    <mergeCell ref="Q71:R71"/>
    <mergeCell ref="Y48:AB48"/>
    <mergeCell ref="P53:V54"/>
    <mergeCell ref="B65:C65"/>
    <mergeCell ref="D65:E65"/>
    <mergeCell ref="B66:C66"/>
    <mergeCell ref="D66:E66"/>
    <mergeCell ref="B67:C67"/>
    <mergeCell ref="D67:E67"/>
    <mergeCell ref="B62:C62"/>
    <mergeCell ref="D62:E62"/>
    <mergeCell ref="B63:C63"/>
    <mergeCell ref="D63:E63"/>
    <mergeCell ref="B64:C64"/>
    <mergeCell ref="D64:E64"/>
    <mergeCell ref="B53:C53"/>
    <mergeCell ref="P57:R57"/>
    <mergeCell ref="B47:C47"/>
    <mergeCell ref="D47:E47"/>
    <mergeCell ref="B48:C48"/>
    <mergeCell ref="D48:E48"/>
    <mergeCell ref="R4:AB11"/>
    <mergeCell ref="R13:AB19"/>
    <mergeCell ref="B29:C30"/>
    <mergeCell ref="B3:C4"/>
    <mergeCell ref="B11:B12"/>
    <mergeCell ref="F11:F12"/>
    <mergeCell ref="J11:J12"/>
    <mergeCell ref="B23:C23"/>
    <mergeCell ref="F23:G23"/>
    <mergeCell ref="J23:K23"/>
    <mergeCell ref="V30:AC31"/>
    <mergeCell ref="AA33:AB33"/>
    <mergeCell ref="AA34:AB34"/>
    <mergeCell ref="AA35:AB35"/>
    <mergeCell ref="B33:C33"/>
    <mergeCell ref="B34:C34"/>
    <mergeCell ref="B35:C35"/>
    <mergeCell ref="B36:C36"/>
    <mergeCell ref="B38:C38"/>
    <mergeCell ref="B39:C39"/>
    <mergeCell ref="AF30:BC44"/>
    <mergeCell ref="P30:T31"/>
    <mergeCell ref="Q39:R40"/>
    <mergeCell ref="Q41:R41"/>
    <mergeCell ref="D39:E39"/>
    <mergeCell ref="D35:E35"/>
    <mergeCell ref="D36:E36"/>
    <mergeCell ref="Q34:Q36"/>
    <mergeCell ref="R35:R36"/>
    <mergeCell ref="D38:E38"/>
    <mergeCell ref="Z37:AA37"/>
    <mergeCell ref="B42:K42"/>
    <mergeCell ref="B37:C37"/>
    <mergeCell ref="D37:E37"/>
    <mergeCell ref="B43:C43"/>
    <mergeCell ref="D43:E43"/>
    <mergeCell ref="D33:E33"/>
    <mergeCell ref="D34:E34"/>
    <mergeCell ref="J29:N30"/>
    <mergeCell ref="AE58:AG61"/>
    <mergeCell ref="X57:Y57"/>
    <mergeCell ref="X58:Y58"/>
    <mergeCell ref="X59:Y59"/>
    <mergeCell ref="X60:Y60"/>
    <mergeCell ref="X61:Y61"/>
    <mergeCell ref="B68:C68"/>
    <mergeCell ref="D68:E68"/>
    <mergeCell ref="P58:R58"/>
    <mergeCell ref="P59:R59"/>
    <mergeCell ref="P60:R60"/>
    <mergeCell ref="P61:R61"/>
    <mergeCell ref="S57:W57"/>
    <mergeCell ref="S58:W58"/>
    <mergeCell ref="S59:W59"/>
    <mergeCell ref="D58:E58"/>
    <mergeCell ref="S60:W60"/>
    <mergeCell ref="S61:W61"/>
  </mergeCells>
  <conditionalFormatting sqref="J34:J3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min"/>
        <cfvo type="max"/>
        <color rgb="FFFCFCFF"/>
        <color rgb="FFF8696B"/>
      </colorScale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3:J6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">
      <colorScale>
        <cfvo type="min"/>
        <cfvo type="max"/>
        <color rgb="FFFCFCFF"/>
        <color rgb="FFF8696B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4:K3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44:K4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4:K5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3:K6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35:N37">
    <cfRule type="cellIs" dxfId="5" priority="11" operator="lessThan">
      <formula>$I$40</formula>
    </cfRule>
    <cfRule type="cellIs" dxfId="4" priority="12" operator="greaterThan">
      <formula>$I$40</formula>
    </cfRule>
  </conditionalFormatting>
  <conditionalFormatting sqref="S41">
    <cfRule type="cellIs" dxfId="3" priority="15" operator="lessThan">
      <formula>$S$40</formula>
    </cfRule>
    <cfRule type="cellIs" dxfId="2" priority="16" operator="greaterThan">
      <formula>$S$40</formula>
    </cfRule>
  </conditionalFormatting>
  <conditionalFormatting sqref="AB40:AB42">
    <cfRule type="cellIs" dxfId="1" priority="13" operator="lessThan">
      <formula>$AB$37</formula>
    </cfRule>
    <cfRule type="cellIs" dxfId="0" priority="14" operator="greaterThan">
      <formula>$AB$37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B5CFD-7A78-4013-9415-23A66C91A978}">
  <dimension ref="A2:R59"/>
  <sheetViews>
    <sheetView tabSelected="1" topLeftCell="A16" workbookViewId="0">
      <selection activeCell="G16" sqref="G16"/>
    </sheetView>
  </sheetViews>
  <sheetFormatPr defaultColWidth="8.85546875" defaultRowHeight="14.45"/>
  <cols>
    <col min="2" max="2" width="21.7109375" bestFit="1" customWidth="1"/>
    <col min="3" max="3" width="10.85546875" bestFit="1" customWidth="1"/>
    <col min="4" max="5" width="10.42578125" bestFit="1" customWidth="1"/>
    <col min="8" max="8" width="15.140625" bestFit="1" customWidth="1"/>
    <col min="9" max="9" width="17.28515625" bestFit="1" customWidth="1"/>
    <col min="12" max="12" width="17.5703125" bestFit="1" customWidth="1"/>
  </cols>
  <sheetData>
    <row r="2" spans="2:18">
      <c r="B2" s="130" t="s">
        <v>70</v>
      </c>
      <c r="C2" s="30">
        <v>13218454.949085878</v>
      </c>
      <c r="E2" s="241" t="s">
        <v>341</v>
      </c>
      <c r="F2" s="241"/>
      <c r="G2" s="241"/>
      <c r="I2" s="187" t="s">
        <v>330</v>
      </c>
      <c r="J2" s="187"/>
      <c r="K2" s="243" t="s">
        <v>280</v>
      </c>
      <c r="L2" s="187"/>
      <c r="M2" s="244"/>
      <c r="N2" s="118" t="s">
        <v>342</v>
      </c>
    </row>
    <row r="3" spans="2:18">
      <c r="B3" s="130" t="s">
        <v>78</v>
      </c>
      <c r="C3" s="2">
        <v>60</v>
      </c>
      <c r="E3" s="241"/>
      <c r="F3" s="241"/>
      <c r="G3" s="241"/>
      <c r="I3" s="186" t="s">
        <v>343</v>
      </c>
      <c r="J3" s="186"/>
      <c r="K3" s="119" t="s">
        <v>344</v>
      </c>
      <c r="L3" s="119">
        <v>46</v>
      </c>
      <c r="M3" s="119" t="s">
        <v>345</v>
      </c>
      <c r="N3" s="117">
        <v>198866</v>
      </c>
      <c r="O3" s="125">
        <f>L3*9.81*10^-2</f>
        <v>4.5126000000000008</v>
      </c>
      <c r="P3" s="45" t="s">
        <v>53</v>
      </c>
      <c r="Q3" s="91">
        <f>O3*145.05</f>
        <v>654.55263000000014</v>
      </c>
      <c r="R3" t="s">
        <v>245</v>
      </c>
    </row>
    <row r="4" spans="2:18">
      <c r="B4" s="131" t="s">
        <v>80</v>
      </c>
      <c r="C4" s="34">
        <v>-0.253</v>
      </c>
      <c r="E4" s="241"/>
      <c r="F4" s="241"/>
      <c r="G4" s="241"/>
      <c r="I4" s="187" t="s">
        <v>346</v>
      </c>
      <c r="J4" s="187"/>
      <c r="K4" s="123" t="s">
        <v>344</v>
      </c>
      <c r="L4" s="123">
        <v>52</v>
      </c>
      <c r="M4" s="123" t="s">
        <v>345</v>
      </c>
      <c r="N4" s="124">
        <v>220666</v>
      </c>
      <c r="O4" s="125">
        <f>L4*9.81*10^-2</f>
        <v>5.1012000000000004</v>
      </c>
      <c r="P4" s="45" t="s">
        <v>53</v>
      </c>
      <c r="Q4" s="91">
        <f>O4*145.05</f>
        <v>739.92906000000016</v>
      </c>
      <c r="R4" t="s">
        <v>245</v>
      </c>
    </row>
    <row r="5" spans="2:18">
      <c r="B5" s="130" t="s">
        <v>84</v>
      </c>
      <c r="C5" s="2">
        <v>0.35</v>
      </c>
      <c r="E5" s="241"/>
      <c r="F5" s="241"/>
      <c r="G5" s="241"/>
      <c r="I5" s="187" t="s">
        <v>309</v>
      </c>
      <c r="J5" s="187"/>
      <c r="K5" s="103" t="s">
        <v>50</v>
      </c>
      <c r="L5" s="103">
        <v>40</v>
      </c>
      <c r="M5" s="103" t="s">
        <v>51</v>
      </c>
      <c r="N5" s="48">
        <v>19013</v>
      </c>
    </row>
    <row r="6" spans="2:18">
      <c r="B6" s="130" t="s">
        <v>89</v>
      </c>
      <c r="C6" s="2">
        <v>4.5</v>
      </c>
      <c r="E6" s="241"/>
      <c r="F6" s="241"/>
      <c r="G6" s="241"/>
      <c r="I6" s="204" t="s">
        <v>347</v>
      </c>
      <c r="J6" s="205"/>
      <c r="K6" s="120" t="s">
        <v>348</v>
      </c>
      <c r="L6" s="121">
        <v>2000</v>
      </c>
      <c r="M6" s="122" t="s">
        <v>53</v>
      </c>
      <c r="N6" s="117">
        <v>23384</v>
      </c>
    </row>
    <row r="7" spans="2:18">
      <c r="B7" s="130" t="s">
        <v>92</v>
      </c>
      <c r="C7" s="2">
        <v>2</v>
      </c>
      <c r="E7" s="241"/>
      <c r="F7" s="241"/>
      <c r="G7" s="241"/>
    </row>
    <row r="9" spans="2:18">
      <c r="B9" s="241" t="s">
        <v>349</v>
      </c>
      <c r="C9" s="241"/>
      <c r="D9" s="241"/>
      <c r="E9" s="241"/>
      <c r="F9" s="241"/>
      <c r="G9" s="241"/>
    </row>
    <row r="10" spans="2:18" ht="15">
      <c r="B10" s="241"/>
      <c r="C10" s="241"/>
      <c r="D10" s="241"/>
      <c r="E10" s="241"/>
      <c r="F10" s="241"/>
      <c r="G10" s="241"/>
    </row>
    <row r="12" spans="2:18">
      <c r="B12" s="1"/>
      <c r="C12" s="48" t="s">
        <v>350</v>
      </c>
      <c r="D12" s="48" t="s">
        <v>351</v>
      </c>
      <c r="E12" s="48" t="s">
        <v>352</v>
      </c>
    </row>
    <row r="13" spans="2:18">
      <c r="B13" s="86" t="s">
        <v>50</v>
      </c>
      <c r="C13" s="48">
        <v>17</v>
      </c>
      <c r="D13" s="48">
        <v>35</v>
      </c>
      <c r="E13" s="111">
        <v>16</v>
      </c>
    </row>
    <row r="14" spans="2:18">
      <c r="B14" s="86" t="s">
        <v>74</v>
      </c>
      <c r="C14" s="69">
        <f>69.78*LOG10(C13)-10.16</f>
        <v>75.700725733775954</v>
      </c>
      <c r="D14" s="69">
        <f t="shared" ref="D14:E14" si="0">69.78*LOG10(D13)-10.16</f>
        <v>97.585068134762238</v>
      </c>
      <c r="E14" s="68">
        <f t="shared" si="0"/>
        <v>73.863492389730439</v>
      </c>
    </row>
    <row r="16" spans="2:18" ht="15">
      <c r="B16" s="129" t="s">
        <v>113</v>
      </c>
      <c r="C16" s="69">
        <f>E14</f>
        <v>73.863492389730439</v>
      </c>
      <c r="G16" s="252"/>
    </row>
    <row r="20" spans="1:5">
      <c r="B20" s="1"/>
      <c r="C20" s="1"/>
    </row>
    <row r="21" spans="1:5">
      <c r="B21" s="129" t="s">
        <v>97</v>
      </c>
      <c r="C21" s="48">
        <v>1</v>
      </c>
    </row>
    <row r="22" spans="1:5">
      <c r="B22" s="129" t="s">
        <v>99</v>
      </c>
      <c r="C22" s="48">
        <v>4</v>
      </c>
    </row>
    <row r="23" spans="1:5">
      <c r="B23" s="132" t="s">
        <v>353</v>
      </c>
      <c r="C23" s="128">
        <v>3.6</v>
      </c>
    </row>
    <row r="24" spans="1:5">
      <c r="B24" s="129" t="s">
        <v>348</v>
      </c>
      <c r="C24" s="48">
        <v>29000</v>
      </c>
      <c r="D24" s="1" t="s">
        <v>53</v>
      </c>
    </row>
    <row r="25" spans="1:5">
      <c r="B25" s="129"/>
      <c r="C25" s="48">
        <f>C24*145.05</f>
        <v>4206450</v>
      </c>
      <c r="D25" s="1" t="s">
        <v>245</v>
      </c>
    </row>
    <row r="27" spans="1:5">
      <c r="B27" s="1" t="s">
        <v>318</v>
      </c>
      <c r="C27" s="179" t="s">
        <v>354</v>
      </c>
      <c r="D27" s="179"/>
      <c r="E27" s="179"/>
    </row>
    <row r="28" spans="1:5">
      <c r="B28" s="129" t="s">
        <v>101</v>
      </c>
      <c r="C28" s="69">
        <f>Q3</f>
        <v>654.55263000000014</v>
      </c>
    </row>
    <row r="30" spans="1:5">
      <c r="A30" t="s">
        <v>107</v>
      </c>
      <c r="B30" s="129" t="s">
        <v>50</v>
      </c>
      <c r="C30" s="75">
        <v>40</v>
      </c>
    </row>
    <row r="31" spans="1:5">
      <c r="A31" t="s">
        <v>109</v>
      </c>
      <c r="B31" s="129" t="s">
        <v>74</v>
      </c>
      <c r="C31" s="133">
        <f>69.78*LOG10(C30)-10.16</f>
        <v>101.63174619486522</v>
      </c>
    </row>
    <row r="32" spans="1:5">
      <c r="B32" s="129" t="s">
        <v>115</v>
      </c>
      <c r="C32" s="73">
        <v>15</v>
      </c>
      <c r="D32" t="s">
        <v>355</v>
      </c>
    </row>
    <row r="34" spans="2:15">
      <c r="B34" s="129" t="s">
        <v>117</v>
      </c>
      <c r="C34" s="134">
        <f>(1+(C32/38)^2*(C31/C16)^(2/3))^(0.5)*C16</f>
        <v>80.668915458307069</v>
      </c>
    </row>
    <row r="35" spans="2:15">
      <c r="C35" s="134">
        <f>C34*3.68</f>
        <v>296.86160888657002</v>
      </c>
      <c r="D35" t="s">
        <v>356</v>
      </c>
    </row>
    <row r="36" spans="2:15">
      <c r="B36" s="135" t="s">
        <v>357</v>
      </c>
      <c r="C36" s="45">
        <v>9.8000000000000007</v>
      </c>
      <c r="D36" s="38" t="s">
        <v>358</v>
      </c>
    </row>
    <row r="37" spans="2:15">
      <c r="C37" s="157">
        <f>C36*2.54</f>
        <v>24.892000000000003</v>
      </c>
      <c r="D37" s="126" t="s">
        <v>267</v>
      </c>
      <c r="E37" s="127">
        <v>25</v>
      </c>
      <c r="F37">
        <f>E37/100</f>
        <v>0.25</v>
      </c>
      <c r="G37" t="s">
        <v>48</v>
      </c>
    </row>
    <row r="38" spans="2:15">
      <c r="I38" s="113" t="s">
        <v>272</v>
      </c>
      <c r="J38" s="103">
        <v>12000</v>
      </c>
      <c r="K38" s="90" t="s">
        <v>48</v>
      </c>
    </row>
    <row r="39" spans="2:15">
      <c r="B39" s="1" t="s">
        <v>359</v>
      </c>
      <c r="C39" s="179" t="s">
        <v>360</v>
      </c>
      <c r="D39" s="179"/>
      <c r="E39" s="179"/>
      <c r="I39" s="113" t="s">
        <v>274</v>
      </c>
      <c r="J39" s="103">
        <v>6.6</v>
      </c>
      <c r="K39" s="90" t="s">
        <v>48</v>
      </c>
    </row>
    <row r="40" spans="2:15">
      <c r="B40" s="179" t="s">
        <v>361</v>
      </c>
      <c r="C40" s="179"/>
      <c r="D40" s="179"/>
      <c r="E40" s="179"/>
      <c r="I40" s="66" t="s">
        <v>277</v>
      </c>
      <c r="J40" s="104">
        <f>J38*J39</f>
        <v>79200</v>
      </c>
      <c r="K40" s="51" t="s">
        <v>278</v>
      </c>
      <c r="M40" s="241" t="s">
        <v>362</v>
      </c>
      <c r="N40" s="241"/>
    </row>
    <row r="41" spans="2:15">
      <c r="B41" s="129" t="s">
        <v>101</v>
      </c>
      <c r="C41" s="69">
        <f>Q4</f>
        <v>739.92906000000016</v>
      </c>
      <c r="M41" s="241"/>
      <c r="N41" s="241"/>
    </row>
    <row r="42" spans="2:15">
      <c r="J42" s="45" t="s">
        <v>177</v>
      </c>
      <c r="K42" s="45" t="s">
        <v>363</v>
      </c>
      <c r="L42" s="45" t="s">
        <v>364</v>
      </c>
      <c r="N42" s="209" t="s">
        <v>365</v>
      </c>
      <c r="O42" s="204"/>
    </row>
    <row r="43" spans="2:15">
      <c r="B43" s="135" t="s">
        <v>357</v>
      </c>
      <c r="C43" s="45">
        <v>9.1</v>
      </c>
      <c r="D43" s="38" t="s">
        <v>358</v>
      </c>
      <c r="I43" s="138" t="s">
        <v>366</v>
      </c>
      <c r="J43" s="127">
        <f>F37*J40</f>
        <v>19800</v>
      </c>
      <c r="K43" s="127">
        <v>198866</v>
      </c>
      <c r="L43" s="108">
        <f>J43*K43</f>
        <v>3937546800</v>
      </c>
      <c r="N43" s="242">
        <f>L43+L48</f>
        <v>4163421240</v>
      </c>
      <c r="O43" s="204"/>
    </row>
    <row r="44" spans="2:15">
      <c r="C44" s="157">
        <f>C43*2.54</f>
        <v>23.114000000000001</v>
      </c>
      <c r="D44" s="126" t="s">
        <v>267</v>
      </c>
      <c r="E44" s="127">
        <v>23</v>
      </c>
      <c r="F44">
        <f>E44/100</f>
        <v>0.23</v>
      </c>
      <c r="G44" t="s">
        <v>48</v>
      </c>
      <c r="I44" s="45" t="s">
        <v>367</v>
      </c>
      <c r="J44" s="47">
        <f>F44*J40</f>
        <v>18216</v>
      </c>
      <c r="K44" s="47">
        <v>220666</v>
      </c>
      <c r="L44" s="139">
        <f>J44*K44</f>
        <v>4019651856</v>
      </c>
      <c r="N44" s="242">
        <f>L44+L48</f>
        <v>4245526296</v>
      </c>
      <c r="O44" s="204"/>
    </row>
    <row r="45" spans="2:15">
      <c r="L45" s="136"/>
    </row>
    <row r="46" spans="2:15">
      <c r="B46" s="1"/>
      <c r="I46" s="45" t="s">
        <v>368</v>
      </c>
      <c r="J46" s="45">
        <f>J40*F59</f>
        <v>18216</v>
      </c>
      <c r="K46" s="45">
        <f>K43</f>
        <v>198866</v>
      </c>
      <c r="L46" s="137">
        <f>K46*J46</f>
        <v>3622543056</v>
      </c>
      <c r="N46" s="238">
        <f>L46+L49</f>
        <v>3992945616</v>
      </c>
      <c r="O46" s="239"/>
    </row>
    <row r="47" spans="2:15">
      <c r="B47" t="s">
        <v>369</v>
      </c>
      <c r="C47" s="179" t="s">
        <v>370</v>
      </c>
      <c r="D47" s="179"/>
      <c r="E47" s="179"/>
    </row>
    <row r="48" spans="2:15">
      <c r="B48" s="129" t="s">
        <v>101</v>
      </c>
      <c r="C48" s="69">
        <f>Q3</f>
        <v>654.55263000000014</v>
      </c>
      <c r="I48" s="48" t="s">
        <v>371</v>
      </c>
      <c r="J48" s="48">
        <f>C32/100*J40</f>
        <v>11880</v>
      </c>
      <c r="K48" s="48">
        <v>19013</v>
      </c>
      <c r="L48" s="106">
        <f t="shared" ref="L48" si="1">J48*K48</f>
        <v>225874440</v>
      </c>
      <c r="N48" s="240" t="s">
        <v>372</v>
      </c>
      <c r="O48" s="240"/>
    </row>
    <row r="49" spans="1:15">
      <c r="I49" s="48" t="s">
        <v>347</v>
      </c>
      <c r="J49" s="48">
        <f>C51/100*J40</f>
        <v>15840</v>
      </c>
      <c r="K49" s="48">
        <f>N6</f>
        <v>23384</v>
      </c>
      <c r="L49" s="106">
        <f>J49*K49</f>
        <v>370402560</v>
      </c>
      <c r="N49" s="240"/>
      <c r="O49" s="240"/>
    </row>
    <row r="50" spans="1:15">
      <c r="A50" t="s">
        <v>107</v>
      </c>
      <c r="B50" s="129" t="s">
        <v>373</v>
      </c>
      <c r="C50" s="75">
        <v>2000</v>
      </c>
      <c r="N50" s="240"/>
      <c r="O50" s="240"/>
    </row>
    <row r="51" spans="1:15">
      <c r="B51" s="129" t="s">
        <v>115</v>
      </c>
      <c r="C51" s="73">
        <v>20</v>
      </c>
      <c r="D51" t="s">
        <v>355</v>
      </c>
    </row>
    <row r="54" spans="1:15">
      <c r="B54" s="129" t="s">
        <v>374</v>
      </c>
      <c r="C54" s="134">
        <f>(1-(15*C16/C50))/((1+(C51/38)^2*(C50/C16)^(2/3))^(0.5))+(15*C16/C50)</f>
        <v>0.79246053602751787</v>
      </c>
    </row>
    <row r="55" spans="1:15">
      <c r="B55" s="135" t="s">
        <v>117</v>
      </c>
      <c r="C55" s="134">
        <f>C16/C54</f>
        <v>93.207786421765178</v>
      </c>
    </row>
    <row r="56" spans="1:15">
      <c r="C56" s="69">
        <f>C55*3.68</f>
        <v>343.00465403209586</v>
      </c>
      <c r="D56" t="s">
        <v>356</v>
      </c>
    </row>
    <row r="58" spans="1:15">
      <c r="B58" s="135" t="s">
        <v>357</v>
      </c>
      <c r="C58" s="45">
        <v>9.1</v>
      </c>
      <c r="D58" s="38" t="s">
        <v>358</v>
      </c>
    </row>
    <row r="59" spans="1:15">
      <c r="C59" s="157">
        <f>C58*2.54</f>
        <v>23.114000000000001</v>
      </c>
      <c r="D59" s="126" t="s">
        <v>267</v>
      </c>
      <c r="E59" s="127">
        <v>23</v>
      </c>
      <c r="F59">
        <f>E59/100</f>
        <v>0.23</v>
      </c>
      <c r="G59" t="s">
        <v>48</v>
      </c>
    </row>
  </sheetData>
  <mergeCells count="18">
    <mergeCell ref="K2:M2"/>
    <mergeCell ref="B9:G10"/>
    <mergeCell ref="C27:E27"/>
    <mergeCell ref="E2:G7"/>
    <mergeCell ref="I2:J2"/>
    <mergeCell ref="I3:J3"/>
    <mergeCell ref="I4:J4"/>
    <mergeCell ref="I5:J5"/>
    <mergeCell ref="I6:J6"/>
    <mergeCell ref="N46:O46"/>
    <mergeCell ref="N48:O50"/>
    <mergeCell ref="C39:E39"/>
    <mergeCell ref="B40:E40"/>
    <mergeCell ref="M40:N41"/>
    <mergeCell ref="C47:E47"/>
    <mergeCell ref="N42:O42"/>
    <mergeCell ref="N43:O43"/>
    <mergeCell ref="N44:O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43FF9-ADE5-4E25-9303-818DE0089981}">
  <dimension ref="B2:O42"/>
  <sheetViews>
    <sheetView topLeftCell="A14" workbookViewId="0">
      <selection activeCell="E25" sqref="E25:F27"/>
    </sheetView>
  </sheetViews>
  <sheetFormatPr defaultColWidth="8.85546875" defaultRowHeight="14.45"/>
  <cols>
    <col min="4" max="4" width="9.140625" customWidth="1"/>
    <col min="8" max="9" width="9.28515625" bestFit="1" customWidth="1"/>
  </cols>
  <sheetData>
    <row r="2" spans="2:14" ht="14.45" customHeight="1"/>
    <row r="3" spans="2:14">
      <c r="B3" s="201" t="s">
        <v>375</v>
      </c>
      <c r="C3" s="201"/>
      <c r="D3" s="201"/>
      <c r="E3" s="201"/>
      <c r="F3" s="201"/>
      <c r="G3" s="201"/>
      <c r="H3" s="201"/>
      <c r="I3" s="201"/>
      <c r="J3" s="201" t="s">
        <v>376</v>
      </c>
      <c r="K3" s="201"/>
    </row>
    <row r="4" spans="2:14">
      <c r="B4" s="245" t="s">
        <v>377</v>
      </c>
      <c r="C4" s="245"/>
      <c r="D4" s="245"/>
      <c r="E4" s="245"/>
      <c r="F4" s="245"/>
      <c r="G4" s="245"/>
      <c r="H4" s="245"/>
      <c r="I4" s="245"/>
      <c r="J4" s="204">
        <v>8562</v>
      </c>
      <c r="K4" s="204"/>
    </row>
    <row r="5" spans="2:14">
      <c r="B5" s="245" t="s">
        <v>378</v>
      </c>
      <c r="C5" s="245"/>
      <c r="D5" s="245"/>
      <c r="E5" s="245"/>
      <c r="F5" s="245"/>
      <c r="G5" s="245"/>
      <c r="H5" s="245"/>
      <c r="I5" s="245"/>
      <c r="J5" s="204">
        <v>11637</v>
      </c>
      <c r="K5" s="204"/>
    </row>
    <row r="6" spans="2:14" ht="14.45" customHeight="1">
      <c r="B6" s="245" t="s">
        <v>379</v>
      </c>
      <c r="C6" s="245"/>
      <c r="D6" s="245"/>
      <c r="E6" s="245"/>
      <c r="F6" s="245"/>
      <c r="G6" s="245"/>
      <c r="H6" s="245"/>
      <c r="I6" s="245"/>
      <c r="J6" s="204">
        <v>14876</v>
      </c>
      <c r="K6" s="204"/>
    </row>
    <row r="8" spans="2:14" ht="16.149999999999999" customHeight="1">
      <c r="B8" s="205" t="s">
        <v>380</v>
      </c>
      <c r="C8" s="219"/>
      <c r="D8" s="104">
        <f>'Diseño Asfalto'!G31</f>
        <v>79200</v>
      </c>
      <c r="E8" s="48" t="s">
        <v>381</v>
      </c>
      <c r="G8" s="86" t="s">
        <v>382</v>
      </c>
      <c r="H8" s="104">
        <v>6.6</v>
      </c>
      <c r="I8" s="51" t="s">
        <v>48</v>
      </c>
      <c r="K8" s="179" t="s">
        <v>383</v>
      </c>
      <c r="L8" s="179"/>
      <c r="M8">
        <v>14514</v>
      </c>
      <c r="N8" t="s">
        <v>384</v>
      </c>
    </row>
    <row r="10" spans="2:14">
      <c r="B10" s="201" t="s">
        <v>385</v>
      </c>
      <c r="C10" s="201"/>
      <c r="D10" s="201"/>
      <c r="E10" s="66" t="s">
        <v>386</v>
      </c>
      <c r="F10" s="66" t="s">
        <v>387</v>
      </c>
      <c r="G10" s="66" t="s">
        <v>388</v>
      </c>
      <c r="H10" s="66" t="s">
        <v>389</v>
      </c>
      <c r="I10" s="66" t="s">
        <v>390</v>
      </c>
      <c r="J10" s="201" t="s">
        <v>376</v>
      </c>
      <c r="K10" s="201"/>
      <c r="L10" s="201" t="s">
        <v>391</v>
      </c>
      <c r="M10" s="201"/>
    </row>
    <row r="11" spans="2:14">
      <c r="B11" s="204" t="s">
        <v>392</v>
      </c>
      <c r="C11" s="204"/>
      <c r="D11" s="204"/>
      <c r="E11" s="48">
        <v>2</v>
      </c>
      <c r="F11" s="48">
        <v>4.5</v>
      </c>
      <c r="G11" s="48">
        <f>(F11-E11)*10^3</f>
        <v>2500</v>
      </c>
      <c r="H11" s="48">
        <v>1.5</v>
      </c>
      <c r="I11" s="112">
        <f>G11*H11*$H$8</f>
        <v>24750</v>
      </c>
      <c r="J11" s="204">
        <f>J4+J5+M8</f>
        <v>34713</v>
      </c>
      <c r="K11" s="204"/>
      <c r="L11" s="242">
        <f>J11*I11</f>
        <v>859146750</v>
      </c>
      <c r="M11" s="242"/>
    </row>
    <row r="12" spans="2:14">
      <c r="B12" s="204" t="s">
        <v>393</v>
      </c>
      <c r="C12" s="204"/>
      <c r="D12" s="204"/>
      <c r="E12" s="48">
        <v>10.5</v>
      </c>
      <c r="F12" s="48">
        <v>11.75</v>
      </c>
      <c r="G12" s="48">
        <f>(F12-E12)*10^3</f>
        <v>1250</v>
      </c>
      <c r="H12" s="48">
        <v>1</v>
      </c>
      <c r="I12" s="112">
        <f>G12*H12*$H$8</f>
        <v>8250</v>
      </c>
      <c r="J12" s="204">
        <f>J5+M8</f>
        <v>26151</v>
      </c>
      <c r="K12" s="204"/>
      <c r="L12" s="246">
        <f>J12*I12</f>
        <v>215745750</v>
      </c>
      <c r="M12" s="246"/>
    </row>
    <row r="13" spans="2:14">
      <c r="B13" s="1"/>
      <c r="C13" s="1"/>
      <c r="D13" s="1"/>
      <c r="E13" s="1"/>
      <c r="F13" s="1"/>
      <c r="G13" s="1"/>
      <c r="H13" s="1"/>
      <c r="I13" s="115"/>
      <c r="L13" s="248">
        <f>L12+L11</f>
        <v>1074892500</v>
      </c>
      <c r="M13" s="203"/>
      <c r="N13" s="116"/>
    </row>
    <row r="14" spans="2:14">
      <c r="B14" s="1"/>
      <c r="C14" s="1"/>
      <c r="D14" s="1"/>
      <c r="E14" s="1"/>
      <c r="F14" s="1"/>
      <c r="G14" s="1"/>
      <c r="H14" s="1"/>
      <c r="I14" s="115"/>
      <c r="M14" s="116"/>
      <c r="N14" s="116"/>
    </row>
    <row r="15" spans="2:14">
      <c r="B15" s="247" t="s">
        <v>394</v>
      </c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</row>
    <row r="17" spans="2:15">
      <c r="B17" s="201" t="s">
        <v>272</v>
      </c>
      <c r="C17" s="201"/>
      <c r="D17" s="48">
        <v>12000</v>
      </c>
      <c r="E17" s="48" t="s">
        <v>48</v>
      </c>
      <c r="G17" s="179" t="s">
        <v>395</v>
      </c>
      <c r="H17" s="179"/>
      <c r="I17" s="179"/>
      <c r="J17" s="179"/>
      <c r="K17" s="179"/>
      <c r="L17" s="179"/>
      <c r="M17" s="179"/>
      <c r="N17" s="179"/>
    </row>
    <row r="18" spans="2:15">
      <c r="B18" s="201" t="s">
        <v>396</v>
      </c>
      <c r="C18" s="201"/>
      <c r="D18" s="48">
        <v>6.6</v>
      </c>
      <c r="E18" s="48" t="s">
        <v>48</v>
      </c>
    </row>
    <row r="19" spans="2:15" ht="16.149999999999999">
      <c r="B19" s="201" t="s">
        <v>277</v>
      </c>
      <c r="C19" s="201"/>
      <c r="D19" s="48">
        <f>D17*D18</f>
        <v>79200</v>
      </c>
      <c r="E19" s="48" t="s">
        <v>381</v>
      </c>
    </row>
    <row r="20" spans="2:15">
      <c r="B20" s="201" t="s">
        <v>397</v>
      </c>
      <c r="C20" s="201"/>
      <c r="D20" s="48">
        <f>SUM('Diseño Asfalto'!AA58:AA61)/100</f>
        <v>0.5</v>
      </c>
      <c r="E20" s="48" t="s">
        <v>48</v>
      </c>
    </row>
    <row r="21" spans="2:15" ht="15" customHeight="1"/>
    <row r="24" spans="2:15" ht="16.149999999999999">
      <c r="B24" s="113" t="s">
        <v>398</v>
      </c>
      <c r="C24" s="249" t="s">
        <v>168</v>
      </c>
      <c r="D24" s="249"/>
      <c r="E24" s="249" t="s">
        <v>399</v>
      </c>
      <c r="F24" s="249"/>
      <c r="G24" s="249" t="s">
        <v>400</v>
      </c>
      <c r="H24" s="249"/>
      <c r="I24" s="249" t="s">
        <v>401</v>
      </c>
      <c r="J24" s="249"/>
      <c r="K24" s="249" t="s">
        <v>391</v>
      </c>
      <c r="L24" s="249"/>
    </row>
    <row r="25" spans="2:15">
      <c r="B25" s="48">
        <v>1</v>
      </c>
      <c r="C25" s="204">
        <v>0.4</v>
      </c>
      <c r="D25" s="204"/>
      <c r="E25" s="204">
        <f>D20*D19</f>
        <v>39600</v>
      </c>
      <c r="F25" s="204"/>
      <c r="G25" s="242">
        <f>E25*$J$6</f>
        <v>589089600</v>
      </c>
      <c r="H25" s="242"/>
      <c r="I25" s="242">
        <f>'Diseño Asfalto'!K50</f>
        <v>3475142352</v>
      </c>
      <c r="J25" s="204"/>
      <c r="K25" s="242">
        <f>I25+G25+$L$13</f>
        <v>5139124452</v>
      </c>
      <c r="L25" s="204"/>
    </row>
    <row r="26" spans="2:15" ht="14.45" customHeight="1">
      <c r="B26" s="48">
        <v>2</v>
      </c>
      <c r="C26" s="204">
        <v>0.4</v>
      </c>
      <c r="D26" s="204"/>
      <c r="E26" s="204">
        <f>E25</f>
        <v>39600</v>
      </c>
      <c r="F26" s="204"/>
      <c r="G26" s="242">
        <f t="shared" ref="G26:G27" si="0">E26*$J$6</f>
        <v>589089600</v>
      </c>
      <c r="H26" s="242"/>
      <c r="I26" s="242">
        <f>'Diseño Asfalto'!K60</f>
        <v>3421729872</v>
      </c>
      <c r="J26" s="204"/>
      <c r="K26" s="242">
        <f t="shared" ref="K26:K30" si="1">I26+G26+$L$13</f>
        <v>5085711972</v>
      </c>
      <c r="L26" s="204"/>
    </row>
    <row r="27" spans="2:15">
      <c r="B27" s="48">
        <v>3</v>
      </c>
      <c r="C27" s="204">
        <v>0.3</v>
      </c>
      <c r="D27" s="204"/>
      <c r="E27" s="204">
        <f>(D20-0.15)*D19</f>
        <v>27720</v>
      </c>
      <c r="F27" s="204"/>
      <c r="G27" s="242">
        <f t="shared" si="0"/>
        <v>412362720</v>
      </c>
      <c r="H27" s="242"/>
      <c r="I27" s="246">
        <f>'Diseño Asfalto'!K69</f>
        <v>4339114560</v>
      </c>
      <c r="J27" s="251"/>
      <c r="K27" s="242">
        <f t="shared" si="1"/>
        <v>5826369780</v>
      </c>
      <c r="L27" s="204"/>
    </row>
    <row r="28" spans="2:15" ht="14.45" customHeight="1">
      <c r="B28">
        <v>1</v>
      </c>
      <c r="G28" s="248">
        <v>589089600</v>
      </c>
      <c r="H28" s="250"/>
      <c r="I28" s="242">
        <v>4163421240</v>
      </c>
      <c r="J28" s="242"/>
      <c r="K28" s="242">
        <f t="shared" si="1"/>
        <v>5827403340</v>
      </c>
      <c r="L28" s="204"/>
    </row>
    <row r="29" spans="2:15">
      <c r="B29">
        <v>2</v>
      </c>
      <c r="G29" s="248">
        <v>589089601</v>
      </c>
      <c r="H29" s="250"/>
      <c r="I29" s="242">
        <v>4245526296</v>
      </c>
      <c r="J29" s="242"/>
      <c r="K29" s="242">
        <f t="shared" si="1"/>
        <v>5909508397</v>
      </c>
      <c r="L29" s="204"/>
    </row>
    <row r="30" spans="2:15" ht="14.45" customHeight="1">
      <c r="B30">
        <v>3</v>
      </c>
      <c r="G30" s="248">
        <v>589089602</v>
      </c>
      <c r="H30" s="250"/>
      <c r="I30" s="242">
        <v>3992945616</v>
      </c>
      <c r="J30" s="242"/>
      <c r="K30" s="242">
        <f t="shared" si="1"/>
        <v>5656927718</v>
      </c>
      <c r="L30" s="204"/>
    </row>
    <row r="31" spans="2:15">
      <c r="O31">
        <v>4163421240</v>
      </c>
    </row>
    <row r="37" spans="8:10" ht="15.6">
      <c r="H37" s="158"/>
      <c r="I37" s="158"/>
      <c r="J37" s="158"/>
    </row>
    <row r="38" spans="8:10" ht="15.6">
      <c r="H38" s="158"/>
      <c r="I38" s="158"/>
      <c r="J38" s="158"/>
    </row>
    <row r="39" spans="8:10" ht="15.6">
      <c r="H39" s="158"/>
      <c r="I39" s="158"/>
      <c r="J39" s="158"/>
    </row>
    <row r="40" spans="8:10" ht="15.6">
      <c r="H40" s="158"/>
      <c r="I40" s="158"/>
      <c r="J40" s="158"/>
    </row>
    <row r="41" spans="8:10" ht="15.6">
      <c r="H41" s="158"/>
      <c r="I41" s="158"/>
      <c r="J41" s="158"/>
    </row>
    <row r="42" spans="8:10" ht="15.6">
      <c r="H42" s="158"/>
      <c r="I42" s="158"/>
      <c r="J42" s="158"/>
    </row>
  </sheetData>
  <mergeCells count="55">
    <mergeCell ref="C27:D27"/>
    <mergeCell ref="E27:F27"/>
    <mergeCell ref="G27:H27"/>
    <mergeCell ref="K30:L30"/>
    <mergeCell ref="K26:L26"/>
    <mergeCell ref="G28:H28"/>
    <mergeCell ref="G29:H29"/>
    <mergeCell ref="G30:H30"/>
    <mergeCell ref="I28:J28"/>
    <mergeCell ref="I29:J29"/>
    <mergeCell ref="I30:J30"/>
    <mergeCell ref="K28:L28"/>
    <mergeCell ref="K29:L29"/>
    <mergeCell ref="I27:J27"/>
    <mergeCell ref="K27:L27"/>
    <mergeCell ref="B18:C18"/>
    <mergeCell ref="B19:C19"/>
    <mergeCell ref="B20:C20"/>
    <mergeCell ref="I26:J26"/>
    <mergeCell ref="C26:D26"/>
    <mergeCell ref="E26:F26"/>
    <mergeCell ref="C25:D25"/>
    <mergeCell ref="C24:D24"/>
    <mergeCell ref="E25:F25"/>
    <mergeCell ref="G25:H25"/>
    <mergeCell ref="G26:H26"/>
    <mergeCell ref="K24:L24"/>
    <mergeCell ref="I25:J25"/>
    <mergeCell ref="E24:F24"/>
    <mergeCell ref="G24:H24"/>
    <mergeCell ref="I24:J24"/>
    <mergeCell ref="K25:L25"/>
    <mergeCell ref="B11:D11"/>
    <mergeCell ref="B12:D12"/>
    <mergeCell ref="B15:N15"/>
    <mergeCell ref="G17:N17"/>
    <mergeCell ref="L13:M13"/>
    <mergeCell ref="B17:C17"/>
    <mergeCell ref="J10:K10"/>
    <mergeCell ref="J11:K11"/>
    <mergeCell ref="J12:K12"/>
    <mergeCell ref="L10:M10"/>
    <mergeCell ref="L11:M11"/>
    <mergeCell ref="L12:M12"/>
    <mergeCell ref="B10:D10"/>
    <mergeCell ref="B3:I3"/>
    <mergeCell ref="B4:I4"/>
    <mergeCell ref="B5:I5"/>
    <mergeCell ref="B6:I6"/>
    <mergeCell ref="J3:K3"/>
    <mergeCell ref="J4:K4"/>
    <mergeCell ref="J5:K5"/>
    <mergeCell ref="J6:K6"/>
    <mergeCell ref="B8:C8"/>
    <mergeCell ref="K8:L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BB1D1-9B55-41DF-97A4-4ED0120FF13D}">
  <dimension ref="D56:AH91"/>
  <sheetViews>
    <sheetView topLeftCell="W76" zoomScale="85" zoomScaleNormal="85" workbookViewId="0">
      <selection activeCell="C44" sqref="C44"/>
    </sheetView>
  </sheetViews>
  <sheetFormatPr defaultColWidth="8.85546875" defaultRowHeight="14.45"/>
  <sheetData>
    <row r="56" spans="4:34">
      <c r="S56" s="179" t="s">
        <v>402</v>
      </c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</row>
    <row r="57" spans="4:34">
      <c r="D57" s="179" t="s">
        <v>403</v>
      </c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</row>
    <row r="85" spans="4:32">
      <c r="W85" s="179" t="s">
        <v>404</v>
      </c>
      <c r="X85" s="179"/>
      <c r="Y85" s="179"/>
      <c r="Z85" s="179"/>
      <c r="AA85" s="179"/>
      <c r="AB85" s="179"/>
      <c r="AC85" s="179"/>
      <c r="AD85" s="179"/>
      <c r="AE85" s="179"/>
      <c r="AF85" s="179"/>
    </row>
    <row r="86" spans="4:32">
      <c r="W86" s="179"/>
      <c r="X86" s="179"/>
      <c r="Y86" s="179"/>
      <c r="Z86" s="179"/>
      <c r="AA86" s="179"/>
      <c r="AB86" s="179"/>
      <c r="AC86" s="179"/>
      <c r="AD86" s="179"/>
      <c r="AE86" s="179"/>
      <c r="AF86" s="179"/>
    </row>
    <row r="88" spans="4:32" ht="14.45" customHeight="1">
      <c r="X88" s="179" t="s">
        <v>405</v>
      </c>
      <c r="Y88" s="179"/>
      <c r="Z88" s="179"/>
      <c r="AA88" s="179"/>
      <c r="AB88" s="179"/>
      <c r="AC88" s="179"/>
      <c r="AD88" s="179"/>
      <c r="AE88" s="179"/>
      <c r="AF88" s="179"/>
    </row>
    <row r="91" spans="4:32">
      <c r="D91" s="179" t="s">
        <v>406</v>
      </c>
      <c r="E91" s="179"/>
      <c r="F91" s="179"/>
      <c r="G91" s="179"/>
      <c r="H91" s="179"/>
      <c r="I91" s="179"/>
      <c r="J91" s="179"/>
      <c r="K91" s="179"/>
      <c r="L91" s="179"/>
      <c r="M91" s="179"/>
      <c r="N91" s="179"/>
      <c r="O91" s="179"/>
      <c r="P91" s="179"/>
      <c r="Q91" s="179"/>
      <c r="R91" s="179"/>
      <c r="S91" s="179"/>
      <c r="T91" s="179"/>
    </row>
  </sheetData>
  <mergeCells count="5">
    <mergeCell ref="S56:AH56"/>
    <mergeCell ref="D57:Q57"/>
    <mergeCell ref="D91:T91"/>
    <mergeCell ref="W85:AF86"/>
    <mergeCell ref="X88:AF8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Gabriel Torres Samit</dc:creator>
  <cp:keywords/>
  <dc:description/>
  <cp:lastModifiedBy>Gabriel Matías Torres Samit</cp:lastModifiedBy>
  <cp:revision/>
  <dcterms:created xsi:type="dcterms:W3CDTF">2015-06-05T18:17:20Z</dcterms:created>
  <dcterms:modified xsi:type="dcterms:W3CDTF">2024-11-18T11:32:33Z</dcterms:modified>
  <cp:category/>
  <cp:contentStatus/>
</cp:coreProperties>
</file>