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tiff" ContentType="image/tif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harts/chart7.xml" ContentType="application/vnd.openxmlformats-officedocument.drawingml.chart+xml"/>
  <Override PartName="/xl/drawings/drawing14.xml" ContentType="application/vnd.openxmlformats-officedocument.drawingml.chartshapes+xml"/>
  <Override PartName="/xl/drawings/drawing1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16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17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18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19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dsmetering-my.sharepoint.com/personal/m_bandeira_odsenergysolutions_com/Documents/Documents/CI_Export_app/"/>
    </mc:Choice>
  </mc:AlternateContent>
  <xr:revisionPtr revIDLastSave="0" documentId="13_ncr:1_{BAA6097D-32F9-4ED7-9F57-D0233F3847AA}" xr6:coauthVersionLast="47" xr6:coauthVersionMax="47" xr10:uidLastSave="{00000000-0000-0000-0000-000000000000}"/>
  <bookViews>
    <workbookView xWindow="-110" yWindow="-110" windowWidth="19420" windowHeight="10300" tabRatio="857" xr2:uid="{00000000-000D-0000-FFFF-FFFF00000000}"/>
  </bookViews>
  <sheets>
    <sheet name="Report" sheetId="66" r:id="rId1"/>
    <sheet name="Gas parameters" sheetId="67" r:id="rId2"/>
    <sheet name="Meter run parameters" sheetId="68" r:id="rId3"/>
    <sheet name="Coef Disc &amp; Expansao" sheetId="69" r:id="rId4"/>
    <sheet name="Metering station" sheetId="70" r:id="rId5"/>
    <sheet name="Equipment List" sheetId="73" r:id="rId6"/>
    <sheet name="Chromatography" sheetId="80" r:id="rId7"/>
    <sheet name="Graph Vazão Volumétrica" sheetId="77" r:id="rId8"/>
    <sheet name="Graph Vazão Mássica" sheetId="13" r:id="rId9"/>
    <sheet name="Graph DP" sheetId="75" r:id="rId10"/>
    <sheet name="GraphNET" sheetId="72" state="hidden" r:id="rId11"/>
    <sheet name="INTERNAL" sheetId="71" state="hidden" r:id="rId12"/>
    <sheet name="Graph menu" sheetId="12" state="hidden" r:id="rId13"/>
    <sheet name="Plot data" sheetId="58" state="hidden" r:id="rId14"/>
    <sheet name="Gráfico1" sheetId="74" r:id="rId15"/>
    <sheet name="Gráfico2" sheetId="78" r:id="rId16"/>
    <sheet name="Gráfico3" sheetId="79" r:id="rId17"/>
    <sheet name="Sensitivity coefficients" sheetId="62" r:id="rId18"/>
    <sheet name="Kladd-plottedata" sheetId="63" state="hidden" r:id="rId19"/>
  </sheets>
  <definedNames>
    <definedName name="_95____normal">#N/A</definedName>
    <definedName name="_xlnm.Print_Area" localSheetId="3">'Coef Disc &amp; Expansao'!$A$1:$Q$135</definedName>
    <definedName name="_xlnm.Print_Area" localSheetId="5">'Equipment List'!$A$1:$J$25</definedName>
    <definedName name="_xlnm.Print_Area" localSheetId="1">'Gas parameters'!$A$1:$Q$135</definedName>
    <definedName name="_xlnm.Print_Area" localSheetId="12">#N/A</definedName>
    <definedName name="_xlnm.Print_Area" localSheetId="2">'Meter run parameters'!$A$1:$Q$100</definedName>
    <definedName name="_xlnm.Print_Area" localSheetId="4">'Metering station'!$A$1:$T$74</definedName>
    <definedName name="_xlnm.Print_Area" localSheetId="13">#N/A</definedName>
    <definedName name="_xlnm.Print_Area" localSheetId="0">Report!$A$1:$L$229</definedName>
    <definedName name="bCalcType" localSheetId="15">Gráfico2!$G$7</definedName>
    <definedName name="bCalcType" localSheetId="16">Gráfico3!$G$7</definedName>
    <definedName name="bCalcType">Gráfico1!$G$7</definedName>
    <definedName name="DPCutoff">'Gas parameters'!$O$26</definedName>
    <definedName name="rDPmax" localSheetId="14">Gráfico1!$G$4</definedName>
    <definedName name="rDPmax" localSheetId="15">Gráfico2!$G$4</definedName>
    <definedName name="rDPmax" localSheetId="16">Gráfico3!$G$4</definedName>
    <definedName name="rDPMin" localSheetId="14">Gráfico1!$G$6</definedName>
    <definedName name="rDPMin" localSheetId="15">Gráfico2!$G$6</definedName>
    <definedName name="rDPMin" localSheetId="16">Gráfico3!$G$6</definedName>
    <definedName name="rDPvar">Report!$E$86</definedName>
    <definedName name="rFlow">'Metering station'!$H$11</definedName>
    <definedName name="rMaxUnc" localSheetId="14">Gráfico1!$G$2</definedName>
    <definedName name="rMaxUnc" localSheetId="15">Gráfico2!$G$2</definedName>
    <definedName name="rMaxUnc" localSheetId="16">Gráfico3!$G$2</definedName>
    <definedName name="rMinUnc" localSheetId="14">Gráfico1!$G$3</definedName>
    <definedName name="rMinUnc" localSheetId="15">Gráfico2!$G$3</definedName>
    <definedName name="rMinUnc" localSheetId="16">Gráfico3!$G$3</definedName>
    <definedName name="rUnc">'Metering station'!$R$71</definedName>
    <definedName name="vDP" localSheetId="14">Gráfico1!$E$2:$E$41</definedName>
    <definedName name="vDP" localSheetId="15">Gráfico2!$E$2:$E$41</definedName>
    <definedName name="vDP" localSheetId="16">Gráfico3!$E$2:$E$41</definedName>
    <definedName name="vFlow" localSheetId="14">Gráfico1!$D$2:$D$41</definedName>
    <definedName name="vFlow" localSheetId="15">Gráfico2!$D$2:$D$42</definedName>
    <definedName name="vFlow" localSheetId="16">Gráfico3!$D$2:$D$42</definedName>
    <definedName name="vUnc" localSheetId="14">Gráfico1!$C$2:$C$41</definedName>
    <definedName name="vUnc" localSheetId="15">Gráfico2!$C$2:$C$42</definedName>
    <definedName name="vUnc" localSheetId="16">Gráfico3!$C$2:$C$42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5" i="67" l="1"/>
  <c r="E93" i="67"/>
  <c r="E35" i="67"/>
  <c r="E33" i="67"/>
  <c r="G28" i="66" l="1"/>
  <c r="F28" i="66"/>
  <c r="E28" i="66"/>
  <c r="C28" i="66"/>
  <c r="D28" i="66"/>
  <c r="D34" i="66" l="1"/>
  <c r="D33" i="66"/>
  <c r="D32" i="66"/>
  <c r="D31" i="66"/>
  <c r="D30" i="66"/>
  <c r="D29" i="66"/>
  <c r="D27" i="66"/>
  <c r="D26" i="66"/>
  <c r="G225" i="66"/>
  <c r="B173" i="66"/>
  <c r="B37" i="66"/>
  <c r="B117" i="66"/>
  <c r="N14" i="69"/>
  <c r="B72" i="66"/>
  <c r="E83" i="69"/>
  <c r="K83" i="69" s="1"/>
  <c r="E79" i="69"/>
  <c r="K79" i="69" s="1"/>
  <c r="K106" i="69"/>
  <c r="O106" i="69" s="1"/>
  <c r="O108" i="69" s="1"/>
  <c r="O110" i="69" s="1"/>
  <c r="O20" i="67"/>
  <c r="E81" i="69" s="1"/>
  <c r="K81" i="69" s="1"/>
  <c r="O18" i="67"/>
  <c r="E85" i="69" s="1"/>
  <c r="K85" i="69" s="1"/>
  <c r="L20" i="67"/>
  <c r="L18" i="67"/>
  <c r="M81" i="69" s="1"/>
  <c r="F27" i="66"/>
  <c r="F18" i="67" l="1"/>
  <c r="E127" i="69"/>
  <c r="K127" i="69" s="1"/>
  <c r="M83" i="69"/>
  <c r="O83" i="69" s="1"/>
  <c r="E125" i="69"/>
  <c r="K125" i="69" s="1"/>
  <c r="M85" i="69"/>
  <c r="O85" i="69" s="1"/>
  <c r="M125" i="69"/>
  <c r="M127" i="69"/>
  <c r="M79" i="69"/>
  <c r="O79" i="69" s="1"/>
  <c r="O81" i="69"/>
  <c r="O112" i="69"/>
  <c r="O127" i="69" l="1"/>
  <c r="O125" i="69"/>
  <c r="O90" i="69"/>
  <c r="O92" i="69" s="1"/>
  <c r="O94" i="69" s="1"/>
  <c r="F27" i="70" s="1"/>
  <c r="O129" i="69" l="1"/>
  <c r="O131" i="69" s="1"/>
  <c r="O133" i="69" s="1"/>
  <c r="F57" i="70" s="1"/>
  <c r="M57" i="70" s="1"/>
  <c r="O114" i="69"/>
  <c r="O116" i="69" s="1"/>
  <c r="O96" i="69"/>
  <c r="E152" i="66"/>
  <c r="E153" i="66"/>
  <c r="E154" i="66"/>
  <c r="E155" i="66"/>
  <c r="E156" i="66"/>
  <c r="E157" i="66"/>
  <c r="E158" i="66"/>
  <c r="E159" i="66"/>
  <c r="E160" i="66"/>
  <c r="E161" i="66"/>
  <c r="E162" i="66"/>
  <c r="E163" i="66"/>
  <c r="E164" i="66"/>
  <c r="E165" i="66"/>
  <c r="E166" i="66"/>
  <c r="E167" i="66"/>
  <c r="E168" i="66"/>
  <c r="E169" i="66"/>
  <c r="E170" i="66"/>
  <c r="E151" i="66"/>
  <c r="I25" i="66"/>
  <c r="E182" i="66"/>
  <c r="E183" i="66"/>
  <c r="E184" i="66"/>
  <c r="E185" i="66"/>
  <c r="E186" i="66"/>
  <c r="E187" i="66"/>
  <c r="E188" i="66"/>
  <c r="E189" i="66"/>
  <c r="E190" i="66"/>
  <c r="E191" i="66"/>
  <c r="E192" i="66"/>
  <c r="E193" i="66"/>
  <c r="E194" i="66"/>
  <c r="E195" i="66"/>
  <c r="E196" i="66"/>
  <c r="E197" i="66"/>
  <c r="E198" i="66"/>
  <c r="E199" i="66"/>
  <c r="E200" i="66"/>
  <c r="E181" i="66"/>
  <c r="C182" i="66"/>
  <c r="C183" i="66"/>
  <c r="C184" i="66"/>
  <c r="C185" i="66"/>
  <c r="C186" i="66"/>
  <c r="C187" i="66"/>
  <c r="C188" i="66"/>
  <c r="C189" i="66"/>
  <c r="C190" i="66"/>
  <c r="C191" i="66"/>
  <c r="C192" i="66"/>
  <c r="C193" i="66"/>
  <c r="C194" i="66"/>
  <c r="C195" i="66"/>
  <c r="C196" i="66"/>
  <c r="C197" i="66"/>
  <c r="C198" i="66"/>
  <c r="C199" i="66"/>
  <c r="C200" i="66"/>
  <c r="C181" i="66"/>
  <c r="C152" i="66"/>
  <c r="C153" i="66"/>
  <c r="C154" i="66"/>
  <c r="C155" i="66"/>
  <c r="C156" i="66"/>
  <c r="C157" i="66"/>
  <c r="C158" i="66"/>
  <c r="C159" i="66"/>
  <c r="C160" i="66"/>
  <c r="C161" i="66"/>
  <c r="C162" i="66"/>
  <c r="C163" i="66"/>
  <c r="C164" i="66"/>
  <c r="C165" i="66"/>
  <c r="C166" i="66"/>
  <c r="C167" i="66"/>
  <c r="C168" i="66"/>
  <c r="C169" i="66"/>
  <c r="C170" i="66"/>
  <c r="E128" i="66"/>
  <c r="E129" i="66"/>
  <c r="E130" i="66"/>
  <c r="E131" i="66"/>
  <c r="E132" i="66"/>
  <c r="E133" i="66"/>
  <c r="E134" i="66"/>
  <c r="E135" i="66"/>
  <c r="E136" i="66"/>
  <c r="E137" i="66"/>
  <c r="E138" i="66"/>
  <c r="E139" i="66"/>
  <c r="E140" i="66"/>
  <c r="E141" i="66"/>
  <c r="E142" i="66"/>
  <c r="E143" i="66"/>
  <c r="E144" i="66"/>
  <c r="E145" i="66"/>
  <c r="E146" i="66"/>
  <c r="C128" i="66"/>
  <c r="C129" i="66"/>
  <c r="C130" i="66"/>
  <c r="C131" i="66"/>
  <c r="C132" i="66"/>
  <c r="C133" i="66"/>
  <c r="C134" i="66"/>
  <c r="C135" i="66"/>
  <c r="C136" i="66"/>
  <c r="C137" i="66"/>
  <c r="C138" i="66"/>
  <c r="C139" i="66"/>
  <c r="C140" i="66"/>
  <c r="C141" i="66"/>
  <c r="C142" i="66"/>
  <c r="C143" i="66"/>
  <c r="C144" i="66"/>
  <c r="C145" i="66"/>
  <c r="C146" i="66"/>
  <c r="C151" i="66"/>
  <c r="D112" i="66"/>
  <c r="D111" i="66"/>
  <c r="D110" i="66"/>
  <c r="D109" i="66"/>
  <c r="D108" i="66"/>
  <c r="D95" i="66"/>
  <c r="D94" i="66"/>
  <c r="D93" i="66"/>
  <c r="D92" i="66"/>
  <c r="D91" i="66"/>
  <c r="C57" i="66"/>
  <c r="D57" i="66"/>
  <c r="E57" i="66"/>
  <c r="B57" i="66"/>
  <c r="O98" i="69" l="1"/>
  <c r="E87" i="66"/>
  <c r="F26" i="66"/>
  <c r="E41" i="78"/>
  <c r="I53" i="68"/>
  <c r="K113" i="67"/>
  <c r="O113" i="67" s="1"/>
  <c r="G33" i="66"/>
  <c r="C61" i="66"/>
  <c r="D61" i="66"/>
  <c r="E61" i="66"/>
  <c r="C62" i="66"/>
  <c r="D62" i="66"/>
  <c r="E62" i="66"/>
  <c r="C63" i="66"/>
  <c r="D63" i="66"/>
  <c r="E63" i="66"/>
  <c r="C64" i="66"/>
  <c r="D64" i="66"/>
  <c r="E64" i="66"/>
  <c r="C65" i="66"/>
  <c r="D65" i="66"/>
  <c r="E65" i="66"/>
  <c r="C66" i="66"/>
  <c r="D66" i="66"/>
  <c r="E66" i="66"/>
  <c r="B60" i="66"/>
  <c r="B59" i="66"/>
  <c r="G45" i="66"/>
  <c r="H45" i="66"/>
  <c r="I45" i="66"/>
  <c r="G46" i="66"/>
  <c r="H46" i="66"/>
  <c r="I46" i="66"/>
  <c r="G47" i="66"/>
  <c r="H47" i="66"/>
  <c r="I47" i="66"/>
  <c r="G48" i="66"/>
  <c r="H48" i="66"/>
  <c r="I48" i="66"/>
  <c r="G49" i="66"/>
  <c r="H49" i="66"/>
  <c r="I49" i="66"/>
  <c r="G50" i="66"/>
  <c r="H50" i="66"/>
  <c r="I50" i="66"/>
  <c r="G51" i="66"/>
  <c r="H51" i="66"/>
  <c r="I51" i="66"/>
  <c r="G52" i="66"/>
  <c r="H52" i="66"/>
  <c r="I52" i="66"/>
  <c r="F44" i="66"/>
  <c r="F43" i="66"/>
  <c r="B46" i="66"/>
  <c r="B47" i="66"/>
  <c r="B48" i="66"/>
  <c r="B49" i="66"/>
  <c r="B50" i="66"/>
  <c r="B51" i="66"/>
  <c r="B52" i="66"/>
  <c r="B53" i="66"/>
  <c r="B54" i="66"/>
  <c r="B55" i="66"/>
  <c r="B56" i="66"/>
  <c r="B45" i="66"/>
  <c r="C56" i="66"/>
  <c r="C46" i="66"/>
  <c r="D46" i="66"/>
  <c r="E46" i="66"/>
  <c r="C47" i="66"/>
  <c r="D47" i="66"/>
  <c r="E47" i="66"/>
  <c r="C48" i="66"/>
  <c r="D48" i="66"/>
  <c r="E48" i="66"/>
  <c r="C49" i="66"/>
  <c r="D49" i="66"/>
  <c r="E49" i="66"/>
  <c r="C50" i="66"/>
  <c r="D50" i="66"/>
  <c r="E50" i="66"/>
  <c r="C51" i="66"/>
  <c r="D51" i="66"/>
  <c r="E51" i="66"/>
  <c r="C52" i="66"/>
  <c r="D52" i="66"/>
  <c r="E52" i="66"/>
  <c r="C53" i="66"/>
  <c r="D53" i="66"/>
  <c r="E53" i="66"/>
  <c r="C54" i="66"/>
  <c r="D54" i="66"/>
  <c r="E54" i="66"/>
  <c r="C55" i="66"/>
  <c r="D55" i="66"/>
  <c r="E55" i="66"/>
  <c r="D56" i="66"/>
  <c r="E56" i="66"/>
  <c r="D45" i="66"/>
  <c r="E45" i="66"/>
  <c r="C45" i="66"/>
  <c r="F16" i="67"/>
  <c r="F48" i="69" s="1"/>
  <c r="B67" i="62" s="1"/>
  <c r="H12" i="70"/>
  <c r="B26" i="12" s="1"/>
  <c r="F14" i="67"/>
  <c r="C18" i="66" s="1"/>
  <c r="O14" i="67"/>
  <c r="P57" i="70" s="1"/>
  <c r="R57" i="70" s="1"/>
  <c r="C23" i="66"/>
  <c r="G4" i="79"/>
  <c r="E2" i="79" s="1"/>
  <c r="G4" i="78"/>
  <c r="E2" i="78" s="1"/>
  <c r="B24" i="67"/>
  <c r="B22" i="67"/>
  <c r="B20" i="67"/>
  <c r="K53" i="67"/>
  <c r="O53" i="67" s="1"/>
  <c r="G32" i="66"/>
  <c r="F32" i="66"/>
  <c r="E32" i="66"/>
  <c r="K55" i="67"/>
  <c r="O55" i="67" s="1"/>
  <c r="I32" i="66"/>
  <c r="C32" i="66"/>
  <c r="AH32" i="63"/>
  <c r="AH33" i="63" s="1"/>
  <c r="AH34" i="63" s="1"/>
  <c r="AH35" i="63" s="1"/>
  <c r="AH36" i="63" s="1"/>
  <c r="AH37" i="63" s="1"/>
  <c r="AH38" i="63" s="1"/>
  <c r="AH39" i="63" s="1"/>
  <c r="AH40" i="63" s="1"/>
  <c r="AH41" i="63" s="1"/>
  <c r="AH42" i="63" s="1"/>
  <c r="AH43" i="63" s="1"/>
  <c r="AH44" i="63" s="1"/>
  <c r="AH45" i="63" s="1"/>
  <c r="AH46" i="63" s="1"/>
  <c r="AH47" i="63" s="1"/>
  <c r="AG32" i="63"/>
  <c r="AG33" i="63" s="1"/>
  <c r="AG34" i="63" s="1"/>
  <c r="AG35" i="63" s="1"/>
  <c r="AG36" i="63" s="1"/>
  <c r="AG37" i="63" s="1"/>
  <c r="AG38" i="63" s="1"/>
  <c r="AG39" i="63" s="1"/>
  <c r="AG40" i="63" s="1"/>
  <c r="AG41" i="63" s="1"/>
  <c r="AG42" i="63" s="1"/>
  <c r="AG43" i="63" s="1"/>
  <c r="AG44" i="63" s="1"/>
  <c r="AG45" i="63" s="1"/>
  <c r="AG46" i="63" s="1"/>
  <c r="AG47" i="63" s="1"/>
  <c r="H32" i="63"/>
  <c r="H33" i="63" s="1"/>
  <c r="H34" i="63" s="1"/>
  <c r="H35" i="63" s="1"/>
  <c r="H36" i="63" s="1"/>
  <c r="H37" i="63" s="1"/>
  <c r="H38" i="63" s="1"/>
  <c r="H39" i="63" s="1"/>
  <c r="H40" i="63" s="1"/>
  <c r="H41" i="63" s="1"/>
  <c r="H42" i="63" s="1"/>
  <c r="H43" i="63" s="1"/>
  <c r="H44" i="63" s="1"/>
  <c r="H45" i="63" s="1"/>
  <c r="H46" i="63" s="1"/>
  <c r="H47" i="63" s="1"/>
  <c r="F32" i="63"/>
  <c r="F33" i="63" s="1"/>
  <c r="F34" i="63" s="1"/>
  <c r="F35" i="63" s="1"/>
  <c r="F36" i="63" s="1"/>
  <c r="F37" i="63" s="1"/>
  <c r="F38" i="63" s="1"/>
  <c r="F39" i="63" s="1"/>
  <c r="F40" i="63" s="1"/>
  <c r="F41" i="63" s="1"/>
  <c r="F42" i="63" s="1"/>
  <c r="F43" i="63" s="1"/>
  <c r="F44" i="63" s="1"/>
  <c r="F45" i="63" s="1"/>
  <c r="F46" i="63" s="1"/>
  <c r="F47" i="63" s="1"/>
  <c r="E32" i="63"/>
  <c r="E33" i="63" s="1"/>
  <c r="AH31" i="63"/>
  <c r="AG31" i="63"/>
  <c r="H31" i="63"/>
  <c r="F31" i="63"/>
  <c r="E31" i="63"/>
  <c r="AL31" i="63" s="1"/>
  <c r="AH30" i="63"/>
  <c r="AG30" i="63"/>
  <c r="H30" i="63"/>
  <c r="F30" i="63"/>
  <c r="E30" i="63"/>
  <c r="AH29" i="63"/>
  <c r="AG29" i="63"/>
  <c r="H29" i="63"/>
  <c r="F29" i="63"/>
  <c r="E29" i="63"/>
  <c r="AH28" i="63"/>
  <c r="AG28" i="63"/>
  <c r="H28" i="63"/>
  <c r="F28" i="63"/>
  <c r="E28" i="63"/>
  <c r="AL28" i="63" s="1"/>
  <c r="AL27" i="63"/>
  <c r="AH27" i="63"/>
  <c r="AG27" i="63"/>
  <c r="H27" i="63"/>
  <c r="F27" i="63"/>
  <c r="E27" i="63"/>
  <c r="AF27" i="63" s="1"/>
  <c r="AH26" i="63"/>
  <c r="AG26" i="63"/>
  <c r="H26" i="63"/>
  <c r="F26" i="63"/>
  <c r="E26" i="63"/>
  <c r="AH25" i="63"/>
  <c r="AG25" i="63"/>
  <c r="H25" i="63"/>
  <c r="F25" i="63"/>
  <c r="E25" i="63"/>
  <c r="AH24" i="63"/>
  <c r="AG24" i="63"/>
  <c r="H24" i="63"/>
  <c r="F24" i="63"/>
  <c r="E24" i="63"/>
  <c r="AH23" i="63"/>
  <c r="AG23" i="63"/>
  <c r="H23" i="63"/>
  <c r="F23" i="63"/>
  <c r="E23" i="63"/>
  <c r="AH22" i="63"/>
  <c r="AG22" i="63"/>
  <c r="H22" i="63"/>
  <c r="F22" i="63"/>
  <c r="E22" i="63"/>
  <c r="AH21" i="63"/>
  <c r="AG21" i="63"/>
  <c r="H21" i="63"/>
  <c r="F21" i="63"/>
  <c r="E21" i="63"/>
  <c r="AF21" i="63" s="1"/>
  <c r="AL20" i="63"/>
  <c r="AH20" i="63"/>
  <c r="AG20" i="63"/>
  <c r="H20" i="63"/>
  <c r="F20" i="63"/>
  <c r="E20" i="63"/>
  <c r="AF20" i="63" s="1"/>
  <c r="AH19" i="63"/>
  <c r="AG19" i="63"/>
  <c r="H19" i="63"/>
  <c r="F19" i="63"/>
  <c r="E19" i="63"/>
  <c r="AH18" i="63"/>
  <c r="AG18" i="63"/>
  <c r="H18" i="63"/>
  <c r="F18" i="63"/>
  <c r="E18" i="63"/>
  <c r="AH17" i="63"/>
  <c r="AG17" i="63"/>
  <c r="H17" i="63"/>
  <c r="F17" i="63"/>
  <c r="E17" i="63"/>
  <c r="AF17" i="63" s="1"/>
  <c r="AL16" i="63"/>
  <c r="AH16" i="63"/>
  <c r="AG16" i="63"/>
  <c r="H16" i="63"/>
  <c r="F16" i="63"/>
  <c r="E16" i="63"/>
  <c r="AF16" i="63" s="1"/>
  <c r="AH15" i="63"/>
  <c r="AG15" i="63"/>
  <c r="H15" i="63"/>
  <c r="F15" i="63"/>
  <c r="E15" i="63"/>
  <c r="AL15" i="63" s="1"/>
  <c r="AL14" i="63"/>
  <c r="AH14" i="63"/>
  <c r="AG14" i="63"/>
  <c r="H14" i="63"/>
  <c r="F14" i="63"/>
  <c r="E14" i="63"/>
  <c r="AF14" i="63" s="1"/>
  <c r="AH13" i="63"/>
  <c r="AG13" i="63"/>
  <c r="H13" i="63"/>
  <c r="F13" i="63"/>
  <c r="E13" i="63"/>
  <c r="AF13" i="63" s="1"/>
  <c r="AH12" i="63"/>
  <c r="AG12" i="63"/>
  <c r="H12" i="63"/>
  <c r="F12" i="63"/>
  <c r="E12" i="63"/>
  <c r="AF12" i="63" s="1"/>
  <c r="AH11" i="63"/>
  <c r="AG11" i="63"/>
  <c r="H11" i="63"/>
  <c r="F11" i="63"/>
  <c r="E11" i="63"/>
  <c r="AF11" i="63" s="1"/>
  <c r="AH10" i="63"/>
  <c r="AG10" i="63"/>
  <c r="H10" i="63"/>
  <c r="F10" i="63"/>
  <c r="E10" i="63"/>
  <c r="AF10" i="63" s="1"/>
  <c r="AH9" i="63"/>
  <c r="AG9" i="63"/>
  <c r="H9" i="63"/>
  <c r="F9" i="63"/>
  <c r="E9" i="63"/>
  <c r="AF9" i="63" s="1"/>
  <c r="AH8" i="63"/>
  <c r="AG8" i="63"/>
  <c r="H8" i="63"/>
  <c r="F8" i="63"/>
  <c r="E8" i="63"/>
  <c r="AF8" i="63" s="1"/>
  <c r="AH7" i="63"/>
  <c r="AG7" i="63"/>
  <c r="H7" i="63"/>
  <c r="F7" i="63"/>
  <c r="E7" i="63"/>
  <c r="AL7" i="63" s="1"/>
  <c r="AH6" i="63"/>
  <c r="AG6" i="63"/>
  <c r="H6" i="63"/>
  <c r="F6" i="63"/>
  <c r="E6" i="63"/>
  <c r="AL6" i="63" s="1"/>
  <c r="AL5" i="63"/>
  <c r="AH5" i="63"/>
  <c r="AG5" i="63"/>
  <c r="AF5" i="63"/>
  <c r="H5" i="63"/>
  <c r="F5" i="63"/>
  <c r="E5" i="63"/>
  <c r="AH4" i="63"/>
  <c r="AG4" i="63"/>
  <c r="H4" i="63"/>
  <c r="F4" i="63"/>
  <c r="E4" i="63"/>
  <c r="AL4" i="63" s="1"/>
  <c r="AN3" i="63"/>
  <c r="AN4" i="63" s="1"/>
  <c r="AN5" i="63" s="1"/>
  <c r="AN6" i="63" s="1"/>
  <c r="AN7" i="63" s="1"/>
  <c r="AN8" i="63" s="1"/>
  <c r="AN9" i="63" s="1"/>
  <c r="AN10" i="63" s="1"/>
  <c r="AN11" i="63" s="1"/>
  <c r="AN12" i="63" s="1"/>
  <c r="AN13" i="63" s="1"/>
  <c r="AN14" i="63" s="1"/>
  <c r="AN15" i="63" s="1"/>
  <c r="AN16" i="63" s="1"/>
  <c r="AN17" i="63" s="1"/>
  <c r="AN18" i="63" s="1"/>
  <c r="AN19" i="63" s="1"/>
  <c r="AN20" i="63" s="1"/>
  <c r="AN21" i="63" s="1"/>
  <c r="AN22" i="63" s="1"/>
  <c r="AN23" i="63" s="1"/>
  <c r="AN24" i="63" s="1"/>
  <c r="AN25" i="63" s="1"/>
  <c r="AN26" i="63" s="1"/>
  <c r="AN27" i="63" s="1"/>
  <c r="AN28" i="63" s="1"/>
  <c r="AN29" i="63" s="1"/>
  <c r="AN30" i="63" s="1"/>
  <c r="AN31" i="63" s="1"/>
  <c r="AN32" i="63" s="1"/>
  <c r="AN33" i="63" s="1"/>
  <c r="AN34" i="63" s="1"/>
  <c r="AN35" i="63" s="1"/>
  <c r="AN36" i="63" s="1"/>
  <c r="AN37" i="63" s="1"/>
  <c r="AN38" i="63" s="1"/>
  <c r="AN39" i="63" s="1"/>
  <c r="AN40" i="63" s="1"/>
  <c r="AN41" i="63" s="1"/>
  <c r="AN42" i="63" s="1"/>
  <c r="AN43" i="63" s="1"/>
  <c r="AN44" i="63" s="1"/>
  <c r="AN45" i="63" s="1"/>
  <c r="AN46" i="63" s="1"/>
  <c r="AN47" i="63" s="1"/>
  <c r="AM3" i="63"/>
  <c r="AH3" i="63"/>
  <c r="AG3" i="63"/>
  <c r="AA3" i="63"/>
  <c r="AA4" i="63" s="1"/>
  <c r="AA5" i="63" s="1"/>
  <c r="AA6" i="63" s="1"/>
  <c r="AA7" i="63" s="1"/>
  <c r="AA8" i="63" s="1"/>
  <c r="AA9" i="63" s="1"/>
  <c r="AA10" i="63" s="1"/>
  <c r="AA11" i="63" s="1"/>
  <c r="AA12" i="63" s="1"/>
  <c r="AA13" i="63" s="1"/>
  <c r="AA14" i="63" s="1"/>
  <c r="AA15" i="63" s="1"/>
  <c r="AA16" i="63" s="1"/>
  <c r="AA17" i="63" s="1"/>
  <c r="AA18" i="63" s="1"/>
  <c r="AA19" i="63" s="1"/>
  <c r="AA20" i="63" s="1"/>
  <c r="AA21" i="63" s="1"/>
  <c r="AA22" i="63" s="1"/>
  <c r="AA23" i="63" s="1"/>
  <c r="AA24" i="63" s="1"/>
  <c r="AA25" i="63" s="1"/>
  <c r="AA26" i="63" s="1"/>
  <c r="AA27" i="63" s="1"/>
  <c r="AA28" i="63" s="1"/>
  <c r="AA29" i="63" s="1"/>
  <c r="AA30" i="63" s="1"/>
  <c r="AA31" i="63" s="1"/>
  <c r="AA32" i="63" s="1"/>
  <c r="AA33" i="63" s="1"/>
  <c r="AA34" i="63" s="1"/>
  <c r="AA35" i="63" s="1"/>
  <c r="AA36" i="63" s="1"/>
  <c r="AA37" i="63" s="1"/>
  <c r="AA38" i="63" s="1"/>
  <c r="AA39" i="63" s="1"/>
  <c r="AA40" i="63" s="1"/>
  <c r="AA41" i="63" s="1"/>
  <c r="AA42" i="63" s="1"/>
  <c r="AA43" i="63" s="1"/>
  <c r="AA44" i="63" s="1"/>
  <c r="AA45" i="63" s="1"/>
  <c r="AA46" i="63" s="1"/>
  <c r="AA47" i="63" s="1"/>
  <c r="Y3" i="63"/>
  <c r="Y4" i="63" s="1"/>
  <c r="Y5" i="63" s="1"/>
  <c r="Y6" i="63" s="1"/>
  <c r="Y7" i="63" s="1"/>
  <c r="Y8" i="63" s="1"/>
  <c r="Y9" i="63" s="1"/>
  <c r="Y10" i="63" s="1"/>
  <c r="Y11" i="63" s="1"/>
  <c r="Y12" i="63" s="1"/>
  <c r="Y13" i="63" s="1"/>
  <c r="Y14" i="63" s="1"/>
  <c r="Y15" i="63" s="1"/>
  <c r="Y16" i="63" s="1"/>
  <c r="Y17" i="63" s="1"/>
  <c r="Y18" i="63" s="1"/>
  <c r="Y19" i="63" s="1"/>
  <c r="Y20" i="63" s="1"/>
  <c r="Y21" i="63" s="1"/>
  <c r="Y22" i="63" s="1"/>
  <c r="Y23" i="63" s="1"/>
  <c r="Y24" i="63" s="1"/>
  <c r="Y25" i="63" s="1"/>
  <c r="Y26" i="63" s="1"/>
  <c r="Y27" i="63" s="1"/>
  <c r="Y28" i="63" s="1"/>
  <c r="Y29" i="63" s="1"/>
  <c r="Y30" i="63" s="1"/>
  <c r="Y31" i="63" s="1"/>
  <c r="Y32" i="63" s="1"/>
  <c r="Y33" i="63" s="1"/>
  <c r="Y34" i="63" s="1"/>
  <c r="Y35" i="63" s="1"/>
  <c r="Y36" i="63" s="1"/>
  <c r="Y37" i="63" s="1"/>
  <c r="Y38" i="63" s="1"/>
  <c r="Y39" i="63" s="1"/>
  <c r="Y40" i="63" s="1"/>
  <c r="Y41" i="63" s="1"/>
  <c r="Y42" i="63" s="1"/>
  <c r="Y43" i="63" s="1"/>
  <c r="Y44" i="63" s="1"/>
  <c r="Y45" i="63" s="1"/>
  <c r="Y46" i="63" s="1"/>
  <c r="Y47" i="63" s="1"/>
  <c r="X3" i="63"/>
  <c r="X4" i="63" s="1"/>
  <c r="X5" i="63" s="1"/>
  <c r="X6" i="63" s="1"/>
  <c r="X7" i="63" s="1"/>
  <c r="X8" i="63" s="1"/>
  <c r="X9" i="63" s="1"/>
  <c r="X10" i="63" s="1"/>
  <c r="X11" i="63" s="1"/>
  <c r="X12" i="63" s="1"/>
  <c r="X13" i="63" s="1"/>
  <c r="X14" i="63" s="1"/>
  <c r="X15" i="63" s="1"/>
  <c r="X16" i="63" s="1"/>
  <c r="X17" i="63" s="1"/>
  <c r="X18" i="63" s="1"/>
  <c r="X19" i="63" s="1"/>
  <c r="X20" i="63" s="1"/>
  <c r="X21" i="63" s="1"/>
  <c r="X22" i="63" s="1"/>
  <c r="X23" i="63" s="1"/>
  <c r="X24" i="63" s="1"/>
  <c r="X25" i="63" s="1"/>
  <c r="X26" i="63" s="1"/>
  <c r="X27" i="63" s="1"/>
  <c r="X28" i="63" s="1"/>
  <c r="X29" i="63" s="1"/>
  <c r="X30" i="63" s="1"/>
  <c r="X31" i="63" s="1"/>
  <c r="X32" i="63" s="1"/>
  <c r="X33" i="63" s="1"/>
  <c r="X34" i="63" s="1"/>
  <c r="X35" i="63" s="1"/>
  <c r="X36" i="63" s="1"/>
  <c r="X37" i="63" s="1"/>
  <c r="X38" i="63" s="1"/>
  <c r="X39" i="63" s="1"/>
  <c r="X40" i="63" s="1"/>
  <c r="X41" i="63" s="1"/>
  <c r="X42" i="63" s="1"/>
  <c r="X43" i="63" s="1"/>
  <c r="X44" i="63" s="1"/>
  <c r="X45" i="63" s="1"/>
  <c r="X46" i="63" s="1"/>
  <c r="X47" i="63" s="1"/>
  <c r="H3" i="63"/>
  <c r="F3" i="63"/>
  <c r="E3" i="63"/>
  <c r="AL3" i="63" s="1"/>
  <c r="B71" i="62"/>
  <c r="B61" i="62"/>
  <c r="A71" i="62" s="1"/>
  <c r="J54" i="62"/>
  <c r="I54" i="62"/>
  <c r="B37" i="62"/>
  <c r="J41" i="79"/>
  <c r="J42" i="79" s="1"/>
  <c r="E41" i="79"/>
  <c r="J40" i="79"/>
  <c r="J39" i="79"/>
  <c r="J38" i="79"/>
  <c r="J37" i="79"/>
  <c r="J36" i="79"/>
  <c r="J35" i="79"/>
  <c r="J34" i="79"/>
  <c r="J33" i="79"/>
  <c r="J32" i="79"/>
  <c r="J31" i="79"/>
  <c r="J30" i="79"/>
  <c r="J29" i="79"/>
  <c r="J28" i="79"/>
  <c r="J27" i="79"/>
  <c r="J26" i="79"/>
  <c r="J25" i="79"/>
  <c r="J24" i="79"/>
  <c r="J23" i="79"/>
  <c r="J22" i="79"/>
  <c r="J21" i="79"/>
  <c r="J20" i="79"/>
  <c r="J19" i="79"/>
  <c r="J18" i="79"/>
  <c r="J17" i="79"/>
  <c r="J16" i="79"/>
  <c r="J15" i="79"/>
  <c r="J14" i="79"/>
  <c r="J13" i="79"/>
  <c r="J12" i="79"/>
  <c r="J11" i="79"/>
  <c r="J10" i="79"/>
  <c r="J9" i="79"/>
  <c r="J8" i="79"/>
  <c r="J7" i="79"/>
  <c r="J6" i="79"/>
  <c r="J5" i="79"/>
  <c r="J4" i="79"/>
  <c r="J3" i="79"/>
  <c r="J2" i="79"/>
  <c r="J41" i="78"/>
  <c r="J42" i="78" s="1"/>
  <c r="J40" i="78"/>
  <c r="J39" i="78"/>
  <c r="J38" i="78"/>
  <c r="J37" i="78"/>
  <c r="J36" i="78"/>
  <c r="J35" i="78"/>
  <c r="J34" i="78"/>
  <c r="J33" i="78"/>
  <c r="J32" i="78"/>
  <c r="J31" i="78"/>
  <c r="J30" i="78"/>
  <c r="J29" i="78"/>
  <c r="J28" i="78"/>
  <c r="J27" i="78"/>
  <c r="J26" i="78"/>
  <c r="J25" i="78"/>
  <c r="J24" i="78"/>
  <c r="J23" i="78"/>
  <c r="J22" i="78"/>
  <c r="J21" i="78"/>
  <c r="J20" i="78"/>
  <c r="J19" i="78"/>
  <c r="J18" i="78"/>
  <c r="J17" i="78"/>
  <c r="J16" i="78"/>
  <c r="J15" i="78"/>
  <c r="J14" i="78"/>
  <c r="J13" i="78"/>
  <c r="J12" i="78"/>
  <c r="J11" i="78"/>
  <c r="J10" i="78"/>
  <c r="J9" i="78"/>
  <c r="J8" i="78"/>
  <c r="J7" i="78"/>
  <c r="J6" i="78"/>
  <c r="J5" i="78"/>
  <c r="J4" i="78"/>
  <c r="J3" i="78"/>
  <c r="J2" i="78"/>
  <c r="J41" i="74"/>
  <c r="J42" i="74" s="1"/>
  <c r="J43" i="74" s="1"/>
  <c r="E41" i="74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J20" i="74"/>
  <c r="J19" i="74"/>
  <c r="J18" i="74"/>
  <c r="J17" i="74"/>
  <c r="J16" i="74"/>
  <c r="J15" i="74"/>
  <c r="J14" i="74"/>
  <c r="J13" i="74"/>
  <c r="J12" i="74"/>
  <c r="J11" i="74"/>
  <c r="J10" i="74"/>
  <c r="J9" i="74"/>
  <c r="J8" i="74"/>
  <c r="J7" i="74"/>
  <c r="J6" i="74"/>
  <c r="J5" i="74"/>
  <c r="J4" i="74"/>
  <c r="J3" i="74"/>
  <c r="J2" i="74"/>
  <c r="A5" i="73"/>
  <c r="C37" i="58"/>
  <c r="C36" i="58"/>
  <c r="C35" i="58"/>
  <c r="C34" i="58"/>
  <c r="C33" i="58"/>
  <c r="C32" i="58"/>
  <c r="C31" i="58"/>
  <c r="C30" i="58"/>
  <c r="C29" i="58"/>
  <c r="C28" i="58"/>
  <c r="C27" i="58"/>
  <c r="C26" i="58"/>
  <c r="C25" i="58"/>
  <c r="C24" i="58"/>
  <c r="C23" i="58"/>
  <c r="C22" i="58"/>
  <c r="C21" i="58"/>
  <c r="C20" i="58"/>
  <c r="C19" i="58"/>
  <c r="C18" i="58"/>
  <c r="J22" i="12"/>
  <c r="R42" i="70"/>
  <c r="C94" i="66" s="1"/>
  <c r="X31" i="70"/>
  <c r="F21" i="70"/>
  <c r="M21" i="70" s="1"/>
  <c r="F84" i="66" s="1"/>
  <c r="F19" i="70"/>
  <c r="M19" i="70" s="1"/>
  <c r="F83" i="66" s="1"/>
  <c r="B5" i="70"/>
  <c r="H69" i="69"/>
  <c r="B57" i="69"/>
  <c r="B55" i="69"/>
  <c r="B53" i="69"/>
  <c r="N46" i="69"/>
  <c r="I46" i="69"/>
  <c r="B59" i="69" s="1"/>
  <c r="H37" i="69"/>
  <c r="F16" i="69"/>
  <c r="B41" i="62" s="1"/>
  <c r="B14" i="62" s="1"/>
  <c r="B45" i="62"/>
  <c r="V12" i="69"/>
  <c r="B5" i="69"/>
  <c r="H91" i="68"/>
  <c r="B81" i="68"/>
  <c r="B79" i="68"/>
  <c r="N73" i="68"/>
  <c r="F73" i="68"/>
  <c r="O66" i="68"/>
  <c r="E58" i="68"/>
  <c r="K58" i="68" s="1"/>
  <c r="B58" i="68"/>
  <c r="M56" i="68"/>
  <c r="K56" i="68"/>
  <c r="B56" i="68"/>
  <c r="O49" i="68"/>
  <c r="B48" i="68"/>
  <c r="F44" i="68"/>
  <c r="E53" i="68" s="1"/>
  <c r="O35" i="68"/>
  <c r="I23" i="68"/>
  <c r="O19" i="68"/>
  <c r="B18" i="68"/>
  <c r="F14" i="68"/>
  <c r="B5" i="68"/>
  <c r="O123" i="67"/>
  <c r="K115" i="67"/>
  <c r="O115" i="67" s="1"/>
  <c r="O103" i="67"/>
  <c r="K95" i="67"/>
  <c r="O95" i="67" s="1"/>
  <c r="K93" i="67"/>
  <c r="O93" i="67" s="1"/>
  <c r="K75" i="67"/>
  <c r="O75" i="67" s="1"/>
  <c r="K73" i="67"/>
  <c r="O73" i="67" s="1"/>
  <c r="K35" i="67"/>
  <c r="O35" i="67" s="1"/>
  <c r="K33" i="67"/>
  <c r="O33" i="67" s="1"/>
  <c r="B28" i="67"/>
  <c r="B3" i="67"/>
  <c r="E127" i="66"/>
  <c r="C127" i="66"/>
  <c r="E84" i="66"/>
  <c r="E83" i="66"/>
  <c r="C79" i="66"/>
  <c r="I34" i="66"/>
  <c r="C34" i="66"/>
  <c r="I33" i="66"/>
  <c r="F33" i="66"/>
  <c r="E33" i="66"/>
  <c r="C33" i="66"/>
  <c r="I31" i="66"/>
  <c r="F31" i="66"/>
  <c r="E31" i="66"/>
  <c r="C31" i="66"/>
  <c r="I30" i="66"/>
  <c r="G30" i="66"/>
  <c r="F30" i="66"/>
  <c r="E30" i="66"/>
  <c r="C30" i="66"/>
  <c r="I29" i="66"/>
  <c r="G29" i="66"/>
  <c r="F29" i="66"/>
  <c r="E29" i="66"/>
  <c r="C29" i="66"/>
  <c r="I28" i="66"/>
  <c r="I27" i="66"/>
  <c r="E27" i="66"/>
  <c r="C27" i="66"/>
  <c r="I26" i="66"/>
  <c r="E26" i="66"/>
  <c r="C26" i="66"/>
  <c r="C22" i="66"/>
  <c r="C21" i="66"/>
  <c r="G17" i="66"/>
  <c r="C17" i="66"/>
  <c r="G16" i="66"/>
  <c r="C16" i="66"/>
  <c r="AL12" i="63" l="1"/>
  <c r="AL10" i="63"/>
  <c r="AL8" i="63"/>
  <c r="AF7" i="63"/>
  <c r="AF15" i="63"/>
  <c r="AF32" i="63"/>
  <c r="AF4" i="63"/>
  <c r="AF28" i="63"/>
  <c r="AL9" i="63"/>
  <c r="AL11" i="63"/>
  <c r="AL13" i="63"/>
  <c r="AF6" i="63"/>
  <c r="AL32" i="63"/>
  <c r="AF3" i="63"/>
  <c r="AL17" i="63"/>
  <c r="AF31" i="63"/>
  <c r="O56" i="68"/>
  <c r="AL30" i="63"/>
  <c r="AF30" i="63"/>
  <c r="AL26" i="63"/>
  <c r="AF26" i="63"/>
  <c r="AL21" i="63"/>
  <c r="AL23" i="63"/>
  <c r="AF23" i="63"/>
  <c r="AF33" i="63"/>
  <c r="E34" i="63"/>
  <c r="AL33" i="63"/>
  <c r="AL19" i="63"/>
  <c r="AF19" i="63"/>
  <c r="AL25" i="63"/>
  <c r="AF25" i="63"/>
  <c r="AL29" i="63"/>
  <c r="AF29" i="63"/>
  <c r="AF22" i="63"/>
  <c r="AL22" i="63"/>
  <c r="AL18" i="63"/>
  <c r="AF18" i="63"/>
  <c r="AL24" i="63"/>
  <c r="AF24" i="63"/>
  <c r="AP3" i="63"/>
  <c r="AM4" i="63"/>
  <c r="O53" i="68"/>
  <c r="U13" i="69"/>
  <c r="B49" i="62" s="1"/>
  <c r="O63" i="67" s="1"/>
  <c r="U14" i="69"/>
  <c r="B51" i="62" s="1"/>
  <c r="C19" i="66"/>
  <c r="N40" i="79"/>
  <c r="D199" i="66" s="1"/>
  <c r="N2" i="78"/>
  <c r="B151" i="66" s="1"/>
  <c r="N12" i="69"/>
  <c r="B43" i="62" s="1"/>
  <c r="B47" i="62" s="1"/>
  <c r="M27" i="70"/>
  <c r="F87" i="66" s="1"/>
  <c r="M79" i="68"/>
  <c r="E23" i="68"/>
  <c r="O23" i="68" s="1"/>
  <c r="O29" i="68" s="1"/>
  <c r="O31" i="68" s="1"/>
  <c r="O33" i="68" s="1"/>
  <c r="O37" i="68" s="1"/>
  <c r="O91" i="68"/>
  <c r="F46" i="69" s="1"/>
  <c r="M81" i="68"/>
  <c r="E37" i="79"/>
  <c r="G4" i="74"/>
  <c r="E2" i="74" s="1"/>
  <c r="E39" i="74" s="1"/>
  <c r="B53" i="62"/>
  <c r="B11" i="62" s="1"/>
  <c r="C20" i="66"/>
  <c r="E5" i="79"/>
  <c r="E30" i="79"/>
  <c r="E17" i="78"/>
  <c r="E6" i="79"/>
  <c r="E26" i="79"/>
  <c r="E33" i="79"/>
  <c r="E21" i="79"/>
  <c r="E22" i="79"/>
  <c r="E10" i="79"/>
  <c r="E17" i="79"/>
  <c r="E25" i="78"/>
  <c r="E7" i="78"/>
  <c r="G31" i="66"/>
  <c r="E13" i="79"/>
  <c r="E18" i="79"/>
  <c r="E29" i="79"/>
  <c r="E34" i="79"/>
  <c r="E40" i="79"/>
  <c r="E9" i="79"/>
  <c r="E14" i="79"/>
  <c r="E25" i="79"/>
  <c r="E34" i="78"/>
  <c r="E38" i="78"/>
  <c r="E23" i="78"/>
  <c r="O97" i="67"/>
  <c r="O99" i="67" s="1"/>
  <c r="O101" i="67" s="1"/>
  <c r="O105" i="67" s="1"/>
  <c r="M58" i="68"/>
  <c r="O58" i="68" s="1"/>
  <c r="O60" i="68" s="1"/>
  <c r="O62" i="68" s="1"/>
  <c r="O64" i="68" s="1"/>
  <c r="O68" i="68" s="1"/>
  <c r="O37" i="67"/>
  <c r="O39" i="67" s="1"/>
  <c r="O41" i="67" s="1"/>
  <c r="F25" i="70" s="1"/>
  <c r="E55" i="69"/>
  <c r="K55" i="69" s="1"/>
  <c r="O117" i="67"/>
  <c r="O119" i="67" s="1"/>
  <c r="O121" i="67" s="1"/>
  <c r="O125" i="67" s="1"/>
  <c r="E38" i="79"/>
  <c r="E3" i="79"/>
  <c r="E7" i="79"/>
  <c r="E11" i="79"/>
  <c r="E15" i="79"/>
  <c r="E19" i="79"/>
  <c r="E23" i="79"/>
  <c r="E27" i="79"/>
  <c r="E31" i="79"/>
  <c r="E35" i="79"/>
  <c r="E39" i="79"/>
  <c r="E4" i="79"/>
  <c r="E8" i="79"/>
  <c r="E12" i="79"/>
  <c r="E16" i="79"/>
  <c r="E20" i="79"/>
  <c r="E24" i="79"/>
  <c r="E28" i="79"/>
  <c r="E32" i="79"/>
  <c r="E36" i="79"/>
  <c r="E18" i="78"/>
  <c r="E31" i="78"/>
  <c r="E9" i="78"/>
  <c r="E15" i="78"/>
  <c r="E26" i="78"/>
  <c r="E33" i="78"/>
  <c r="E39" i="78"/>
  <c r="E10" i="78"/>
  <c r="O77" i="67"/>
  <c r="O79" i="67" s="1"/>
  <c r="O81" i="67" s="1"/>
  <c r="O57" i="67"/>
  <c r="O59" i="67" s="1"/>
  <c r="O61" i="67" s="1"/>
  <c r="N8" i="74"/>
  <c r="B133" i="66" s="1"/>
  <c r="N16" i="74"/>
  <c r="B141" i="66" s="1"/>
  <c r="N24" i="74"/>
  <c r="D129" i="66" s="1"/>
  <c r="N28" i="74"/>
  <c r="D133" i="66" s="1"/>
  <c r="N32" i="74"/>
  <c r="D137" i="66" s="1"/>
  <c r="N40" i="74"/>
  <c r="D145" i="66" s="1"/>
  <c r="N37" i="78"/>
  <c r="D166" i="66" s="1"/>
  <c r="N3" i="79"/>
  <c r="B182" i="66" s="1"/>
  <c r="N11" i="79"/>
  <c r="B190" i="66" s="1"/>
  <c r="N19" i="79"/>
  <c r="B198" i="66" s="1"/>
  <c r="N27" i="79"/>
  <c r="D186" i="66" s="1"/>
  <c r="N35" i="79"/>
  <c r="D194" i="66" s="1"/>
  <c r="N4" i="74"/>
  <c r="B129" i="66" s="1"/>
  <c r="N12" i="74"/>
  <c r="B137" i="66" s="1"/>
  <c r="N20" i="74"/>
  <c r="B145" i="66" s="1"/>
  <c r="N36" i="74"/>
  <c r="D141" i="66" s="1"/>
  <c r="N3" i="78"/>
  <c r="B152" i="66" s="1"/>
  <c r="N20" i="78"/>
  <c r="B169" i="66" s="1"/>
  <c r="E106" i="66"/>
  <c r="N7" i="78"/>
  <c r="B156" i="66" s="1"/>
  <c r="N10" i="78"/>
  <c r="B159" i="66" s="1"/>
  <c r="N14" i="78"/>
  <c r="B163" i="66" s="1"/>
  <c r="N17" i="78"/>
  <c r="B166" i="66" s="1"/>
  <c r="N24" i="78"/>
  <c r="D153" i="66" s="1"/>
  <c r="N27" i="78"/>
  <c r="D156" i="66" s="1"/>
  <c r="N6" i="79"/>
  <c r="B185" i="66" s="1"/>
  <c r="N14" i="79"/>
  <c r="B193" i="66" s="1"/>
  <c r="N22" i="79"/>
  <c r="D181" i="66" s="1"/>
  <c r="N30" i="79"/>
  <c r="D189" i="66" s="1"/>
  <c r="N38" i="79"/>
  <c r="D197" i="66" s="1"/>
  <c r="N29" i="74"/>
  <c r="D134" i="66" s="1"/>
  <c r="N31" i="78"/>
  <c r="D160" i="66" s="1"/>
  <c r="N17" i="79"/>
  <c r="B196" i="66" s="1"/>
  <c r="N41" i="74"/>
  <c r="D146" i="66" s="1"/>
  <c r="N8" i="78"/>
  <c r="B157" i="66" s="1"/>
  <c r="N11" i="78"/>
  <c r="B160" i="66" s="1"/>
  <c r="N28" i="78"/>
  <c r="D157" i="66" s="1"/>
  <c r="N4" i="79"/>
  <c r="B183" i="66" s="1"/>
  <c r="N12" i="79"/>
  <c r="B191" i="66" s="1"/>
  <c r="N20" i="79"/>
  <c r="B199" i="66" s="1"/>
  <c r="N28" i="79"/>
  <c r="D187" i="66" s="1"/>
  <c r="N36" i="79"/>
  <c r="D195" i="66" s="1"/>
  <c r="N41" i="79"/>
  <c r="D200" i="66" s="1"/>
  <c r="G18" i="66"/>
  <c r="N2" i="74"/>
  <c r="B127" i="66" s="1"/>
  <c r="N6" i="74"/>
  <c r="B131" i="66" s="1"/>
  <c r="N10" i="74"/>
  <c r="B135" i="66" s="1"/>
  <c r="N14" i="74"/>
  <c r="B139" i="66" s="1"/>
  <c r="N18" i="74"/>
  <c r="B143" i="66" s="1"/>
  <c r="N22" i="74"/>
  <c r="D127" i="66" s="1"/>
  <c r="N26" i="74"/>
  <c r="D131" i="66" s="1"/>
  <c r="N30" i="74"/>
  <c r="D135" i="66" s="1"/>
  <c r="N34" i="74"/>
  <c r="D139" i="66" s="1"/>
  <c r="N38" i="74"/>
  <c r="D143" i="66" s="1"/>
  <c r="N5" i="78"/>
  <c r="B154" i="66" s="1"/>
  <c r="N15" i="78"/>
  <c r="B164" i="66" s="1"/>
  <c r="N18" i="78"/>
  <c r="B167" i="66" s="1"/>
  <c r="N22" i="78"/>
  <c r="D151" i="66" s="1"/>
  <c r="N25" i="78"/>
  <c r="D154" i="66" s="1"/>
  <c r="N32" i="78"/>
  <c r="D161" i="66" s="1"/>
  <c r="N35" i="78"/>
  <c r="D164" i="66" s="1"/>
  <c r="N7" i="79"/>
  <c r="B186" i="66" s="1"/>
  <c r="N15" i="79"/>
  <c r="B194" i="66" s="1"/>
  <c r="N23" i="79"/>
  <c r="D182" i="66" s="1"/>
  <c r="N31" i="79"/>
  <c r="D190" i="66" s="1"/>
  <c r="N39" i="79"/>
  <c r="D198" i="66" s="1"/>
  <c r="N5" i="74"/>
  <c r="B130" i="66" s="1"/>
  <c r="N34" i="78"/>
  <c r="D163" i="66" s="1"/>
  <c r="N25" i="79"/>
  <c r="D184" i="66" s="1"/>
  <c r="H49" i="70"/>
  <c r="C101" i="66" s="1"/>
  <c r="N12" i="78"/>
  <c r="B161" i="66" s="1"/>
  <c r="N29" i="78"/>
  <c r="D158" i="66" s="1"/>
  <c r="N39" i="78"/>
  <c r="D168" i="66" s="1"/>
  <c r="N2" i="79"/>
  <c r="B181" i="66" s="1"/>
  <c r="N10" i="79"/>
  <c r="B189" i="66" s="1"/>
  <c r="N18" i="79"/>
  <c r="B197" i="66" s="1"/>
  <c r="N26" i="79"/>
  <c r="D185" i="66" s="1"/>
  <c r="N34" i="79"/>
  <c r="D193" i="66" s="1"/>
  <c r="M22" i="12"/>
  <c r="N13" i="74"/>
  <c r="B138" i="66" s="1"/>
  <c r="N33" i="74"/>
  <c r="D138" i="66" s="1"/>
  <c r="N4" i="78"/>
  <c r="B153" i="66" s="1"/>
  <c r="N41" i="78"/>
  <c r="D170" i="66" s="1"/>
  <c r="P55" i="70"/>
  <c r="E105" i="66" s="1"/>
  <c r="N3" i="74"/>
  <c r="B128" i="66" s="1"/>
  <c r="N7" i="74"/>
  <c r="B132" i="66" s="1"/>
  <c r="N11" i="74"/>
  <c r="B136" i="66" s="1"/>
  <c r="N15" i="74"/>
  <c r="B140" i="66" s="1"/>
  <c r="N19" i="74"/>
  <c r="B144" i="66" s="1"/>
  <c r="N23" i="74"/>
  <c r="D128" i="66" s="1"/>
  <c r="N27" i="74"/>
  <c r="D132" i="66" s="1"/>
  <c r="N31" i="74"/>
  <c r="D136" i="66" s="1"/>
  <c r="N35" i="74"/>
  <c r="D140" i="66" s="1"/>
  <c r="N39" i="74"/>
  <c r="D144" i="66" s="1"/>
  <c r="N6" i="78"/>
  <c r="B155" i="66" s="1"/>
  <c r="N9" i="78"/>
  <c r="B158" i="66" s="1"/>
  <c r="N16" i="78"/>
  <c r="B165" i="66" s="1"/>
  <c r="N19" i="78"/>
  <c r="B168" i="66" s="1"/>
  <c r="N36" i="78"/>
  <c r="D165" i="66" s="1"/>
  <c r="N5" i="79"/>
  <c r="B184" i="66" s="1"/>
  <c r="N13" i="79"/>
  <c r="B192" i="66" s="1"/>
  <c r="N21" i="79"/>
  <c r="B200" i="66" s="1"/>
  <c r="N29" i="79"/>
  <c r="D188" i="66" s="1"/>
  <c r="N37" i="79"/>
  <c r="D196" i="66" s="1"/>
  <c r="N9" i="74"/>
  <c r="B134" i="66" s="1"/>
  <c r="N17" i="74"/>
  <c r="B142" i="66" s="1"/>
  <c r="N21" i="74"/>
  <c r="B146" i="66" s="1"/>
  <c r="N25" i="74"/>
  <c r="D130" i="66" s="1"/>
  <c r="N37" i="74"/>
  <c r="D142" i="66" s="1"/>
  <c r="N21" i="78"/>
  <c r="B170" i="66" s="1"/>
  <c r="N38" i="78"/>
  <c r="D167" i="66" s="1"/>
  <c r="N9" i="79"/>
  <c r="B188" i="66" s="1"/>
  <c r="N33" i="79"/>
  <c r="D192" i="66" s="1"/>
  <c r="N13" i="78"/>
  <c r="B162" i="66" s="1"/>
  <c r="N23" i="78"/>
  <c r="D152" i="66" s="1"/>
  <c r="N26" i="78"/>
  <c r="D155" i="66" s="1"/>
  <c r="N30" i="78"/>
  <c r="D159" i="66" s="1"/>
  <c r="N33" i="78"/>
  <c r="D162" i="66" s="1"/>
  <c r="N40" i="78"/>
  <c r="D169" i="66" s="1"/>
  <c r="N8" i="79"/>
  <c r="B187" i="66" s="1"/>
  <c r="N16" i="79"/>
  <c r="B195" i="66" s="1"/>
  <c r="N24" i="79"/>
  <c r="D183" i="66" s="1"/>
  <c r="N32" i="79"/>
  <c r="D191" i="66" s="1"/>
  <c r="E4" i="78"/>
  <c r="E12" i="78"/>
  <c r="E20" i="78"/>
  <c r="E28" i="78"/>
  <c r="E36" i="78"/>
  <c r="E5" i="78"/>
  <c r="E13" i="78"/>
  <c r="E21" i="78"/>
  <c r="E29" i="78"/>
  <c r="E37" i="78"/>
  <c r="E8" i="78"/>
  <c r="E16" i="78"/>
  <c r="E24" i="78"/>
  <c r="E32" i="78"/>
  <c r="E40" i="78"/>
  <c r="E3" i="78"/>
  <c r="E11" i="78"/>
  <c r="E19" i="78"/>
  <c r="E27" i="78"/>
  <c r="E35" i="78"/>
  <c r="E6" i="78"/>
  <c r="E14" i="78"/>
  <c r="E22" i="78"/>
  <c r="E30" i="78"/>
  <c r="AF34" i="63" l="1"/>
  <c r="E35" i="63"/>
  <c r="AL34" i="63"/>
  <c r="E16" i="62"/>
  <c r="AP4" i="63"/>
  <c r="AM5" i="63"/>
  <c r="B16" i="62"/>
  <c r="N16" i="69"/>
  <c r="D106" i="66"/>
  <c r="C106" i="66"/>
  <c r="E57" i="69"/>
  <c r="K57" i="69" s="1"/>
  <c r="M25" i="70"/>
  <c r="F86" i="66" s="1"/>
  <c r="F14" i="69"/>
  <c r="B39" i="62" s="1"/>
  <c r="B55" i="62" s="1"/>
  <c r="B9" i="62" s="1"/>
  <c r="E79" i="68"/>
  <c r="K79" i="68" s="1"/>
  <c r="O79" i="68" s="1"/>
  <c r="E59" i="69"/>
  <c r="K59" i="69" s="1"/>
  <c r="E9" i="74"/>
  <c r="E17" i="74"/>
  <c r="E11" i="74"/>
  <c r="E22" i="74"/>
  <c r="E25" i="74"/>
  <c r="E40" i="74"/>
  <c r="E10" i="74"/>
  <c r="E6" i="74"/>
  <c r="E16" i="74"/>
  <c r="E19" i="74"/>
  <c r="E30" i="74"/>
  <c r="E33" i="74"/>
  <c r="E7" i="74"/>
  <c r="E18" i="74"/>
  <c r="E36" i="74"/>
  <c r="E24" i="74"/>
  <c r="E13" i="74"/>
  <c r="E27" i="74"/>
  <c r="E38" i="74"/>
  <c r="E8" i="74"/>
  <c r="E15" i="74"/>
  <c r="E26" i="74"/>
  <c r="E14" i="74"/>
  <c r="E35" i="74"/>
  <c r="E21" i="74"/>
  <c r="E12" i="74"/>
  <c r="E23" i="74"/>
  <c r="E34" i="74"/>
  <c r="E5" i="74"/>
  <c r="E20" i="74"/>
  <c r="E37" i="74"/>
  <c r="E29" i="74"/>
  <c r="E3" i="74"/>
  <c r="E31" i="74"/>
  <c r="E32" i="74"/>
  <c r="E4" i="74"/>
  <c r="E28" i="74"/>
  <c r="E81" i="68"/>
  <c r="K81" i="68" s="1"/>
  <c r="O81" i="68" s="1"/>
  <c r="V8" i="70"/>
  <c r="O65" i="67"/>
  <c r="R69" i="70"/>
  <c r="C111" i="66" s="1"/>
  <c r="AM6" i="63" l="1"/>
  <c r="AP5" i="63"/>
  <c r="E36" i="63"/>
  <c r="AL35" i="63"/>
  <c r="AF35" i="63"/>
  <c r="H21" i="69"/>
  <c r="F106" i="66"/>
  <c r="E15" i="62"/>
  <c r="B8" i="62"/>
  <c r="O37" i="69"/>
  <c r="O25" i="69" s="1"/>
  <c r="B65" i="62"/>
  <c r="B7" i="62"/>
  <c r="B59" i="62"/>
  <c r="D59" i="62" s="1"/>
  <c r="B10" i="62" s="1"/>
  <c r="I56" i="62"/>
  <c r="J56" i="62"/>
  <c r="O85" i="68"/>
  <c r="O87" i="68" s="1"/>
  <c r="O89" i="68" s="1"/>
  <c r="E53" i="69" s="1"/>
  <c r="K53" i="69" s="1"/>
  <c r="E37" i="63" l="1"/>
  <c r="AL36" i="63"/>
  <c r="AF36" i="63"/>
  <c r="AP6" i="63"/>
  <c r="AM7" i="63"/>
  <c r="B28" i="62"/>
  <c r="B15" i="62"/>
  <c r="B18" i="62" s="1"/>
  <c r="P23" i="70" s="1"/>
  <c r="G85" i="66" s="1"/>
  <c r="O21" i="69"/>
  <c r="O27" i="69"/>
  <c r="O29" i="69"/>
  <c r="E85" i="66"/>
  <c r="B69" i="62"/>
  <c r="B79" i="62" s="1"/>
  <c r="O69" i="69" s="1"/>
  <c r="N44" i="69"/>
  <c r="M55" i="69" s="1"/>
  <c r="O55" i="69" s="1"/>
  <c r="O93" i="68"/>
  <c r="AP7" i="63" l="1"/>
  <c r="AM8" i="63"/>
  <c r="E38" i="63"/>
  <c r="AF37" i="63"/>
  <c r="AL37" i="63"/>
  <c r="P21" i="70"/>
  <c r="G84" i="66" s="1"/>
  <c r="P19" i="70"/>
  <c r="G83" i="66" s="1"/>
  <c r="P25" i="70"/>
  <c r="G86" i="66" s="1"/>
  <c r="P27" i="70"/>
  <c r="R27" i="70" s="1"/>
  <c r="H87" i="66" s="1"/>
  <c r="O31" i="69"/>
  <c r="O33" i="69" s="1"/>
  <c r="O39" i="69" s="1"/>
  <c r="M57" i="69"/>
  <c r="O57" i="69" s="1"/>
  <c r="O43" i="67"/>
  <c r="O45" i="67" s="1"/>
  <c r="F69" i="62"/>
  <c r="O22" i="12"/>
  <c r="O83" i="67"/>
  <c r="O85" i="67" s="1"/>
  <c r="M59" i="69"/>
  <c r="O59" i="69" s="1"/>
  <c r="M53" i="69"/>
  <c r="O53" i="69" s="1"/>
  <c r="B12" i="62"/>
  <c r="P29" i="70" s="1"/>
  <c r="G88" i="66" s="1"/>
  <c r="E39" i="63" l="1"/>
  <c r="AF38" i="63"/>
  <c r="AL38" i="63"/>
  <c r="AP8" i="63"/>
  <c r="AM9" i="63"/>
  <c r="R19" i="70"/>
  <c r="R21" i="70"/>
  <c r="H84" i="66" s="1"/>
  <c r="R25" i="70"/>
  <c r="H86" i="66" s="1"/>
  <c r="G87" i="66"/>
  <c r="O35" i="69"/>
  <c r="F23" i="70" s="1"/>
  <c r="M23" i="70" s="1"/>
  <c r="F85" i="66" s="1"/>
  <c r="E86" i="66"/>
  <c r="E61" i="69"/>
  <c r="K61" i="69" s="1"/>
  <c r="O61" i="69" s="1"/>
  <c r="O63" i="69" s="1"/>
  <c r="O65" i="69" s="1"/>
  <c r="E88" i="66"/>
  <c r="E40" i="63" l="1"/>
  <c r="AL39" i="63"/>
  <c r="AF39" i="63"/>
  <c r="AP9" i="63"/>
  <c r="AM10" i="63"/>
  <c r="H83" i="66"/>
  <c r="R23" i="70"/>
  <c r="H85" i="66" s="1"/>
  <c r="O71" i="69"/>
  <c r="O67" i="69"/>
  <c r="F29" i="70" s="1"/>
  <c r="M29" i="70" s="1"/>
  <c r="AP10" i="63" l="1"/>
  <c r="AM11" i="63"/>
  <c r="E41" i="63"/>
  <c r="AL40" i="63"/>
  <c r="AF40" i="63"/>
  <c r="F88" i="66"/>
  <c r="R29" i="70"/>
  <c r="R36" i="70" s="1"/>
  <c r="AL41" i="63" l="1"/>
  <c r="E42" i="63"/>
  <c r="AF41" i="63"/>
  <c r="AP11" i="63"/>
  <c r="AM12" i="63"/>
  <c r="C91" i="66"/>
  <c r="I86" i="66"/>
  <c r="H88" i="66"/>
  <c r="AM13" i="63" l="1"/>
  <c r="AP12" i="63"/>
  <c r="AL42" i="63"/>
  <c r="E43" i="63"/>
  <c r="AF42" i="63"/>
  <c r="I83" i="66"/>
  <c r="R38" i="70"/>
  <c r="C92" i="66" s="1"/>
  <c r="I84" i="66"/>
  <c r="I85" i="66"/>
  <c r="I87" i="66"/>
  <c r="I88" i="66"/>
  <c r="AL43" i="63" l="1"/>
  <c r="AF43" i="63"/>
  <c r="E44" i="63"/>
  <c r="AM14" i="63"/>
  <c r="AP13" i="63"/>
  <c r="R44" i="70"/>
  <c r="C95" i="66" s="1"/>
  <c r="R40" i="70"/>
  <c r="AP14" i="63" l="1"/>
  <c r="AM15" i="63"/>
  <c r="AF44" i="63"/>
  <c r="AL44" i="63"/>
  <c r="E45" i="63"/>
  <c r="F55" i="70"/>
  <c r="C93" i="66"/>
  <c r="AF45" i="63" l="1"/>
  <c r="E46" i="63"/>
  <c r="AL45" i="63"/>
  <c r="AP15" i="63"/>
  <c r="AM16" i="63"/>
  <c r="M55" i="70"/>
  <c r="C105" i="66"/>
  <c r="AP16" i="63" l="1"/>
  <c r="AM17" i="63"/>
  <c r="AF46" i="63"/>
  <c r="E47" i="63"/>
  <c r="AL46" i="63"/>
  <c r="D105" i="66"/>
  <c r="R55" i="70"/>
  <c r="AF47" i="63" l="1"/>
  <c r="AL47" i="63"/>
  <c r="AM18" i="63"/>
  <c r="AP17" i="63"/>
  <c r="R63" i="70"/>
  <c r="F105" i="66"/>
  <c r="AM19" i="63" l="1"/>
  <c r="AP18" i="63"/>
  <c r="G105" i="66"/>
  <c r="C108" i="66"/>
  <c r="G106" i="66"/>
  <c r="R65" i="70"/>
  <c r="AP19" i="63" l="1"/>
  <c r="AM20" i="63"/>
  <c r="C109" i="66"/>
  <c r="R67" i="70"/>
  <c r="C110" i="66" s="1"/>
  <c r="R71" i="70"/>
  <c r="AP20" i="63" l="1"/>
  <c r="AM21" i="63"/>
  <c r="C113" i="66"/>
  <c r="C112" i="66"/>
  <c r="AP21" i="63" l="1"/>
  <c r="AM22" i="63"/>
  <c r="AM23" i="63" l="1"/>
  <c r="AP22" i="63"/>
  <c r="AM24" i="63" l="1"/>
  <c r="AP23" i="63"/>
  <c r="AM25" i="63" l="1"/>
  <c r="AP24" i="63"/>
  <c r="AM26" i="63" l="1"/>
  <c r="AP25" i="63"/>
  <c r="AP26" i="63" l="1"/>
  <c r="AM27" i="63"/>
  <c r="AP27" i="63" l="1"/>
  <c r="AM28" i="63"/>
  <c r="AP28" i="63" l="1"/>
  <c r="AM29" i="63"/>
  <c r="AM30" i="63" l="1"/>
  <c r="AP29" i="63"/>
  <c r="AP30" i="63" l="1"/>
  <c r="AM31" i="63"/>
  <c r="AP31" i="63" l="1"/>
  <c r="AM32" i="63"/>
  <c r="AP32" i="63" l="1"/>
  <c r="AM33" i="63"/>
  <c r="AP33" i="63" l="1"/>
  <c r="AM34" i="63"/>
  <c r="AP34" i="63" l="1"/>
  <c r="AM35" i="63"/>
  <c r="AP35" i="63" l="1"/>
  <c r="AM36" i="63"/>
  <c r="AP36" i="63" l="1"/>
  <c r="AM37" i="63"/>
  <c r="AP37" i="63" l="1"/>
  <c r="AM38" i="63"/>
  <c r="AP38" i="63" l="1"/>
  <c r="AM39" i="63"/>
  <c r="AP39" i="63" l="1"/>
  <c r="AM40" i="63"/>
  <c r="AP40" i="63" l="1"/>
  <c r="AM41" i="63"/>
  <c r="AM42" i="63" l="1"/>
  <c r="AP41" i="63"/>
  <c r="AM43" i="63" l="1"/>
  <c r="AP42" i="63"/>
  <c r="AM44" i="63" l="1"/>
  <c r="AP43" i="63"/>
  <c r="AM45" i="63" l="1"/>
  <c r="AP44" i="63"/>
  <c r="AP45" i="63" l="1"/>
  <c r="AM46" i="63"/>
  <c r="AP46" i="63" l="1"/>
  <c r="AM47" i="63"/>
  <c r="AP47" i="6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tc={3A7749BB-8FFD-44DE-B97E-B19EB34E1358}</author>
    <author>tc={479D6231-612D-4200-A3DB-D82D19E81595}</author>
    <author>tc={363B8C36-C0C1-4B3A-88B1-C9A69050B268}</author>
    <author>tc={4A60DDA6-C858-442A-8D7C-27D60ECA43BC}</author>
    <author>tc={76B52D44-D3EF-4525-B786-71FD402E7704}</author>
    <author>tc={EED14471-7011-4AED-9D1D-C75C4ADCBD93}</author>
    <author>tc={03A6F2EC-894C-444A-AB1E-A8A73D10AB66}</author>
  </authors>
  <commentList>
    <comment ref="L18" authorId="0" shapeId="0" xr:uid="{3A7749BB-8FFD-44DE-B97E-B19EB34E1358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Atualizar com base nos dados da cromatografia.</t>
      </text>
    </comment>
    <comment ref="O18" authorId="1" shapeId="0" xr:uid="{479D6231-612D-4200-A3DB-D82D19E81595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Atualizar com base nos dados da cromatografia.(Incerteza do fator de compressibilidade)</t>
      </text>
    </comment>
    <comment ref="L20" authorId="2" shapeId="0" xr:uid="{363B8C36-C0C1-4B3A-88B1-C9A69050B268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Atualizar com base nos dados da cromatografia.</t>
      </text>
    </comment>
    <comment ref="M20" authorId="3" shapeId="0" xr:uid="{4A60DDA6-C858-442A-8D7C-27D60ECA43BC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Confirmar essa unidade de medida.</t>
      </text>
    </comment>
    <comment ref="O20" authorId="4" shapeId="0" xr:uid="{76B52D44-D3EF-4525-B786-71FD402E7704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Atualizar com base nos dados da cromatografia.(Incerteza da Massa Molar)</t>
      </text>
    </comment>
    <comment ref="L24" authorId="5" shapeId="0" xr:uid="{EED14471-7011-4AED-9D1D-C75C4ADCBD93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Atualizar com base nos dados da cromatografia.</t>
      </text>
    </comment>
    <comment ref="O24" authorId="6" shapeId="0" xr:uid="{03A6F2EC-894C-444A-AB1E-A8A73D10AB66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Atualizar com base nos dados da cromatografia.(Incerteza da densidade)</t>
      </text>
    </comment>
  </commentList>
</comments>
</file>

<file path=xl/sharedStrings.xml><?xml version="1.0" encoding="utf-8"?>
<sst xmlns="http://schemas.openxmlformats.org/spreadsheetml/2006/main" count="1448" uniqueCount="473">
  <si>
    <t>Flow velocity</t>
  </si>
  <si>
    <t>m/s</t>
  </si>
  <si>
    <t>Mass flow rate</t>
  </si>
  <si>
    <t>qm</t>
  </si>
  <si>
    <t>X-values for curves</t>
  </si>
  <si>
    <t>x-axis</t>
  </si>
  <si>
    <t>mm</t>
  </si>
  <si>
    <t>Standard</t>
  </si>
  <si>
    <t>%</t>
  </si>
  <si>
    <t>100 % (rectangular)</t>
  </si>
  <si>
    <t>Set-up of curve plot for relative expanded uncertainty</t>
  </si>
  <si>
    <t xml:space="preserve"> - as a function of flow velocity or flow rate</t>
  </si>
  <si>
    <t>X-values for curve(s)</t>
  </si>
  <si>
    <t>The plot is displayed in the "Graph" - sheet</t>
  </si>
  <si>
    <t xml:space="preserve"> - the various contributions at a given flow velocity or flow rate</t>
  </si>
  <si>
    <t>B</t>
  </si>
  <si>
    <t>A</t>
  </si>
  <si>
    <t>95 % (normal)</t>
  </si>
  <si>
    <t>99 % (normal)</t>
  </si>
  <si>
    <t>°C</t>
  </si>
  <si>
    <t>kg/m³</t>
  </si>
  <si>
    <t>(°C)²</t>
  </si>
  <si>
    <t>Rescaling of x-axis</t>
  </si>
  <si>
    <t>Custom minimum value:</t>
  </si>
  <si>
    <t>Custom maximum value:</t>
  </si>
  <si>
    <t>Selection of type of graph</t>
  </si>
  <si>
    <t>Plot data for the "Graph" - sheet</t>
  </si>
  <si>
    <t>P</t>
  </si>
  <si>
    <t>First column:</t>
  </si>
  <si>
    <t>Second column:</t>
  </si>
  <si>
    <t>CURVE PLOT  SET-UP</t>
  </si>
  <si>
    <t>The plots are displayed in the sheets as specified below (blue text)</t>
  </si>
  <si>
    <t>-</t>
  </si>
  <si>
    <t>(kg/m³)²</t>
  </si>
  <si>
    <t>mbar</t>
  </si>
  <si>
    <t>Differential pressure</t>
  </si>
  <si>
    <t>mm²</t>
  </si>
  <si>
    <t>1/°C</t>
  </si>
  <si>
    <t>mm/°C</t>
  </si>
  <si>
    <t>mm°C</t>
  </si>
  <si>
    <t>Covariance</t>
  </si>
  <si>
    <t>Upstream tapping</t>
  </si>
  <si>
    <t>Downstream tapping</t>
  </si>
  <si>
    <t>Static pressure measured at</t>
  </si>
  <si>
    <r>
      <t xml:space="preserve">Diameter ratio, </t>
    </r>
    <r>
      <rPr>
        <sz val="10"/>
        <color indexed="8"/>
        <rFont val="Symbol"/>
        <family val="1"/>
        <charset val="2"/>
      </rPr>
      <t>b</t>
    </r>
  </si>
  <si>
    <r>
      <t xml:space="preserve">Isentropic exponent, </t>
    </r>
    <r>
      <rPr>
        <sz val="10"/>
        <color indexed="8"/>
        <rFont val="Symbol"/>
        <family val="1"/>
        <charset val="2"/>
      </rPr>
      <t>k</t>
    </r>
  </si>
  <si>
    <r>
      <t xml:space="preserve">Expansibility ratio, </t>
    </r>
    <r>
      <rPr>
        <sz val="10"/>
        <rFont val="Symbol"/>
        <family val="1"/>
        <charset val="2"/>
      </rPr>
      <t>e</t>
    </r>
  </si>
  <si>
    <t>kg/s</t>
  </si>
  <si>
    <t>Flange</t>
  </si>
  <si>
    <t>Corner</t>
  </si>
  <si>
    <t>D or D/2</t>
  </si>
  <si>
    <t>Minimum flowrate to be plotted</t>
  </si>
  <si>
    <t>(specified in the "Metering station" - sheet)</t>
  </si>
  <si>
    <t>Maximum flowrate to be plotted</t>
  </si>
  <si>
    <t>Number of plotting points (5-45)</t>
  </si>
  <si>
    <t>1 m/s corresponds to</t>
  </si>
  <si>
    <t>Rescaling of y-axis</t>
  </si>
  <si>
    <t>Autoscaling, graph</t>
  </si>
  <si>
    <t>y-axis</t>
  </si>
  <si>
    <t>kg/h</t>
  </si>
  <si>
    <t>DP</t>
  </si>
  <si>
    <t>beta</t>
  </si>
  <si>
    <t>METERING STATION</t>
  </si>
  <si>
    <t>dqmdbeta</t>
  </si>
  <si>
    <t>dqmdd</t>
  </si>
  <si>
    <t>dqmdC</t>
  </si>
  <si>
    <t>dqmddeltaP</t>
  </si>
  <si>
    <t>dqmdrho</t>
  </si>
  <si>
    <t>dqmdeps</t>
  </si>
  <si>
    <t>dbetadd</t>
  </si>
  <si>
    <t>dcdRed</t>
  </si>
  <si>
    <t>dReddqm</t>
  </si>
  <si>
    <t>"dqmdqm"</t>
  </si>
  <si>
    <t>Sensitivity coefficients:</t>
  </si>
  <si>
    <t>d</t>
  </si>
  <si>
    <t>C</t>
  </si>
  <si>
    <t>rho</t>
  </si>
  <si>
    <t>epsilon</t>
  </si>
  <si>
    <t>ITERATION for calculation of C and delta-P</t>
  </si>
  <si>
    <t>DeltaP</t>
  </si>
  <si>
    <t>Pa</t>
  </si>
  <si>
    <t xml:space="preserve">   </t>
  </si>
  <si>
    <t>(kg/h)²</t>
  </si>
  <si>
    <t>L1</t>
  </si>
  <si>
    <t>va</t>
  </si>
  <si>
    <t>dp</t>
  </si>
  <si>
    <r>
      <t>Contributions to the expanded uncertainty of the mass flow rate, q</t>
    </r>
    <r>
      <rPr>
        <vertAlign val="subscript"/>
        <sz val="10"/>
        <rFont val="Arial"/>
        <family val="2"/>
      </rPr>
      <t>m</t>
    </r>
    <r>
      <rPr>
        <sz val="10"/>
        <rFont val="Arial"/>
        <family val="2"/>
      </rPr>
      <t>, at</t>
    </r>
  </si>
  <si>
    <t>Set-up of bar-chart for expanded uncertainty</t>
  </si>
  <si>
    <t>Flow rate, flow velocity and differential pressure for the bar charts:</t>
  </si>
  <si>
    <t>(kg/h)/mm</t>
  </si>
  <si>
    <t>(kg/h)/(kg/m³)</t>
  </si>
  <si>
    <t>(Value)</t>
  </si>
  <si>
    <t>(Unit)</t>
  </si>
  <si>
    <t>Valor</t>
  </si>
  <si>
    <t>Unidade</t>
  </si>
  <si>
    <t>Incerteza</t>
  </si>
  <si>
    <t>100 % (retangular)</t>
  </si>
  <si>
    <t>Documentos de Referência (Reference docs):</t>
  </si>
  <si>
    <t>Incerteza relativa expandida (Relative Expanded Uncertainty) - 95%, k=2</t>
  </si>
  <si>
    <t>Incerteza Expandida (Expanded Uncertainty) - 95%, k=2</t>
  </si>
  <si>
    <t>Incerteza Padrão combinada (Combined Standard Uncertainty)</t>
  </si>
  <si>
    <t>Soma das Variâncias (variances's sum)</t>
  </si>
  <si>
    <t>(Variance)</t>
  </si>
  <si>
    <t>(Sensitivity Coef.)</t>
  </si>
  <si>
    <t>(Stand. Uncert.)</t>
  </si>
  <si>
    <t>(Type)</t>
  </si>
  <si>
    <t>(Confidence Level)</t>
  </si>
  <si>
    <t>(Uncertainty)</t>
  </si>
  <si>
    <t>Variância</t>
  </si>
  <si>
    <t>Coef. Sensibilidade</t>
  </si>
  <si>
    <t>Inc. Padrão</t>
  </si>
  <si>
    <t>Tipo</t>
  </si>
  <si>
    <t>Grau de confiança</t>
  </si>
  <si>
    <t>Temperatura de Operação (Operating temperature)</t>
  </si>
  <si>
    <t>Pressão de Operação (Operating pressure)</t>
  </si>
  <si>
    <t>Transmissor de Pressão estática (Static Pressure Transmitter)</t>
  </si>
  <si>
    <t>Pressão diferencial de operação (Operating differential pressure)</t>
  </si>
  <si>
    <t>Pressão diferencial (Differential Pressure)</t>
  </si>
  <si>
    <t>Pressão de referência (Base Pressure)</t>
  </si>
  <si>
    <t>Covariância (Covariance)</t>
  </si>
  <si>
    <t>Diâmetro do orificio medido (Orifice bore Diameter)</t>
  </si>
  <si>
    <t>Diâmetro interno da tubulação (Pipe Internal Diameter)</t>
  </si>
  <si>
    <r>
      <t xml:space="preserve">Razão Beta (Beta) - </t>
    </r>
    <r>
      <rPr>
        <sz val="11"/>
        <color indexed="10"/>
        <rFont val="Calibri"/>
        <family val="2"/>
      </rPr>
      <t>β</t>
    </r>
  </si>
  <si>
    <t>Diâmetro interno - placa de orificio (Orifice Plate Internal Diameter)</t>
  </si>
  <si>
    <t>Coeficiente de exp. Térmica (Thermal coefficient)</t>
  </si>
  <si>
    <t>Temperatura de processo (Process Temperature)</t>
  </si>
  <si>
    <t>Placa de Orificio (Orifice Plate)</t>
  </si>
  <si>
    <t>Diâmetro interno medido (Internal Diameter)</t>
  </si>
  <si>
    <t>Trecho reto de medição (Meter run straight line)</t>
  </si>
  <si>
    <t>Modelo de Incerteza (Uncertainty Model)</t>
  </si>
  <si>
    <t>Coeficiente Isentrópico (Isentropic exponent) - k</t>
  </si>
  <si>
    <t>Razão Beta (Beta) - β</t>
  </si>
  <si>
    <t>Pressão Diferencial (Differential pressure)</t>
  </si>
  <si>
    <t>Ponto de med. Pressão estática (Static Pres. Tap)</t>
  </si>
  <si>
    <t>Fator de expansão (Expansibility factor)</t>
  </si>
  <si>
    <t>Soma das Incertezas (Uncertainty's sum)</t>
  </si>
  <si>
    <t>Incertezas adicionais (Additional uncertainty)</t>
  </si>
  <si>
    <t>Numero de Reynolds (Reynolds number)</t>
  </si>
  <si>
    <t>Diâmetro interno (Internal Diameter)</t>
  </si>
  <si>
    <t>L2</t>
  </si>
  <si>
    <t>Vazão mássica (Mass flow rate)</t>
  </si>
  <si>
    <t>Cálculo auxiliar de L1 e L2</t>
  </si>
  <si>
    <t>Viscosidade (Viscosity)</t>
  </si>
  <si>
    <t>Tomadas de pressão (Tapping type)</t>
  </si>
  <si>
    <t>Coeficiente de descarga (Discharge coefficient)</t>
  </si>
  <si>
    <t>Medição de vazão mássica (Mass flowrate measurement)</t>
  </si>
  <si>
    <t>Diâmetro do orificio (Orifice bore Diameter)</t>
  </si>
  <si>
    <t>Variável (Variable)</t>
  </si>
  <si>
    <t xml:space="preserve">1 m/s igual a (1 m/s corresponds to) </t>
  </si>
  <si>
    <t>Grau de confiança 95 % (95 % confidence level)</t>
  </si>
  <si>
    <t xml:space="preserve">Incerteza expandida (Exp. Uncertainty) [%] </t>
  </si>
  <si>
    <r>
      <t>o</t>
    </r>
    <r>
      <rPr>
        <sz val="10"/>
        <rFont val="Calibri"/>
        <family val="2"/>
      </rPr>
      <t>C</t>
    </r>
  </si>
  <si>
    <t xml:space="preserve">Pressão diferencial </t>
  </si>
  <si>
    <t>(Differential Pressure)</t>
  </si>
  <si>
    <t xml:space="preserve">Pressão estática </t>
  </si>
  <si>
    <t>(Static Pressure)</t>
  </si>
  <si>
    <t>Temperatura</t>
  </si>
  <si>
    <t>(Temperature)</t>
  </si>
  <si>
    <t>Condições de Referência (Base conditions)</t>
  </si>
  <si>
    <t>Condições de Operação (Operational conditions)</t>
  </si>
  <si>
    <t>Pressão estática (static pressure), P</t>
  </si>
  <si>
    <t>Temperatura (Temperature), T</t>
  </si>
  <si>
    <t>Viscosidade (Viscosity), µ</t>
  </si>
  <si>
    <t>Coeficiente Isentrópico (Isentropic exponent), k</t>
  </si>
  <si>
    <r>
      <t>kg/m</t>
    </r>
    <r>
      <rPr>
        <vertAlign val="superscript"/>
        <sz val="10"/>
        <rFont val="Calibri"/>
        <family val="2"/>
      </rPr>
      <t>3</t>
    </r>
  </si>
  <si>
    <t>Senha original</t>
  </si>
  <si>
    <t>ZWKJTZXQUXQVTES</t>
  </si>
  <si>
    <t xml:space="preserve">
</t>
  </si>
  <si>
    <t>Split Range???</t>
  </si>
  <si>
    <t>Transmissor de Pressão diferencial de Baixa (Low Range Differential Pressure Transmitter)</t>
  </si>
  <si>
    <t>Pressão diferencial de Baixa</t>
  </si>
  <si>
    <t>(Low Range Differential Pressure)</t>
  </si>
  <si>
    <t>Calculo da vazão com o DP</t>
  </si>
  <si>
    <t>Dp min</t>
  </si>
  <si>
    <t>Dp máx</t>
  </si>
  <si>
    <t>Qm máx</t>
  </si>
  <si>
    <t>Qm min</t>
  </si>
  <si>
    <t>Low Range graphic options</t>
  </si>
  <si>
    <t>Minimum Flow rate</t>
  </si>
  <si>
    <t>Maximum Flow Rate</t>
  </si>
  <si>
    <t>QM</t>
  </si>
  <si>
    <t>EQM</t>
  </si>
  <si>
    <t>VA</t>
  </si>
  <si>
    <t>USED</t>
  </si>
  <si>
    <t>eqm</t>
  </si>
  <si>
    <t>High range</t>
  </si>
  <si>
    <t>Low Range</t>
  </si>
  <si>
    <t>Low Range Graph</t>
  </si>
  <si>
    <t>High Range Graph</t>
  </si>
  <si>
    <t>Cut-off da Pressão dif. De Baixa (Low Range cut-off):</t>
  </si>
  <si>
    <t>m3/h @ ref. cond.</t>
  </si>
  <si>
    <t>Vazão vol. cond. de ref. (Standard volume flow rate)</t>
  </si>
  <si>
    <t>Medição de vazão volumétrica nas condições de referência (Base flowrate measurement)</t>
  </si>
  <si>
    <t>Standard Volume flow rate (Base Volume Flow rate) , q</t>
  </si>
  <si>
    <r>
      <t>Vazão mássica (Mass flow rate), q</t>
    </r>
    <r>
      <rPr>
        <vertAlign val="subscript"/>
        <sz val="10"/>
        <rFont val="Calibri"/>
        <family val="2"/>
      </rPr>
      <t>m</t>
    </r>
  </si>
  <si>
    <t>Vazão vol. Cond. Ref. (Base Vol. Flow rate)</t>
  </si>
  <si>
    <r>
      <t>kg/m</t>
    </r>
    <r>
      <rPr>
        <vertAlign val="superscript"/>
        <sz val="10"/>
        <rFont val="Calibri"/>
        <family val="2"/>
      </rPr>
      <t>3</t>
    </r>
  </si>
  <si>
    <t>(m³/h)²</t>
  </si>
  <si>
    <t>m³/h</t>
  </si>
  <si>
    <t>m³/kg</t>
  </si>
  <si>
    <r>
      <t>(m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/h)/(kg/m³)</t>
    </r>
    <r>
      <rPr>
        <vertAlign val="superscript"/>
        <sz val="10"/>
        <rFont val="Calibri"/>
        <family val="2"/>
      </rPr>
      <t>2</t>
    </r>
  </si>
  <si>
    <t>Plot data for the "GraphNET" - sheet</t>
  </si>
  <si>
    <t>Q</t>
  </si>
  <si>
    <t>EQ</t>
  </si>
  <si>
    <t>USED (Q)</t>
  </si>
  <si>
    <t>USED (EQ)</t>
  </si>
  <si>
    <t>High Range</t>
  </si>
  <si>
    <t>Mass Flow rate graphic</t>
  </si>
  <si>
    <t>Volume Flow rate graphic</t>
  </si>
  <si>
    <t>m3/h</t>
  </si>
  <si>
    <t>Autoscaling, graph net</t>
  </si>
  <si>
    <t>Temperatura de referência (Base Temperature)</t>
  </si>
  <si>
    <t>Densidade Cond. Ref. (Standard density)</t>
  </si>
  <si>
    <t>Densidade de processo (Line Density), r</t>
  </si>
  <si>
    <r>
      <t xml:space="preserve">Densidade nas cond. De Ref. (Standard Density), </t>
    </r>
    <r>
      <rPr>
        <sz val="10"/>
        <rFont val="Calibri"/>
        <family val="2"/>
      </rPr>
      <t>ρ</t>
    </r>
  </si>
  <si>
    <t>Densidade de processo (Line Density)</t>
  </si>
  <si>
    <t>Densidade de processo</t>
  </si>
  <si>
    <t>(Line Density)</t>
  </si>
  <si>
    <t>Densidade de processo (Line density)</t>
  </si>
  <si>
    <t>Vazão Vol. cond. ref. (NET Volume Flowrate), [m3/h]</t>
  </si>
  <si>
    <t>Axis fo 1,5/2,0</t>
  </si>
  <si>
    <t>Base density uncertainty</t>
  </si>
  <si>
    <t>Line density uncertainty</t>
  </si>
  <si>
    <t>Observações (Notes)</t>
  </si>
  <si>
    <t>Vazão Mássica (Mass flow rate), [kg/h]</t>
  </si>
  <si>
    <t/>
  </si>
  <si>
    <t>Erro Fiducial (Fiducial Error)</t>
  </si>
  <si>
    <t>1) 23-ODS-36-PRE-033 - TAG: 27FT2446A</t>
  </si>
  <si>
    <t>2) 23-ODS-36-PRE-034 - TAG: 27FT2446B</t>
  </si>
  <si>
    <t>3) 23-ODS-36-PRE-036 - TAG: 27PT2446</t>
  </si>
  <si>
    <t>4) 23-ODS-36-TEM-038 - TAG: 27TT2446</t>
  </si>
  <si>
    <t>1) 23-ODS-36-DIM-238 - Gas Meter Run TAG: 27FE2446</t>
  </si>
  <si>
    <t>2) 23-ODS-36-DIM-237 - Orifice Plate TAG: 27FO2446</t>
  </si>
  <si>
    <t>5 - Cálculo de incerteza revisado devido a calibração dos instrumentos secundários. Uncertainty calculation revised due to secondary instrument calibration.</t>
  </si>
  <si>
    <t>Measurement Equipment Data</t>
  </si>
  <si>
    <t>Equipamento (Equipment)</t>
  </si>
  <si>
    <t>Cert. de Calibração (Calibration certif.)</t>
  </si>
  <si>
    <t>Versão da documentação técnica (technical documentation version)</t>
  </si>
  <si>
    <t>n/a</t>
  </si>
  <si>
    <t>Expansão térmica conforme temperatura do processo (thermal expansion from process temperature)</t>
  </si>
  <si>
    <t>Fator K</t>
  </si>
  <si>
    <t>K factor</t>
  </si>
  <si>
    <t>Divisor</t>
  </si>
  <si>
    <t>Temperatura de referência (Measurement Temperature)</t>
  </si>
  <si>
    <t>kPa</t>
  </si>
  <si>
    <t>Kpa</t>
  </si>
  <si>
    <t>kPa²</t>
  </si>
  <si>
    <t>(kg/h)/kPa</t>
  </si>
  <si>
    <t>1/kPa</t>
  </si>
  <si>
    <t>cP</t>
  </si>
  <si>
    <t>Incerteza Expandida</t>
  </si>
  <si>
    <t>Tipo de Distribuição</t>
  </si>
  <si>
    <t>95 % (Normal)</t>
  </si>
  <si>
    <t>Normal Expandida</t>
  </si>
  <si>
    <t>Soma das Varianças (Variance sum)</t>
  </si>
  <si>
    <t>Quadrados</t>
  </si>
  <si>
    <t>Incerteza Padrão</t>
  </si>
  <si>
    <t>(Stand. Uncertainty)</t>
  </si>
  <si>
    <t>(Square)</t>
  </si>
  <si>
    <t>Contribuição</t>
  </si>
  <si>
    <t>(Contribution)</t>
  </si>
  <si>
    <t>Ponto</t>
  </si>
  <si>
    <t>Min</t>
  </si>
  <si>
    <t>Máx Uncertainty:</t>
  </si>
  <si>
    <t>Mín Uncertainty:</t>
  </si>
  <si>
    <t>Qmass</t>
  </si>
  <si>
    <t>Unc</t>
  </si>
  <si>
    <t>DP Min:</t>
  </si>
  <si>
    <t>Qvol</t>
  </si>
  <si>
    <t>Trecho Reto (Gas Meter Run)</t>
  </si>
  <si>
    <t>Placa de Orifício (Orifice Plate)</t>
  </si>
  <si>
    <t>Pressão Estática (Static Pressure)</t>
  </si>
  <si>
    <t>Pressão Diferencial Alta (High Differential Pressure)</t>
  </si>
  <si>
    <t>Pressão Diferencial Baixa (Low Differential Pressure)</t>
  </si>
  <si>
    <t>TAG</t>
  </si>
  <si>
    <t>Cromatografia (Gas Chromatography)</t>
  </si>
  <si>
    <t>Documentos (Documents)</t>
  </si>
  <si>
    <t>General Information (Informações Gerais)</t>
  </si>
  <si>
    <t>U Expandida
(Expanded U)</t>
  </si>
  <si>
    <t>Unidade
(Unit)</t>
  </si>
  <si>
    <t>Inc termo</t>
  </si>
  <si>
    <t>Inc  transm</t>
  </si>
  <si>
    <t>Temperatura (Temperature)</t>
  </si>
  <si>
    <t>k termo</t>
  </si>
  <si>
    <t>k transm</t>
  </si>
  <si>
    <t>Fator de Abrangência
(Coverage Factor)</t>
  </si>
  <si>
    <t>D</t>
  </si>
  <si>
    <t>Símbolo</t>
  </si>
  <si>
    <t>Symbol</t>
  </si>
  <si>
    <t>ρ</t>
  </si>
  <si>
    <t>ε</t>
  </si>
  <si>
    <t>PRIO</t>
  </si>
  <si>
    <t>Incerteza em % 
(% Uncertainty)</t>
  </si>
  <si>
    <t>Vazão m³/h
(Flow Rate m³/h)</t>
  </si>
  <si>
    <t>DP1</t>
  </si>
  <si>
    <t>DP1 Máx:</t>
  </si>
  <si>
    <t>Pressão Diferencial Média (Avg Differential Pressure)</t>
  </si>
  <si>
    <t>Transmissor de Pressão diferencial de Média (Avg Range Differential Pressure Transmitter)</t>
  </si>
  <si>
    <t>Nitrogênio</t>
  </si>
  <si>
    <t>Metano</t>
  </si>
  <si>
    <t>CO2</t>
  </si>
  <si>
    <t>Dióxido de Carbono</t>
  </si>
  <si>
    <t>Etano</t>
  </si>
  <si>
    <t>Propano</t>
  </si>
  <si>
    <t>iso-Butano</t>
  </si>
  <si>
    <t>n-Butano</t>
  </si>
  <si>
    <t>iso-Pentano</t>
  </si>
  <si>
    <t>n-Pentano</t>
  </si>
  <si>
    <t>Hexano</t>
  </si>
  <si>
    <t>Heptano</t>
  </si>
  <si>
    <t>Octano</t>
  </si>
  <si>
    <r>
      <t>N</t>
    </r>
    <r>
      <rPr>
        <vertAlign val="subscript"/>
        <sz val="12"/>
        <color rgb="FF000000"/>
        <rFont val="Calibri"/>
        <family val="2"/>
        <scheme val="minor"/>
      </rPr>
      <t>2</t>
    </r>
  </si>
  <si>
    <r>
      <t>C</t>
    </r>
    <r>
      <rPr>
        <vertAlign val="subscript"/>
        <sz val="12"/>
        <rFont val="Calibri"/>
        <family val="2"/>
        <scheme val="minor"/>
      </rPr>
      <t>1</t>
    </r>
  </si>
  <si>
    <r>
      <t>C</t>
    </r>
    <r>
      <rPr>
        <vertAlign val="subscript"/>
        <sz val="12"/>
        <rFont val="Calibri"/>
        <family val="2"/>
        <scheme val="minor"/>
      </rPr>
      <t>2</t>
    </r>
  </si>
  <si>
    <r>
      <t>C</t>
    </r>
    <r>
      <rPr>
        <vertAlign val="subscript"/>
        <sz val="12"/>
        <rFont val="Calibri"/>
        <family val="2"/>
        <scheme val="minor"/>
      </rPr>
      <t>3</t>
    </r>
  </si>
  <si>
    <t>iC4</t>
  </si>
  <si>
    <t>nC4</t>
  </si>
  <si>
    <t>iC5</t>
  </si>
  <si>
    <t>nC5</t>
  </si>
  <si>
    <r>
      <t>C</t>
    </r>
    <r>
      <rPr>
        <vertAlign val="subscript"/>
        <sz val="12"/>
        <color rgb="FF000000"/>
        <rFont val="Calibri"/>
        <family val="2"/>
        <scheme val="minor"/>
      </rPr>
      <t>6</t>
    </r>
  </si>
  <si>
    <r>
      <t>C</t>
    </r>
    <r>
      <rPr>
        <vertAlign val="subscript"/>
        <sz val="12"/>
        <rFont val="Calibri"/>
        <family val="2"/>
        <scheme val="minor"/>
      </rPr>
      <t>7</t>
    </r>
  </si>
  <si>
    <r>
      <t>C</t>
    </r>
    <r>
      <rPr>
        <vertAlign val="subscript"/>
        <sz val="12"/>
        <color rgb="FF000000"/>
        <rFont val="Calibri"/>
        <family val="2"/>
        <scheme val="minor"/>
      </rPr>
      <t>8</t>
    </r>
  </si>
  <si>
    <t>Componentes</t>
  </si>
  <si>
    <t>Mol%</t>
  </si>
  <si>
    <t>Incerteza Exp %</t>
  </si>
  <si>
    <t>Propriedades do Gas - Condição Padrão (1)</t>
  </si>
  <si>
    <t>Referência</t>
  </si>
  <si>
    <t>Poder Calorífico Superior (kJ/m³)</t>
  </si>
  <si>
    <t>ISO 6976</t>
  </si>
  <si>
    <t>Poder Calorífico Inferior (kJ/m³)</t>
  </si>
  <si>
    <t>Fator de Compressibilidade</t>
  </si>
  <si>
    <t>Peso Molecular Total (g/mol)</t>
  </si>
  <si>
    <t>Viscosidade do Gás (cP)</t>
  </si>
  <si>
    <t>Coeficiente Adiabático</t>
  </si>
  <si>
    <t>ISO 20765</t>
  </si>
  <si>
    <t>Densidade (kg/m³)</t>
  </si>
  <si>
    <t>Densidade Relativa</t>
  </si>
  <si>
    <t>Propriedades do Gas - Condições de Amostragem</t>
  </si>
  <si>
    <t>Densidade relativa (kg/m³)</t>
  </si>
  <si>
    <t>Viscosidade do gás (cP)</t>
  </si>
  <si>
    <t>Índice de Wobbe (kJ/m³)</t>
  </si>
  <si>
    <t>(2)</t>
  </si>
  <si>
    <t>Composition</t>
  </si>
  <si>
    <t>x (%)</t>
  </si>
  <si>
    <t>ux (%)</t>
  </si>
  <si>
    <t>Composição do Gás (Gas Composition)</t>
  </si>
  <si>
    <t>∆P</t>
  </si>
  <si>
    <t>Incerteza da vazão volumétrica cod. ref. (NET flowrate uncertainty):</t>
  </si>
  <si>
    <t>Cálculo realizado por (Performed by):</t>
  </si>
  <si>
    <r>
      <t>kg/m</t>
    </r>
    <r>
      <rPr>
        <vertAlign val="superscript"/>
        <sz val="16"/>
        <rFont val="Calibri"/>
        <family val="2"/>
        <scheme val="minor"/>
      </rPr>
      <t>3</t>
    </r>
  </si>
  <si>
    <r>
      <t>Vazão Mássica (Mass flow rate), q</t>
    </r>
    <r>
      <rPr>
        <b/>
        <vertAlign val="subscript"/>
        <sz val="16"/>
        <rFont val="Calibri"/>
        <family val="2"/>
        <scheme val="minor"/>
      </rPr>
      <t>m</t>
    </r>
    <r>
      <rPr>
        <b/>
        <sz val="16"/>
        <rFont val="Calibri"/>
        <family val="2"/>
        <scheme val="minor"/>
      </rPr>
      <t>:</t>
    </r>
  </si>
  <si>
    <r>
      <t xml:space="preserve">3 - A reprodução deste documento somente poderá ser feita integralmente, sem qualquer alteração. </t>
    </r>
    <r>
      <rPr>
        <i/>
        <sz val="16"/>
        <rFont val="Calibri"/>
        <family val="2"/>
        <scheme val="minor"/>
      </rPr>
      <t>The reproduction of this report could only be made integrally, without any modification.</t>
    </r>
  </si>
  <si>
    <r>
      <t xml:space="preserve">4 - As unidades de medida indicadas neste certificado são rastreáveis a padrões nacionais de medida (ou ao Sistema Internacional de Unidades - SI). </t>
    </r>
    <r>
      <rPr>
        <i/>
        <sz val="16"/>
        <rFont val="Calibri"/>
        <family val="2"/>
        <scheme val="minor"/>
      </rPr>
      <t>The measurement units indicated in this report are traceable to national or international standards.</t>
    </r>
  </si>
  <si>
    <t>Nonano</t>
  </si>
  <si>
    <r>
      <t>C</t>
    </r>
    <r>
      <rPr>
        <sz val="8"/>
        <rFont val="Calibri"/>
        <family val="2"/>
        <scheme val="minor"/>
      </rPr>
      <t>9</t>
    </r>
    <r>
      <rPr>
        <sz val="12"/>
        <rFont val="Calibri"/>
        <family val="2"/>
        <scheme val="minor"/>
      </rPr>
      <t>+</t>
    </r>
  </si>
  <si>
    <t>Vazão mássica (Mass flow rate), qm</t>
  </si>
  <si>
    <t>Incerteza expandida (Expanded Uncertainty) - 95%, k=2</t>
  </si>
  <si>
    <t>Inc. Padrão combinada (Combined Standard Unc.)</t>
  </si>
  <si>
    <t>Variáveis do processo (Relatório de análise química)</t>
  </si>
  <si>
    <t>Fator de compressibilidade, Z</t>
  </si>
  <si>
    <t>[adimensional]</t>
  </si>
  <si>
    <t>Massa molar, M</t>
  </si>
  <si>
    <t>kg/kmol</t>
  </si>
  <si>
    <t>Constante dos gases, R</t>
  </si>
  <si>
    <t>J/(mol.K)</t>
  </si>
  <si>
    <t>Densidade absoluta - CL</t>
  </si>
  <si>
    <t>Distribuição de probabilidade</t>
  </si>
  <si>
    <t>Coeficiente de sensibilidade</t>
  </si>
  <si>
    <t>(Probability distribution)</t>
  </si>
  <si>
    <t>Temperatura de operação, T</t>
  </si>
  <si>
    <t xml:space="preserve"> Massa molar, M</t>
  </si>
  <si>
    <t>kg/mol</t>
  </si>
  <si>
    <t>Pressão de operação, P</t>
  </si>
  <si>
    <t>Densidade nas condições de referência</t>
  </si>
  <si>
    <t>mol/m³</t>
  </si>
  <si>
    <t>erro residual</t>
  </si>
  <si>
    <t>Erro Fiducial / Residual
(Fiducial/Residual Error)</t>
  </si>
  <si>
    <t>Coeficiente Isentrópico 
(Isentropic exponent), k</t>
  </si>
  <si>
    <t>Densidade de processo 
(Line Density), r</t>
  </si>
  <si>
    <t>Pressão Diferencial Alta 
(High Differential Pressure)</t>
  </si>
  <si>
    <t>Pressão Diferencial Média 
(Avg Differential Pressure)</t>
  </si>
  <si>
    <t>Pressão Diferencial Baixa 
(Low Differential Pressure)</t>
  </si>
  <si>
    <t>Pressão estática 
(static pressure), P</t>
  </si>
  <si>
    <t>Temperatura 
(Temperature), T</t>
  </si>
  <si>
    <t>Viscosidade 
(Viscosity), µ</t>
  </si>
  <si>
    <t>Instalação 
(Facility)</t>
  </si>
  <si>
    <t>Cliente
(Client)</t>
  </si>
  <si>
    <t>TAG do Sistema
(System TAG)</t>
  </si>
  <si>
    <t>Aplicação
(Application)</t>
  </si>
  <si>
    <t>Sistema
(System)</t>
  </si>
  <si>
    <t>Motivo da Revisão
(Reason for Revision)</t>
  </si>
  <si>
    <t>Trecho Reto
(Gas Meter Run)</t>
  </si>
  <si>
    <t>Placa de Orifício
(Orifice Plate)</t>
  </si>
  <si>
    <t>Termorresistência
(Thermoresistance)</t>
  </si>
  <si>
    <t>Pressão Estática
(Static Pressure)</t>
  </si>
  <si>
    <t>Pressão Diferencial Média
(Avg Differential Pressure)</t>
  </si>
  <si>
    <t>Pressão Diferencial Baixa
(Low Differential Pressure)</t>
  </si>
  <si>
    <t>Cromatografia
(Gas Chromatography)</t>
  </si>
  <si>
    <t>Temperatura de referência 
(Base Temperature)</t>
  </si>
  <si>
    <t>Pressão de referência 
(Base Pressure)</t>
  </si>
  <si>
    <t>Densidade nas cond. De Ref.
(Standard Density), ρ</t>
  </si>
  <si>
    <t>Poder Calorífico 
Superior (kJ/m³)</t>
  </si>
  <si>
    <t>Poder Calorífico 
Inferior (kJ/m³)</t>
  </si>
  <si>
    <t>Fator de
Compressibilidade</t>
  </si>
  <si>
    <t>Peso Molecular 
Total (g/mol)</t>
  </si>
  <si>
    <t>Viscosidade 
do Gás (cP)</t>
  </si>
  <si>
    <t>Coeficiente 
Adiabático</t>
  </si>
  <si>
    <t>Densidade 
(kg/m³)</t>
  </si>
  <si>
    <t>Densidade 
Relativa</t>
  </si>
  <si>
    <t>Densidade 
relativa (kg/m³)</t>
  </si>
  <si>
    <t>Viscosidade 
do gás (cP)</t>
  </si>
  <si>
    <t>Fator de 
Compressibilidade</t>
  </si>
  <si>
    <t>Índice de 
Wobbe (kJ/m³)</t>
  </si>
  <si>
    <t>Diâmetro do orificio 
(Orifice bore Diameter)</t>
  </si>
  <si>
    <t>Diâmetro interno medido 
(Internal Diameter)</t>
  </si>
  <si>
    <t>Coeficiente de descarga 
(Discharge coefficient)</t>
  </si>
  <si>
    <t>Pressão diferencial 
(Differential Pressure)</t>
  </si>
  <si>
    <t>Densidade de processo 
(Line Density)</t>
  </si>
  <si>
    <t>Fator de expansão 
(Expansibility factor)</t>
  </si>
  <si>
    <t>Soma das Varianças
(Variance sum)</t>
  </si>
  <si>
    <t>Inc. Padrão combinada
(Combined Standard Unc.)</t>
  </si>
  <si>
    <t>Vazão Vol. Nas cond. Ref.
(NET flow rate), q:</t>
  </si>
  <si>
    <t>Vazão vol. Cond. Ref.
(Base Vol. Flow rate)</t>
  </si>
  <si>
    <t>Densidade Cond. Ref.
(Standard density)</t>
  </si>
  <si>
    <t>Incerteza Exp.
(Exp. Uncertainty) - 95%, k=2</t>
  </si>
  <si>
    <t>Vazão volumétrica
(Mass flow rate), qm</t>
  </si>
  <si>
    <t>Inc. relativa expandida
(Relative Expanded Unc.) - 95%, k=2</t>
  </si>
  <si>
    <t>Coef Sensibilidade</t>
  </si>
  <si>
    <t>(Standard Unc.)</t>
  </si>
  <si>
    <t>(Standard Unc)</t>
  </si>
  <si>
    <t>Condições de Referência 
(Base conditions)</t>
  </si>
  <si>
    <t>Resultados Vazão Mássica 
(Mass Flow Rate Results)</t>
  </si>
  <si>
    <t>Resultados Vazão Volumétrica 
(Vol. Flow Rate Results)</t>
  </si>
  <si>
    <t>adimensional</t>
  </si>
  <si>
    <r>
      <t>m</t>
    </r>
    <r>
      <rPr>
        <vertAlign val="superscript"/>
        <sz val="16"/>
        <rFont val="Calibri"/>
        <family val="2"/>
        <scheme val="minor"/>
      </rPr>
      <t>3</t>
    </r>
    <r>
      <rPr>
        <sz val="16"/>
        <rFont val="Calibri"/>
        <family val="2"/>
        <scheme val="minor"/>
      </rPr>
      <t>/h</t>
    </r>
  </si>
  <si>
    <t>Vazão Volumétrica x Incerteza
Vol. Flow Rate x Uncertainty</t>
  </si>
  <si>
    <t>Transmissor DP Alta
High Range DP Transmitter</t>
  </si>
  <si>
    <t>Transmissor DP Média
Intermediate Range DP Transmitter</t>
  </si>
  <si>
    <t>Transmissor DP Baixa
Low Range DP Transmitter</t>
  </si>
  <si>
    <t>Cálculo verificado por (Checked by):</t>
  </si>
  <si>
    <t>Contribuição das Incertezas (Uncertainty Budget)</t>
  </si>
  <si>
    <t xml:space="preserve">TAG </t>
  </si>
  <si>
    <t>SN</t>
  </si>
  <si>
    <t>Número de Série (Serial Number)</t>
  </si>
  <si>
    <t>5 - Cálculo foi emitido com a média dos últimos 30 dias da pressão de operação e da temperatura de operação.</t>
  </si>
  <si>
    <t>FPSO FORTE</t>
  </si>
  <si>
    <t>Termômetro Digital (Digital Thermometer)</t>
  </si>
  <si>
    <t>Termômetro Digital 
(Digital Thermometer)</t>
  </si>
  <si>
    <t>Pressão Diferencial 
(Differential Pressure)</t>
  </si>
  <si>
    <t>FX/FY-1231010B</t>
  </si>
  <si>
    <t>CS-PO-21.06-0032</t>
  </si>
  <si>
    <t>FIT‐1231010B ‐ TT</t>
  </si>
  <si>
    <t>FIT‐1231010B‐PT</t>
  </si>
  <si>
    <t>FIT‐ 1231010B‐DPT</t>
  </si>
  <si>
    <t>Gás Exportação (FIT1231006)</t>
  </si>
  <si>
    <t>LCMM-TR-116/24 - REV.00</t>
  </si>
  <si>
    <t>24-ODS-70-DIM-548</t>
  </si>
  <si>
    <t>D043425</t>
  </si>
  <si>
    <t>CS-PO-21.06-0039</t>
  </si>
  <si>
    <t>24SHFF0112924</t>
  </si>
  <si>
    <t>FIT-1231010B</t>
  </si>
  <si>
    <t>Apropriação</t>
  </si>
  <si>
    <t>Gas Lift B</t>
  </si>
  <si>
    <t>Marcus Fioravante</t>
  </si>
  <si>
    <t>Carolina Bastos</t>
  </si>
  <si>
    <t>26‐ODS‐70‐PRE‐004</t>
  </si>
  <si>
    <t>26‐ODS‐70‐PRE‐003</t>
  </si>
  <si>
    <t>26‐ODS‐70‐TEM‐002</t>
  </si>
  <si>
    <r>
      <t xml:space="preserve">1 - Os resultados apresentados neste documento aplicam-se somente ao equipamento calibrado indicado. </t>
    </r>
    <r>
      <rPr>
        <i/>
        <sz val="16"/>
        <color indexed="8"/>
        <rFont val="Calibri"/>
        <family val="2"/>
        <scheme val="minor"/>
      </rPr>
      <t>The results reported in this document apply only to the indicated equipment.</t>
    </r>
  </si>
  <si>
    <r>
      <t xml:space="preserve">2 - As incertezas expandidas de medição declaradas estão baseadas em suas respectivas incertezas padrão combinadas, multiplicadas pelo fator k correspondente, para infinitos graus de liberdade (veff) e uma probabilidade de abrangência de aproximadamente 95%. </t>
    </r>
    <r>
      <rPr>
        <i/>
        <sz val="16"/>
        <color indexed="8"/>
        <rFont val="Calibri"/>
        <family val="2"/>
        <scheme val="minor"/>
      </rPr>
      <t>The reported expanded uncertainty are based in their respective standard combined uncertainty, multiplied by k factor, for infinite degrees of freedom and a probability of aproximately 95%.</t>
    </r>
  </si>
  <si>
    <t>Atualização de Cromatografia</t>
  </si>
  <si>
    <t>0370.26 Rev. 00</t>
  </si>
  <si>
    <t>Relatório de Cálculo de Incerteza - Nº FORTE-UCG-FE-1231010B-26-04
Uncertainty Calculation Report - Nº FORTE-UCG-FE-1231010B-26-04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</si>
</sst>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00"/>
    <numFmt numFmtId="165" formatCode="0.00000"/>
    <numFmt numFmtId="166" formatCode="0.0000"/>
    <numFmt numFmtId="167" formatCode="0.000"/>
    <numFmt numFmtId="168" formatCode="0.000E+00"/>
    <numFmt numFmtId="169" formatCode="0.00000000"/>
    <numFmt numFmtId="170" formatCode="0.0"/>
    <numFmt numFmtId="171" formatCode="d\-mmm\-yyyy"/>
    <numFmt numFmtId="172" formatCode="[$-416]d\ \ mmmm\,\ yyyy;@"/>
    <numFmt numFmtId="173" formatCode="0.00000E+00"/>
    <numFmt numFmtId="174" formatCode="0.0000000"/>
    <numFmt numFmtId="175" formatCode="0.0000E+00"/>
  </numFmts>
  <fonts count="79" x14ac:knownFonts="1">
    <font>
      <sz val="10"/>
      <name val="Arial"/>
    </font>
    <font>
      <sz val="10"/>
      <name val="Arial"/>
      <family val="2"/>
    </font>
    <font>
      <vertAlign val="superscript"/>
      <sz val="10"/>
      <name val="Arial"/>
      <family val="2"/>
    </font>
    <font>
      <b/>
      <sz val="10"/>
      <name val="Arial"/>
      <family val="2"/>
    </font>
    <font>
      <b/>
      <sz val="10"/>
      <color indexed="10"/>
      <name val="Arial"/>
      <family val="2"/>
    </font>
    <font>
      <sz val="10"/>
      <color indexed="12"/>
      <name val="Arial"/>
      <family val="2"/>
    </font>
    <font>
      <sz val="10"/>
      <name val="Arial"/>
      <family val="2"/>
    </font>
    <font>
      <sz val="10"/>
      <name val="Symbol"/>
      <family val="1"/>
      <charset val="2"/>
    </font>
    <font>
      <sz val="10"/>
      <color indexed="10"/>
      <name val="Arial"/>
      <family val="2"/>
    </font>
    <font>
      <sz val="8"/>
      <name val="Arial"/>
      <family val="2"/>
    </font>
    <font>
      <b/>
      <sz val="12"/>
      <color indexed="10"/>
      <name val="Arial"/>
      <family val="2"/>
    </font>
    <font>
      <b/>
      <sz val="10"/>
      <color indexed="8"/>
      <name val="Arial"/>
      <family val="2"/>
    </font>
    <font>
      <b/>
      <sz val="10"/>
      <color indexed="12"/>
      <name val="Arial"/>
      <family val="2"/>
    </font>
    <font>
      <vertAlign val="subscript"/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color indexed="10"/>
      <name val="Arial"/>
      <family val="2"/>
    </font>
    <font>
      <sz val="10"/>
      <color indexed="8"/>
      <name val="Arial"/>
      <family val="2"/>
    </font>
    <font>
      <sz val="10"/>
      <color indexed="8"/>
      <name val="Symbol"/>
      <family val="1"/>
      <charset val="2"/>
    </font>
    <font>
      <b/>
      <sz val="16"/>
      <color indexed="10"/>
      <name val="Arial"/>
      <family val="2"/>
    </font>
    <font>
      <b/>
      <sz val="14"/>
      <color indexed="57"/>
      <name val="Arial"/>
      <family val="2"/>
    </font>
    <font>
      <sz val="12"/>
      <name val="Arial"/>
      <family val="2"/>
    </font>
    <font>
      <sz val="10"/>
      <color indexed="48"/>
      <name val="Arial"/>
      <family val="2"/>
    </font>
    <font>
      <sz val="11"/>
      <color indexed="10"/>
      <name val="Calibri"/>
      <family val="2"/>
    </font>
    <font>
      <sz val="9"/>
      <name val="Arial"/>
      <family val="2"/>
    </font>
    <font>
      <sz val="9"/>
      <color indexed="10"/>
      <name val="Arial"/>
      <family val="2"/>
    </font>
    <font>
      <sz val="11"/>
      <color indexed="10"/>
      <name val="Arial"/>
      <family val="2"/>
    </font>
    <font>
      <sz val="10"/>
      <name val="Calibri"/>
      <family val="2"/>
    </font>
    <font>
      <sz val="9"/>
      <color indexed="12"/>
      <name val="Arial"/>
      <family val="2"/>
    </font>
    <font>
      <vertAlign val="superscript"/>
      <sz val="10"/>
      <name val="Calibri"/>
      <family val="2"/>
    </font>
    <font>
      <vertAlign val="subscript"/>
      <sz val="10"/>
      <name val="Calibri"/>
      <family val="2"/>
    </font>
    <font>
      <sz val="11"/>
      <color rgb="FF3F3F76"/>
      <name val="Calibri"/>
      <family val="2"/>
      <scheme val="minor"/>
    </font>
    <font>
      <sz val="9"/>
      <color rgb="FF3F3F76"/>
      <name val="Calibri"/>
      <family val="2"/>
      <scheme val="minor"/>
    </font>
    <font>
      <sz val="10"/>
      <color rgb="FF3F3F76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0"/>
      <name val="Calibri"/>
      <family val="2"/>
      <scheme val="minor"/>
    </font>
    <font>
      <sz val="10"/>
      <color indexed="8"/>
      <name val="Calibri"/>
      <family val="2"/>
      <scheme val="minor"/>
    </font>
    <font>
      <sz val="10"/>
      <color indexed="10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vertAlign val="superscript"/>
      <sz val="10"/>
      <name val="Calibri"/>
      <family val="2"/>
      <scheme val="minor"/>
    </font>
    <font>
      <sz val="10"/>
      <color indexed="12"/>
      <name val="Calibri"/>
      <family val="2"/>
      <scheme val="minor"/>
    </font>
    <font>
      <b/>
      <sz val="10"/>
      <color indexed="10"/>
      <name val="Calibri"/>
      <family val="2"/>
      <scheme val="minor"/>
    </font>
    <font>
      <b/>
      <sz val="10"/>
      <color indexed="8"/>
      <name val="Calibri"/>
      <family val="2"/>
      <scheme val="minor"/>
    </font>
    <font>
      <sz val="11"/>
      <color indexed="10"/>
      <name val="Calibri"/>
      <family val="2"/>
      <scheme val="minor"/>
    </font>
    <font>
      <sz val="12"/>
      <color rgb="FF3F3F76"/>
      <name val="Calibri"/>
      <family val="2"/>
      <scheme val="minor"/>
    </font>
    <font>
      <sz val="10"/>
      <color rgb="FFFF0000"/>
      <name val="Calibri"/>
      <family val="2"/>
      <scheme val="minor"/>
    </font>
    <font>
      <sz val="12"/>
      <color indexed="8"/>
      <name val="Calibri"/>
      <family val="2"/>
      <scheme val="minor"/>
    </font>
    <font>
      <sz val="9"/>
      <color indexed="10"/>
      <name val="Calibri"/>
      <family val="2"/>
      <scheme val="minor"/>
    </font>
    <font>
      <b/>
      <sz val="11"/>
      <color indexed="10"/>
      <name val="Calibri"/>
      <family val="2"/>
      <scheme val="minor"/>
    </font>
    <font>
      <b/>
      <sz val="10"/>
      <color rgb="FFFF0000"/>
      <name val="Arial"/>
      <family val="2"/>
    </font>
    <font>
      <sz val="12"/>
      <color indexed="12"/>
      <name val="Calibri"/>
      <family val="2"/>
      <scheme val="minor"/>
    </font>
    <font>
      <sz val="20"/>
      <name val="Calibri"/>
      <family val="2"/>
      <scheme val="minor"/>
    </font>
    <font>
      <b/>
      <sz val="16"/>
      <name val="Calibri"/>
      <family val="2"/>
      <scheme val="minor"/>
    </font>
    <font>
      <sz val="8"/>
      <name val="Arial"/>
      <family val="2"/>
    </font>
    <font>
      <sz val="18"/>
      <name val="Arial"/>
      <family val="2"/>
    </font>
    <font>
      <sz val="14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Arial"/>
      <family val="2"/>
    </font>
    <font>
      <sz val="9"/>
      <color theme="0"/>
      <name val="Calibri"/>
      <family val="2"/>
      <scheme val="minor"/>
    </font>
    <font>
      <sz val="10"/>
      <name val="Aptos Narrow"/>
      <family val="2"/>
    </font>
    <font>
      <sz val="8"/>
      <color rgb="FF000000"/>
      <name val="Segoe UI"/>
      <family val="2"/>
    </font>
    <font>
      <sz val="12"/>
      <color rgb="FF000000"/>
      <name val="Calibri"/>
      <family val="2"/>
      <scheme val="minor"/>
    </font>
    <font>
      <vertAlign val="subscript"/>
      <sz val="12"/>
      <color rgb="FF000000"/>
      <name val="Calibri"/>
      <family val="2"/>
      <scheme val="minor"/>
    </font>
    <font>
      <vertAlign val="subscript"/>
      <sz val="12"/>
      <name val="Calibri"/>
      <family val="2"/>
      <scheme val="minor"/>
    </font>
    <font>
      <sz val="16"/>
      <name val="Calibri"/>
      <family val="2"/>
      <scheme val="minor"/>
    </font>
    <font>
      <vertAlign val="superscript"/>
      <sz val="16"/>
      <name val="Calibri"/>
      <family val="2"/>
      <scheme val="minor"/>
    </font>
    <font>
      <b/>
      <vertAlign val="subscript"/>
      <sz val="16"/>
      <name val="Calibri"/>
      <family val="2"/>
      <scheme val="minor"/>
    </font>
    <font>
      <sz val="16"/>
      <color indexed="8"/>
      <name val="Calibri"/>
      <family val="2"/>
      <scheme val="minor"/>
    </font>
    <font>
      <i/>
      <sz val="16"/>
      <color indexed="8"/>
      <name val="Calibri"/>
      <family val="2"/>
      <scheme val="minor"/>
    </font>
    <font>
      <i/>
      <sz val="16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16"/>
      <color indexed="8"/>
      <name val="Calibri"/>
      <family val="2"/>
      <scheme val="minor"/>
    </font>
    <font>
      <b/>
      <sz val="18"/>
      <name val="Calibri"/>
      <family val="2"/>
      <scheme val="minor"/>
    </font>
    <font>
      <b/>
      <sz val="2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14999847407452621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indexed="64"/>
      </right>
      <top/>
      <bottom/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31" fillId="2" borderId="13" applyNumberFormat="0" applyAlignment="0" applyProtection="0"/>
    <xf numFmtId="9" fontId="1" fillId="0" borderId="0" applyFont="0" applyFill="0" applyBorder="0" applyAlignment="0" applyProtection="0"/>
  </cellStyleXfs>
  <cellXfs count="602">
    <xf numFmtId="0" fontId="0" fillId="0" borderId="0" xfId="0"/>
    <xf numFmtId="0" fontId="3" fillId="0" borderId="0" xfId="0" applyFont="1"/>
    <xf numFmtId="0" fontId="6" fillId="0" borderId="0" xfId="0" applyFont="1" applyAlignment="1" applyProtection="1">
      <alignment vertical="center"/>
      <protection hidden="1"/>
    </xf>
    <xf numFmtId="167" fontId="5" fillId="0" borderId="0" xfId="0" applyNumberFormat="1" applyFont="1" applyAlignment="1" applyProtection="1">
      <alignment horizontal="center" vertical="center"/>
      <protection hidden="1"/>
    </xf>
    <xf numFmtId="0" fontId="6" fillId="0" borderId="0" xfId="0" applyFont="1" applyAlignment="1" applyProtection="1">
      <alignment horizontal="center" vertical="center"/>
      <protection hidden="1"/>
    </xf>
    <xf numFmtId="0" fontId="5" fillId="0" borderId="0" xfId="0" applyFont="1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1" xfId="0" applyBorder="1" applyAlignment="1" applyProtection="1">
      <alignment vertical="center"/>
      <protection hidden="1"/>
    </xf>
    <xf numFmtId="0" fontId="5" fillId="0" borderId="2" xfId="0" applyFont="1" applyBorder="1" applyAlignment="1" applyProtection="1">
      <alignment horizontal="center" vertical="center"/>
      <protection hidden="1"/>
    </xf>
    <xf numFmtId="0" fontId="6" fillId="0" borderId="3" xfId="0" applyFont="1" applyBorder="1" applyAlignment="1" applyProtection="1">
      <alignment vertical="center"/>
      <protection hidden="1"/>
    </xf>
    <xf numFmtId="0" fontId="0" fillId="0" borderId="4" xfId="0" applyBorder="1" applyAlignment="1" applyProtection="1">
      <alignment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9" fillId="0" borderId="0" xfId="0" applyFont="1" applyAlignment="1" applyProtection="1">
      <alignment horizontal="left" vertical="center"/>
      <protection hidden="1"/>
    </xf>
    <xf numFmtId="165" fontId="5" fillId="0" borderId="0" xfId="0" applyNumberFormat="1" applyFont="1" applyAlignment="1" applyProtection="1">
      <alignment horizontal="center" vertical="center"/>
      <protection hidden="1"/>
    </xf>
    <xf numFmtId="1" fontId="6" fillId="0" borderId="0" xfId="0" applyNumberFormat="1" applyFont="1" applyAlignment="1" applyProtection="1">
      <alignment horizontal="center" vertical="center"/>
      <protection hidden="1"/>
    </xf>
    <xf numFmtId="168" fontId="6" fillId="0" borderId="0" xfId="0" applyNumberFormat="1" applyFont="1" applyAlignment="1" applyProtection="1">
      <alignment horizontal="center" vertical="center"/>
      <protection hidden="1"/>
    </xf>
    <xf numFmtId="49" fontId="6" fillId="0" borderId="0" xfId="0" applyNumberFormat="1" applyFont="1" applyAlignment="1" applyProtection="1">
      <alignment horizontal="center" vertical="center"/>
      <protection hidden="1"/>
    </xf>
    <xf numFmtId="49" fontId="0" fillId="0" borderId="0" xfId="0" applyNumberFormat="1" applyAlignment="1" applyProtection="1">
      <alignment horizontal="center" vertical="center"/>
      <protection hidden="1"/>
    </xf>
    <xf numFmtId="167" fontId="0" fillId="0" borderId="0" xfId="0" applyNumberFormat="1" applyAlignment="1" applyProtection="1">
      <alignment horizontal="center" vertical="center"/>
      <protection hidden="1"/>
    </xf>
    <xf numFmtId="0" fontId="5" fillId="0" borderId="0" xfId="0" applyFont="1" applyAlignment="1" applyProtection="1">
      <alignment vertical="center"/>
      <protection hidden="1"/>
    </xf>
    <xf numFmtId="0" fontId="0" fillId="0" borderId="0" xfId="0" applyProtection="1">
      <protection hidden="1"/>
    </xf>
    <xf numFmtId="0" fontId="15" fillId="0" borderId="0" xfId="0" applyFont="1" applyAlignment="1" applyProtection="1">
      <alignment vertical="center"/>
      <protection hidden="1"/>
    </xf>
    <xf numFmtId="0" fontId="0" fillId="0" borderId="0" xfId="0" applyAlignment="1" applyProtection="1">
      <alignment vertical="center"/>
      <protection locked="0" hidden="1"/>
    </xf>
    <xf numFmtId="0" fontId="6" fillId="0" borderId="1" xfId="0" applyFont="1" applyBorder="1" applyAlignment="1" applyProtection="1">
      <alignment vertical="center"/>
      <protection hidden="1"/>
    </xf>
    <xf numFmtId="0" fontId="0" fillId="0" borderId="3" xfId="0" applyBorder="1" applyProtection="1">
      <protection hidden="1"/>
    </xf>
    <xf numFmtId="0" fontId="0" fillId="0" borderId="1" xfId="0" applyBorder="1" applyProtection="1">
      <protection hidden="1"/>
    </xf>
    <xf numFmtId="49" fontId="0" fillId="0" borderId="1" xfId="0" applyNumberFormat="1" applyBorder="1" applyAlignment="1" applyProtection="1">
      <alignment horizontal="center" vertical="center"/>
      <protection hidden="1"/>
    </xf>
    <xf numFmtId="49" fontId="6" fillId="0" borderId="1" xfId="0" applyNumberFormat="1" applyFont="1" applyBorder="1" applyAlignment="1" applyProtection="1">
      <alignment horizontal="center" vertical="center"/>
      <protection hidden="1"/>
    </xf>
    <xf numFmtId="2" fontId="5" fillId="0" borderId="1" xfId="0" applyNumberFormat="1" applyFont="1" applyBorder="1" applyAlignment="1" applyProtection="1">
      <alignment horizontal="center" vertical="center"/>
      <protection hidden="1"/>
    </xf>
    <xf numFmtId="0" fontId="3" fillId="0" borderId="0" xfId="0" applyFont="1" applyProtection="1">
      <protection hidden="1"/>
    </xf>
    <xf numFmtId="0" fontId="3" fillId="0" borderId="5" xfId="0" applyFon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Protection="1">
      <protection hidden="1"/>
    </xf>
    <xf numFmtId="0" fontId="0" fillId="0" borderId="6" xfId="0" applyBorder="1" applyProtection="1">
      <protection hidden="1"/>
    </xf>
    <xf numFmtId="0" fontId="0" fillId="0" borderId="4" xfId="0" applyBorder="1" applyProtection="1">
      <protection hidden="1"/>
    </xf>
    <xf numFmtId="0" fontId="0" fillId="0" borderId="0" xfId="0" applyProtection="1">
      <protection locked="0" hidden="1"/>
    </xf>
    <xf numFmtId="0" fontId="17" fillId="0" borderId="0" xfId="0" applyFont="1" applyAlignment="1" applyProtection="1">
      <alignment vertical="center"/>
      <protection hidden="1"/>
    </xf>
    <xf numFmtId="0" fontId="0" fillId="0" borderId="7" xfId="0" applyBorder="1" applyProtection="1">
      <protection hidden="1"/>
    </xf>
    <xf numFmtId="0" fontId="0" fillId="0" borderId="8" xfId="0" applyBorder="1" applyProtection="1">
      <protection hidden="1"/>
    </xf>
    <xf numFmtId="14" fontId="0" fillId="0" borderId="0" xfId="0" applyNumberFormat="1" applyProtection="1">
      <protection hidden="1"/>
    </xf>
    <xf numFmtId="0" fontId="5" fillId="0" borderId="0" xfId="0" applyFont="1" applyProtection="1">
      <protection hidden="1"/>
    </xf>
    <xf numFmtId="0" fontId="20" fillId="0" borderId="0" xfId="0" applyFont="1" applyProtection="1">
      <protection hidden="1"/>
    </xf>
    <xf numFmtId="0" fontId="20" fillId="0" borderId="1" xfId="0" applyFont="1" applyBorder="1" applyProtection="1">
      <protection hidden="1"/>
    </xf>
    <xf numFmtId="0" fontId="10" fillId="0" borderId="5" xfId="0" applyFont="1" applyBorder="1" applyProtection="1">
      <protection hidden="1"/>
    </xf>
    <xf numFmtId="0" fontId="16" fillId="0" borderId="5" xfId="0" applyFont="1" applyBorder="1" applyProtection="1">
      <protection hidden="1"/>
    </xf>
    <xf numFmtId="0" fontId="8" fillId="0" borderId="5" xfId="0" applyFont="1" applyBorder="1" applyProtection="1">
      <protection hidden="1"/>
    </xf>
    <xf numFmtId="0" fontId="0" fillId="0" borderId="9" xfId="0" applyBorder="1" applyProtection="1">
      <protection hidden="1"/>
    </xf>
    <xf numFmtId="0" fontId="4" fillId="0" borderId="9" xfId="0" applyFont="1" applyBorder="1" applyProtection="1">
      <protection hidden="1"/>
    </xf>
    <xf numFmtId="0" fontId="22" fillId="0" borderId="2" xfId="0" applyFont="1" applyBorder="1" applyAlignment="1" applyProtection="1">
      <alignment horizontal="center" vertical="center"/>
      <protection hidden="1"/>
    </xf>
    <xf numFmtId="0" fontId="22" fillId="0" borderId="0" xfId="0" applyFont="1" applyAlignment="1" applyProtection="1">
      <alignment horizontal="center" vertical="center"/>
      <protection hidden="1"/>
    </xf>
    <xf numFmtId="11" fontId="5" fillId="0" borderId="2" xfId="0" applyNumberFormat="1" applyFont="1" applyBorder="1" applyAlignment="1" applyProtection="1">
      <alignment horizontal="center" vertical="center"/>
      <protection hidden="1"/>
    </xf>
    <xf numFmtId="0" fontId="3" fillId="0" borderId="2" xfId="0" applyFont="1" applyBorder="1" applyAlignment="1" applyProtection="1">
      <alignment horizontal="center"/>
      <protection locked="0"/>
    </xf>
    <xf numFmtId="0" fontId="0" fillId="0" borderId="2" xfId="0" applyBorder="1" applyProtection="1">
      <protection locked="0"/>
    </xf>
    <xf numFmtId="0" fontId="19" fillId="0" borderId="0" xfId="0" applyFont="1"/>
    <xf numFmtId="0" fontId="6" fillId="0" borderId="0" xfId="0" applyFont="1" applyProtection="1">
      <protection hidden="1"/>
    </xf>
    <xf numFmtId="0" fontId="0" fillId="3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3" borderId="0" xfId="0" applyFill="1" applyAlignment="1" applyProtection="1">
      <alignment vertical="center"/>
      <protection hidden="1"/>
    </xf>
    <xf numFmtId="0" fontId="6" fillId="3" borderId="4" xfId="0" applyFont="1" applyFill="1" applyBorder="1" applyAlignment="1" applyProtection="1">
      <alignment vertical="center"/>
      <protection hidden="1"/>
    </xf>
    <xf numFmtId="0" fontId="6" fillId="3" borderId="1" xfId="0" applyFont="1" applyFill="1" applyBorder="1" applyAlignment="1" applyProtection="1">
      <alignment vertical="center"/>
      <protection hidden="1"/>
    </xf>
    <xf numFmtId="0" fontId="6" fillId="3" borderId="1" xfId="0" applyFont="1" applyFill="1" applyBorder="1" applyProtection="1">
      <protection hidden="1"/>
    </xf>
    <xf numFmtId="0" fontId="6" fillId="3" borderId="6" xfId="0" applyFont="1" applyFill="1" applyBorder="1" applyProtection="1">
      <protection hidden="1"/>
    </xf>
    <xf numFmtId="0" fontId="0" fillId="3" borderId="3" xfId="0" applyFill="1" applyBorder="1" applyAlignment="1" applyProtection="1">
      <alignment vertical="center"/>
      <protection hidden="1"/>
    </xf>
    <xf numFmtId="166" fontId="5" fillId="3" borderId="2" xfId="0" applyNumberFormat="1" applyFont="1" applyFill="1" applyBorder="1" applyAlignment="1" applyProtection="1">
      <alignment horizontal="center" vertical="center"/>
      <protection hidden="1"/>
    </xf>
    <xf numFmtId="0" fontId="6" fillId="3" borderId="0" xfId="0" applyFont="1" applyFill="1" applyProtection="1">
      <protection hidden="1"/>
    </xf>
    <xf numFmtId="0" fontId="6" fillId="3" borderId="0" xfId="0" applyFont="1" applyFill="1" applyAlignment="1" applyProtection="1">
      <alignment vertical="center"/>
      <protection hidden="1"/>
    </xf>
    <xf numFmtId="0" fontId="6" fillId="3" borderId="5" xfId="0" applyFont="1" applyFill="1" applyBorder="1" applyProtection="1">
      <protection hidden="1"/>
    </xf>
    <xf numFmtId="0" fontId="6" fillId="3" borderId="3" xfId="0" applyFont="1" applyFill="1" applyBorder="1" applyAlignment="1" applyProtection="1">
      <alignment vertical="center"/>
      <protection hidden="1"/>
    </xf>
    <xf numFmtId="0" fontId="0" fillId="3" borderId="5" xfId="0" applyFill="1" applyBorder="1" applyProtection="1">
      <protection hidden="1"/>
    </xf>
    <xf numFmtId="0" fontId="5" fillId="3" borderId="2" xfId="0" applyFont="1" applyFill="1" applyBorder="1" applyAlignment="1" applyProtection="1">
      <alignment horizontal="center" vertical="center"/>
      <protection hidden="1"/>
    </xf>
    <xf numFmtId="0" fontId="8" fillId="3" borderId="5" xfId="0" applyFont="1" applyFill="1" applyBorder="1" applyProtection="1">
      <protection hidden="1"/>
    </xf>
    <xf numFmtId="0" fontId="11" fillId="3" borderId="0" xfId="0" applyFont="1" applyFill="1" applyAlignment="1" applyProtection="1">
      <alignment horizontal="center"/>
      <protection locked="0"/>
    </xf>
    <xf numFmtId="0" fontId="2" fillId="3" borderId="0" xfId="0" applyFont="1" applyFill="1" applyAlignment="1" applyProtection="1">
      <alignment vertical="center"/>
      <protection hidden="1"/>
    </xf>
    <xf numFmtId="0" fontId="31" fillId="2" borderId="13" xfId="1" applyAlignment="1" applyProtection="1">
      <alignment horizontal="center" vertical="center"/>
      <protection locked="0"/>
    </xf>
    <xf numFmtId="0" fontId="32" fillId="2" borderId="13" xfId="1" applyFont="1" applyAlignment="1" applyProtection="1">
      <alignment horizontal="center" vertical="center"/>
      <protection locked="0"/>
    </xf>
    <xf numFmtId="0" fontId="6" fillId="3" borderId="0" xfId="0" applyFont="1" applyFill="1" applyAlignment="1" applyProtection="1">
      <alignment horizontal="left" vertical="center"/>
      <protection hidden="1"/>
    </xf>
    <xf numFmtId="0" fontId="24" fillId="3" borderId="0" xfId="0" applyFont="1" applyFill="1" applyProtection="1">
      <protection hidden="1"/>
    </xf>
    <xf numFmtId="0" fontId="24" fillId="3" borderId="0" xfId="0" applyFont="1" applyFill="1" applyAlignment="1" applyProtection="1">
      <alignment vertical="center"/>
      <protection hidden="1"/>
    </xf>
    <xf numFmtId="0" fontId="24" fillId="3" borderId="5" xfId="0" applyFont="1" applyFill="1" applyBorder="1" applyProtection="1">
      <protection hidden="1"/>
    </xf>
    <xf numFmtId="0" fontId="24" fillId="3" borderId="3" xfId="0" applyFont="1" applyFill="1" applyBorder="1" applyProtection="1">
      <protection hidden="1"/>
    </xf>
    <xf numFmtId="0" fontId="25" fillId="3" borderId="0" xfId="0" applyFont="1" applyFill="1" applyAlignment="1" applyProtection="1">
      <alignment horizontal="center" vertical="center"/>
      <protection hidden="1"/>
    </xf>
    <xf numFmtId="0" fontId="6" fillId="3" borderId="3" xfId="0" applyFont="1" applyFill="1" applyBorder="1" applyProtection="1">
      <protection hidden="1"/>
    </xf>
    <xf numFmtId="0" fontId="4" fillId="3" borderId="0" xfId="0" applyFont="1" applyFill="1" applyAlignment="1" applyProtection="1">
      <alignment horizontal="center" vertical="center"/>
      <protection hidden="1"/>
    </xf>
    <xf numFmtId="0" fontId="5" fillId="3" borderId="0" xfId="0" applyFont="1" applyFill="1" applyProtection="1">
      <protection hidden="1"/>
    </xf>
    <xf numFmtId="0" fontId="6" fillId="3" borderId="8" xfId="0" applyFont="1" applyFill="1" applyBorder="1" applyProtection="1">
      <protection hidden="1"/>
    </xf>
    <xf numFmtId="0" fontId="6" fillId="3" borderId="7" xfId="0" applyFont="1" applyFill="1" applyBorder="1" applyProtection="1">
      <protection hidden="1"/>
    </xf>
    <xf numFmtId="0" fontId="6" fillId="3" borderId="7" xfId="0" applyFont="1" applyFill="1" applyBorder="1" applyAlignment="1" applyProtection="1">
      <alignment vertical="center"/>
      <protection hidden="1"/>
    </xf>
    <xf numFmtId="0" fontId="5" fillId="3" borderId="7" xfId="0" applyFont="1" applyFill="1" applyBorder="1" applyProtection="1">
      <protection hidden="1"/>
    </xf>
    <xf numFmtId="0" fontId="0" fillId="3" borderId="7" xfId="0" applyFill="1" applyBorder="1" applyProtection="1">
      <protection hidden="1"/>
    </xf>
    <xf numFmtId="0" fontId="0" fillId="3" borderId="9" xfId="0" applyFill="1" applyBorder="1" applyProtection="1">
      <protection hidden="1"/>
    </xf>
    <xf numFmtId="0" fontId="27" fillId="3" borderId="0" xfId="0" applyFont="1" applyFill="1" applyAlignment="1" applyProtection="1">
      <alignment vertical="center"/>
      <protection hidden="1"/>
    </xf>
    <xf numFmtId="0" fontId="0" fillId="3" borderId="7" xfId="0" applyFill="1" applyBorder="1" applyAlignment="1" applyProtection="1">
      <alignment vertical="center"/>
      <protection hidden="1"/>
    </xf>
    <xf numFmtId="0" fontId="9" fillId="3" borderId="0" xfId="0" applyFont="1" applyFill="1" applyAlignment="1" applyProtection="1">
      <alignment horizontal="left" vertical="center"/>
      <protection hidden="1"/>
    </xf>
    <xf numFmtId="0" fontId="3" fillId="3" borderId="0" xfId="0" applyFont="1" applyFill="1" applyAlignment="1" applyProtection="1">
      <alignment horizontal="center" vertical="center"/>
      <protection hidden="1"/>
    </xf>
    <xf numFmtId="0" fontId="0" fillId="3" borderId="8" xfId="0" applyFill="1" applyBorder="1" applyAlignment="1" applyProtection="1">
      <alignment vertical="center"/>
      <protection hidden="1"/>
    </xf>
    <xf numFmtId="0" fontId="9" fillId="3" borderId="7" xfId="0" applyFont="1" applyFill="1" applyBorder="1" applyAlignment="1" applyProtection="1">
      <alignment horizontal="center" vertical="center"/>
      <protection hidden="1"/>
    </xf>
    <xf numFmtId="0" fontId="6" fillId="3" borderId="7" xfId="0" applyFont="1" applyFill="1" applyBorder="1" applyAlignment="1" applyProtection="1">
      <alignment horizontal="right" vertical="center"/>
      <protection hidden="1"/>
    </xf>
    <xf numFmtId="0" fontId="8" fillId="3" borderId="7" xfId="0" applyFont="1" applyFill="1" applyBorder="1" applyProtection="1">
      <protection hidden="1"/>
    </xf>
    <xf numFmtId="0" fontId="5" fillId="3" borderId="0" xfId="0" applyFont="1" applyFill="1" applyAlignment="1" applyProtection="1">
      <alignment horizontal="center" vertical="center"/>
      <protection hidden="1"/>
    </xf>
    <xf numFmtId="0" fontId="3" fillId="3" borderId="0" xfId="0" applyFont="1" applyFill="1" applyAlignment="1" applyProtection="1">
      <alignment horizontal="center" vertical="center"/>
      <protection locked="0"/>
    </xf>
    <xf numFmtId="0" fontId="6" fillId="3" borderId="0" xfId="0" applyFont="1" applyFill="1" applyAlignment="1" applyProtection="1">
      <alignment horizontal="left" vertical="center" wrapText="1"/>
      <protection hidden="1"/>
    </xf>
    <xf numFmtId="0" fontId="6" fillId="3" borderId="5" xfId="0" applyFont="1" applyFill="1" applyBorder="1" applyAlignment="1" applyProtection="1">
      <alignment horizontal="left" vertical="center" wrapText="1"/>
      <protection hidden="1"/>
    </xf>
    <xf numFmtId="0" fontId="6" fillId="3" borderId="0" xfId="0" applyFont="1" applyFill="1" applyAlignment="1" applyProtection="1">
      <alignment horizontal="center" vertical="center"/>
      <protection locked="0"/>
    </xf>
    <xf numFmtId="0" fontId="28" fillId="3" borderId="2" xfId="0" applyFont="1" applyFill="1" applyBorder="1" applyAlignment="1" applyProtection="1">
      <alignment horizontal="center" vertical="center"/>
      <protection hidden="1"/>
    </xf>
    <xf numFmtId="164" fontId="5" fillId="3" borderId="2" xfId="0" applyNumberFormat="1" applyFont="1" applyFill="1" applyBorder="1" applyAlignment="1" applyProtection="1">
      <alignment horizontal="center" vertical="center"/>
      <protection hidden="1"/>
    </xf>
    <xf numFmtId="0" fontId="17" fillId="3" borderId="0" xfId="0" applyFont="1" applyFill="1" applyAlignment="1" applyProtection="1">
      <alignment vertical="center"/>
      <protection hidden="1"/>
    </xf>
    <xf numFmtId="0" fontId="17" fillId="3" borderId="5" xfId="0" applyFont="1" applyFill="1" applyBorder="1" applyAlignment="1" applyProtection="1">
      <alignment vertical="center"/>
      <protection hidden="1"/>
    </xf>
    <xf numFmtId="0" fontId="26" fillId="3" borderId="9" xfId="0" applyFont="1" applyFill="1" applyBorder="1" applyProtection="1">
      <protection hidden="1"/>
    </xf>
    <xf numFmtId="0" fontId="33" fillId="2" borderId="13" xfId="1" applyFont="1" applyAlignment="1" applyProtection="1">
      <alignment horizontal="center" vertical="center"/>
      <protection locked="0"/>
    </xf>
    <xf numFmtId="0" fontId="6" fillId="3" borderId="0" xfId="0" applyFont="1" applyFill="1" applyAlignment="1" applyProtection="1">
      <alignment vertical="center" wrapText="1"/>
      <protection hidden="1"/>
    </xf>
    <xf numFmtId="0" fontId="0" fillId="4" borderId="4" xfId="0" applyFill="1" applyBorder="1" applyProtection="1">
      <protection hidden="1"/>
    </xf>
    <xf numFmtId="0" fontId="0" fillId="4" borderId="6" xfId="0" applyFill="1" applyBorder="1" applyProtection="1">
      <protection hidden="1"/>
    </xf>
    <xf numFmtId="0" fontId="0" fillId="4" borderId="3" xfId="0" applyFill="1" applyBorder="1" applyProtection="1">
      <protection hidden="1"/>
    </xf>
    <xf numFmtId="0" fontId="6" fillId="4" borderId="5" xfId="0" applyFont="1" applyFill="1" applyBorder="1" applyProtection="1">
      <protection hidden="1"/>
    </xf>
    <xf numFmtId="2" fontId="5" fillId="3" borderId="2" xfId="0" applyNumberFormat="1" applyFont="1" applyFill="1" applyBorder="1" applyAlignment="1" applyProtection="1">
      <alignment horizontal="center" vertical="center"/>
      <protection hidden="1"/>
    </xf>
    <xf numFmtId="0" fontId="0" fillId="4" borderId="8" xfId="0" applyFill="1" applyBorder="1" applyProtection="1">
      <protection hidden="1"/>
    </xf>
    <xf numFmtId="0" fontId="6" fillId="4" borderId="9" xfId="0" applyFont="1" applyFill="1" applyBorder="1" applyProtection="1">
      <protection hidden="1"/>
    </xf>
    <xf numFmtId="11" fontId="5" fillId="3" borderId="0" xfId="0" applyNumberFormat="1" applyFont="1" applyFill="1" applyAlignment="1" applyProtection="1">
      <alignment horizontal="center" vertical="center"/>
      <protection hidden="1"/>
    </xf>
    <xf numFmtId="11" fontId="0" fillId="0" borderId="0" xfId="0" applyNumberFormat="1"/>
    <xf numFmtId="2" fontId="0" fillId="0" borderId="0" xfId="0" applyNumberFormat="1"/>
    <xf numFmtId="166" fontId="6" fillId="3" borderId="0" xfId="0" applyNumberFormat="1" applyFont="1" applyFill="1" applyAlignment="1" applyProtection="1">
      <alignment vertical="center"/>
      <protection hidden="1"/>
    </xf>
    <xf numFmtId="166" fontId="5" fillId="3" borderId="0" xfId="0" applyNumberFormat="1" applyFont="1" applyFill="1" applyAlignment="1" applyProtection="1">
      <alignment horizontal="center" vertical="center"/>
      <protection hidden="1"/>
    </xf>
    <xf numFmtId="169" fontId="5" fillId="3" borderId="2" xfId="0" applyNumberFormat="1" applyFont="1" applyFill="1" applyBorder="1" applyAlignment="1" applyProtection="1">
      <alignment horizontal="center" vertical="center"/>
      <protection hidden="1"/>
    </xf>
    <xf numFmtId="166" fontId="6" fillId="3" borderId="1" xfId="0" applyNumberFormat="1" applyFont="1" applyFill="1" applyBorder="1" applyAlignment="1" applyProtection="1">
      <alignment vertical="center"/>
      <protection hidden="1"/>
    </xf>
    <xf numFmtId="166" fontId="3" fillId="3" borderId="0" xfId="0" applyNumberFormat="1" applyFont="1" applyFill="1" applyAlignment="1" applyProtection="1">
      <alignment horizontal="center" vertical="center"/>
      <protection locked="0"/>
    </xf>
    <xf numFmtId="11" fontId="6" fillId="3" borderId="0" xfId="0" applyNumberFormat="1" applyFont="1" applyFill="1" applyAlignment="1" applyProtection="1">
      <alignment vertical="center"/>
      <protection hidden="1"/>
    </xf>
    <xf numFmtId="168" fontId="31" fillId="2" borderId="13" xfId="1" applyNumberFormat="1" applyAlignment="1" applyProtection="1">
      <alignment horizontal="center" vertical="center"/>
      <protection locked="0"/>
    </xf>
    <xf numFmtId="0" fontId="38" fillId="0" borderId="0" xfId="0" applyFont="1" applyProtection="1">
      <protection hidden="1"/>
    </xf>
    <xf numFmtId="0" fontId="38" fillId="3" borderId="0" xfId="0" applyFont="1" applyFill="1" applyProtection="1">
      <protection hidden="1"/>
    </xf>
    <xf numFmtId="0" fontId="38" fillId="3" borderId="9" xfId="0" applyFont="1" applyFill="1" applyBorder="1" applyProtection="1">
      <protection hidden="1"/>
    </xf>
    <xf numFmtId="0" fontId="38" fillId="3" borderId="7" xfId="0" applyFont="1" applyFill="1" applyBorder="1" applyProtection="1">
      <protection hidden="1"/>
    </xf>
    <xf numFmtId="0" fontId="38" fillId="3" borderId="7" xfId="0" applyFont="1" applyFill="1" applyBorder="1" applyAlignment="1" applyProtection="1">
      <alignment vertical="center"/>
      <protection hidden="1"/>
    </xf>
    <xf numFmtId="0" fontId="40" fillId="3" borderId="7" xfId="0" applyFont="1" applyFill="1" applyBorder="1" applyProtection="1">
      <protection hidden="1"/>
    </xf>
    <xf numFmtId="0" fontId="38" fillId="3" borderId="7" xfId="0" applyFont="1" applyFill="1" applyBorder="1" applyAlignment="1" applyProtection="1">
      <alignment horizontal="right" vertical="center"/>
      <protection hidden="1"/>
    </xf>
    <xf numFmtId="0" fontId="37" fillId="3" borderId="7" xfId="0" applyFont="1" applyFill="1" applyBorder="1" applyAlignment="1" applyProtection="1">
      <alignment horizontal="center" vertical="center"/>
      <protection hidden="1"/>
    </xf>
    <xf numFmtId="0" fontId="38" fillId="3" borderId="8" xfId="0" applyFont="1" applyFill="1" applyBorder="1" applyAlignment="1" applyProtection="1">
      <alignment vertical="center"/>
      <protection hidden="1"/>
    </xf>
    <xf numFmtId="0" fontId="38" fillId="3" borderId="0" xfId="0" applyFont="1" applyFill="1" applyAlignment="1" applyProtection="1">
      <alignment vertical="center"/>
      <protection hidden="1"/>
    </xf>
    <xf numFmtId="0" fontId="38" fillId="3" borderId="5" xfId="0" applyFont="1" applyFill="1" applyBorder="1" applyProtection="1">
      <protection hidden="1"/>
    </xf>
    <xf numFmtId="0" fontId="41" fillId="3" borderId="0" xfId="0" applyFont="1" applyFill="1" applyAlignment="1" applyProtection="1">
      <alignment horizontal="center" vertical="center"/>
      <protection hidden="1"/>
    </xf>
    <xf numFmtId="0" fontId="37" fillId="3" borderId="0" xfId="0" applyFont="1" applyFill="1" applyAlignment="1" applyProtection="1">
      <alignment horizontal="left" vertical="center"/>
      <protection hidden="1"/>
    </xf>
    <xf numFmtId="0" fontId="38" fillId="3" borderId="3" xfId="0" applyFont="1" applyFill="1" applyBorder="1" applyAlignment="1" applyProtection="1">
      <alignment vertical="center"/>
      <protection hidden="1"/>
    </xf>
    <xf numFmtId="0" fontId="38" fillId="3" borderId="6" xfId="0" applyFont="1" applyFill="1" applyBorder="1" applyProtection="1">
      <protection hidden="1"/>
    </xf>
    <xf numFmtId="0" fontId="38" fillId="3" borderId="1" xfId="0" applyFont="1" applyFill="1" applyBorder="1" applyProtection="1">
      <protection hidden="1"/>
    </xf>
    <xf numFmtId="0" fontId="38" fillId="3" borderId="1" xfId="0" applyFont="1" applyFill="1" applyBorder="1" applyAlignment="1" applyProtection="1">
      <alignment vertical="center"/>
      <protection hidden="1"/>
    </xf>
    <xf numFmtId="0" fontId="38" fillId="3" borderId="4" xfId="0" applyFont="1" applyFill="1" applyBorder="1" applyAlignment="1" applyProtection="1">
      <alignment vertical="center"/>
      <protection hidden="1"/>
    </xf>
    <xf numFmtId="0" fontId="38" fillId="3" borderId="8" xfId="0" applyFont="1" applyFill="1" applyBorder="1" applyProtection="1">
      <protection hidden="1"/>
    </xf>
    <xf numFmtId="0" fontId="38" fillId="3" borderId="3" xfId="0" applyFont="1" applyFill="1" applyBorder="1" applyProtection="1">
      <protection hidden="1"/>
    </xf>
    <xf numFmtId="0" fontId="38" fillId="3" borderId="5" xfId="0" applyFont="1" applyFill="1" applyBorder="1" applyAlignment="1" applyProtection="1">
      <alignment horizontal="left" vertical="center"/>
      <protection hidden="1"/>
    </xf>
    <xf numFmtId="0" fontId="42" fillId="3" borderId="0" xfId="0" applyFont="1" applyFill="1" applyAlignment="1" applyProtection="1">
      <alignment vertical="center"/>
      <protection hidden="1"/>
    </xf>
    <xf numFmtId="0" fontId="43" fillId="3" borderId="0" xfId="0" applyFont="1" applyFill="1" applyAlignment="1" applyProtection="1">
      <alignment vertical="center"/>
      <protection hidden="1"/>
    </xf>
    <xf numFmtId="0" fontId="38" fillId="3" borderId="0" xfId="0" applyFont="1" applyFill="1" applyAlignment="1" applyProtection="1">
      <alignment horizontal="center" vertical="center"/>
      <protection hidden="1"/>
    </xf>
    <xf numFmtId="0" fontId="38" fillId="3" borderId="0" xfId="0" applyFont="1" applyFill="1" applyAlignment="1" applyProtection="1">
      <alignment horizontal="left" vertical="center"/>
      <protection hidden="1"/>
    </xf>
    <xf numFmtId="0" fontId="42" fillId="3" borderId="0" xfId="0" applyFont="1" applyFill="1" applyProtection="1">
      <protection hidden="1"/>
    </xf>
    <xf numFmtId="0" fontId="43" fillId="3" borderId="3" xfId="0" applyFont="1" applyFill="1" applyBorder="1" applyAlignment="1" applyProtection="1">
      <alignment vertical="center"/>
      <protection hidden="1"/>
    </xf>
    <xf numFmtId="0" fontId="44" fillId="3" borderId="7" xfId="0" applyFont="1" applyFill="1" applyBorder="1" applyProtection="1">
      <protection hidden="1"/>
    </xf>
    <xf numFmtId="0" fontId="40" fillId="3" borderId="5" xfId="0" applyFont="1" applyFill="1" applyBorder="1" applyProtection="1">
      <protection hidden="1"/>
    </xf>
    <xf numFmtId="0" fontId="44" fillId="3" borderId="0" xfId="0" applyFont="1" applyFill="1" applyProtection="1">
      <protection hidden="1"/>
    </xf>
    <xf numFmtId="0" fontId="45" fillId="3" borderId="0" xfId="0" applyFont="1" applyFill="1" applyAlignment="1" applyProtection="1">
      <alignment horizontal="center" vertical="center"/>
      <protection hidden="1"/>
    </xf>
    <xf numFmtId="0" fontId="46" fillId="3" borderId="0" xfId="0" applyFont="1" applyFill="1" applyAlignment="1" applyProtection="1">
      <alignment horizontal="center"/>
      <protection locked="0"/>
    </xf>
    <xf numFmtId="0" fontId="44" fillId="3" borderId="2" xfId="0" applyFont="1" applyFill="1" applyBorder="1" applyAlignment="1" applyProtection="1">
      <alignment horizontal="center" vertical="center"/>
      <protection hidden="1"/>
    </xf>
    <xf numFmtId="166" fontId="44" fillId="3" borderId="2" xfId="0" applyNumberFormat="1" applyFont="1" applyFill="1" applyBorder="1" applyAlignment="1" applyProtection="1">
      <alignment horizontal="center" vertical="center"/>
      <protection hidden="1"/>
    </xf>
    <xf numFmtId="166" fontId="38" fillId="3" borderId="0" xfId="0" applyNumberFormat="1" applyFont="1" applyFill="1" applyAlignment="1" applyProtection="1">
      <alignment vertical="center"/>
      <protection hidden="1"/>
    </xf>
    <xf numFmtId="2" fontId="44" fillId="3" borderId="2" xfId="0" applyNumberFormat="1" applyFont="1" applyFill="1" applyBorder="1" applyAlignment="1" applyProtection="1">
      <alignment horizontal="center" vertical="center"/>
      <protection hidden="1"/>
    </xf>
    <xf numFmtId="0" fontId="37" fillId="3" borderId="0" xfId="0" applyFont="1" applyFill="1" applyAlignment="1" applyProtection="1">
      <alignment horizontal="center" vertical="center"/>
      <protection hidden="1"/>
    </xf>
    <xf numFmtId="0" fontId="38" fillId="3" borderId="10" xfId="0" applyFont="1" applyFill="1" applyBorder="1" applyAlignment="1" applyProtection="1">
      <alignment vertical="center"/>
      <protection hidden="1"/>
    </xf>
    <xf numFmtId="0" fontId="38" fillId="0" borderId="0" xfId="0" applyFont="1" applyAlignment="1" applyProtection="1">
      <alignment vertical="center"/>
      <protection hidden="1"/>
    </xf>
    <xf numFmtId="0" fontId="47" fillId="3" borderId="7" xfId="0" applyFont="1" applyFill="1" applyBorder="1" applyProtection="1">
      <protection hidden="1"/>
    </xf>
    <xf numFmtId="0" fontId="47" fillId="3" borderId="9" xfId="0" applyFont="1" applyFill="1" applyBorder="1" applyProtection="1">
      <protection hidden="1"/>
    </xf>
    <xf numFmtId="0" fontId="40" fillId="3" borderId="0" xfId="0" applyFont="1" applyFill="1" applyAlignment="1" applyProtection="1">
      <alignment horizontal="center" vertical="center"/>
      <protection hidden="1"/>
    </xf>
    <xf numFmtId="0" fontId="41" fillId="3" borderId="0" xfId="0" applyFont="1" applyFill="1" applyAlignment="1" applyProtection="1">
      <alignment horizontal="center" vertical="center"/>
      <protection locked="0"/>
    </xf>
    <xf numFmtId="0" fontId="0" fillId="3" borderId="0" xfId="0" applyFill="1"/>
    <xf numFmtId="0" fontId="38" fillId="3" borderId="1" xfId="0" applyFont="1" applyFill="1" applyBorder="1" applyAlignment="1" applyProtection="1">
      <alignment horizontal="center" vertical="center"/>
      <protection hidden="1"/>
    </xf>
    <xf numFmtId="0" fontId="38" fillId="3" borderId="0" xfId="0" applyFont="1" applyFill="1" applyAlignment="1" applyProtection="1">
      <alignment horizontal="right" vertical="center"/>
      <protection hidden="1"/>
    </xf>
    <xf numFmtId="0" fontId="39" fillId="3" borderId="5" xfId="0" applyFont="1" applyFill="1" applyBorder="1" applyAlignment="1" applyProtection="1">
      <alignment vertical="center"/>
      <protection hidden="1"/>
    </xf>
    <xf numFmtId="0" fontId="39" fillId="3" borderId="0" xfId="0" applyFont="1" applyFill="1" applyAlignment="1" applyProtection="1">
      <alignment vertical="center"/>
      <protection hidden="1"/>
    </xf>
    <xf numFmtId="11" fontId="44" fillId="3" borderId="2" xfId="0" applyNumberFormat="1" applyFont="1" applyFill="1" applyBorder="1" applyAlignment="1" applyProtection="1">
      <alignment horizontal="center" vertical="center"/>
      <protection hidden="1"/>
    </xf>
    <xf numFmtId="0" fontId="44" fillId="3" borderId="0" xfId="0" applyFont="1" applyFill="1" applyAlignment="1" applyProtection="1">
      <alignment horizontal="center" vertical="center"/>
      <protection hidden="1"/>
    </xf>
    <xf numFmtId="0" fontId="46" fillId="3" borderId="0" xfId="0" applyFont="1" applyFill="1" applyAlignment="1" applyProtection="1">
      <alignment horizontal="center" vertical="center"/>
      <protection locked="0"/>
    </xf>
    <xf numFmtId="0" fontId="38" fillId="3" borderId="5" xfId="0" applyFont="1" applyFill="1" applyBorder="1" applyAlignment="1" applyProtection="1">
      <alignment vertical="center" wrapText="1"/>
      <protection hidden="1"/>
    </xf>
    <xf numFmtId="0" fontId="38" fillId="3" borderId="0" xfId="0" applyFont="1" applyFill="1" applyAlignment="1" applyProtection="1">
      <alignment vertical="center" wrapText="1"/>
      <protection hidden="1"/>
    </xf>
    <xf numFmtId="166" fontId="44" fillId="3" borderId="0" xfId="0" applyNumberFormat="1" applyFont="1" applyFill="1" applyAlignment="1" applyProtection="1">
      <alignment horizontal="center" vertical="center"/>
      <protection hidden="1"/>
    </xf>
    <xf numFmtId="0" fontId="49" fillId="3" borderId="5" xfId="0" applyFont="1" applyFill="1" applyBorder="1" applyAlignment="1" applyProtection="1">
      <alignment horizontal="left" vertical="center"/>
      <protection hidden="1"/>
    </xf>
    <xf numFmtId="0" fontId="38" fillId="3" borderId="0" xfId="0" applyFont="1" applyFill="1" applyAlignment="1" applyProtection="1">
      <alignment horizontal="left" vertical="center" wrapText="1"/>
      <protection hidden="1"/>
    </xf>
    <xf numFmtId="0" fontId="38" fillId="3" borderId="5" xfId="0" applyFont="1" applyFill="1" applyBorder="1" applyAlignment="1" applyProtection="1">
      <alignment horizontal="left" vertical="center" wrapText="1"/>
      <protection hidden="1"/>
    </xf>
    <xf numFmtId="0" fontId="39" fillId="3" borderId="0" xfId="0" applyFont="1" applyFill="1" applyAlignment="1" applyProtection="1">
      <alignment horizontal="center" vertical="center"/>
      <protection locked="0"/>
    </xf>
    <xf numFmtId="164" fontId="44" fillId="3" borderId="2" xfId="0" applyNumberFormat="1" applyFont="1" applyFill="1" applyBorder="1" applyAlignment="1" applyProtection="1">
      <alignment horizontal="center" vertical="center"/>
      <protection hidden="1"/>
    </xf>
    <xf numFmtId="0" fontId="38" fillId="3" borderId="0" xfId="0" applyFont="1" applyFill="1" applyAlignment="1" applyProtection="1">
      <alignment horizontal="center" vertical="center"/>
      <protection locked="0"/>
    </xf>
    <xf numFmtId="0" fontId="47" fillId="3" borderId="5" xfId="0" applyFont="1" applyFill="1" applyBorder="1" applyProtection="1">
      <protection hidden="1"/>
    </xf>
    <xf numFmtId="0" fontId="38" fillId="3" borderId="9" xfId="0" applyFont="1" applyFill="1" applyBorder="1" applyAlignment="1" applyProtection="1">
      <alignment vertical="center"/>
      <protection hidden="1"/>
    </xf>
    <xf numFmtId="0" fontId="38" fillId="3" borderId="5" xfId="0" applyFont="1" applyFill="1" applyBorder="1" applyAlignment="1" applyProtection="1">
      <alignment vertical="center"/>
      <protection hidden="1"/>
    </xf>
    <xf numFmtId="0" fontId="45" fillId="3" borderId="0" xfId="0" applyFont="1" applyFill="1" applyProtection="1">
      <protection hidden="1"/>
    </xf>
    <xf numFmtId="0" fontId="45" fillId="3" borderId="0" xfId="0" applyFont="1" applyFill="1" applyAlignment="1" applyProtection="1">
      <alignment vertical="center"/>
      <protection hidden="1"/>
    </xf>
    <xf numFmtId="0" fontId="39" fillId="3" borderId="7" xfId="0" applyFont="1" applyFill="1" applyBorder="1" applyAlignment="1" applyProtection="1">
      <alignment vertical="center"/>
      <protection hidden="1"/>
    </xf>
    <xf numFmtId="0" fontId="34" fillId="3" borderId="0" xfId="0" applyFont="1" applyFill="1" applyAlignment="1" applyProtection="1">
      <alignment vertical="center"/>
      <protection hidden="1"/>
    </xf>
    <xf numFmtId="0" fontId="50" fillId="3" borderId="0" xfId="0" applyFont="1" applyFill="1" applyAlignment="1" applyProtection="1">
      <alignment vertical="center"/>
      <protection hidden="1"/>
    </xf>
    <xf numFmtId="2" fontId="38" fillId="3" borderId="0" xfId="0" applyNumberFormat="1" applyFont="1" applyFill="1" applyAlignment="1" applyProtection="1">
      <alignment vertical="center"/>
      <protection hidden="1"/>
    </xf>
    <xf numFmtId="0" fontId="47" fillId="3" borderId="0" xfId="0" applyFont="1" applyFill="1" applyAlignment="1" applyProtection="1">
      <alignment vertical="center"/>
      <protection hidden="1"/>
    </xf>
    <xf numFmtId="0" fontId="45" fillId="3" borderId="0" xfId="0" applyFont="1" applyFill="1" applyAlignment="1" applyProtection="1">
      <alignment horizontal="left" vertical="center"/>
      <protection hidden="1"/>
    </xf>
    <xf numFmtId="0" fontId="41" fillId="3" borderId="0" xfId="0" applyFont="1" applyFill="1" applyAlignment="1" applyProtection="1">
      <alignment horizontal="left" vertical="center"/>
      <protection hidden="1"/>
    </xf>
    <xf numFmtId="0" fontId="41" fillId="3" borderId="0" xfId="0" applyFont="1" applyFill="1" applyAlignment="1" applyProtection="1">
      <alignment vertical="center"/>
      <protection hidden="1"/>
    </xf>
    <xf numFmtId="0" fontId="45" fillId="3" borderId="1" xfId="0" applyFont="1" applyFill="1" applyBorder="1" applyAlignment="1" applyProtection="1">
      <alignment horizontal="left" vertical="center"/>
      <protection hidden="1"/>
    </xf>
    <xf numFmtId="0" fontId="41" fillId="3" borderId="1" xfId="0" applyFont="1" applyFill="1" applyBorder="1" applyAlignment="1" applyProtection="1">
      <alignment horizontal="left" vertical="center"/>
      <protection hidden="1"/>
    </xf>
    <xf numFmtId="0" fontId="51" fillId="3" borderId="1" xfId="0" applyFont="1" applyFill="1" applyBorder="1" applyAlignment="1" applyProtection="1">
      <alignment horizontal="center" vertical="center"/>
      <protection hidden="1"/>
    </xf>
    <xf numFmtId="0" fontId="45" fillId="3" borderId="1" xfId="0" applyFont="1" applyFill="1" applyBorder="1" applyAlignment="1" applyProtection="1">
      <alignment horizontal="center" vertical="center"/>
      <protection hidden="1"/>
    </xf>
    <xf numFmtId="0" fontId="41" fillId="3" borderId="1" xfId="0" applyFont="1" applyFill="1" applyBorder="1" applyAlignment="1" applyProtection="1">
      <alignment vertical="center"/>
      <protection hidden="1"/>
    </xf>
    <xf numFmtId="0" fontId="41" fillId="3" borderId="1" xfId="0" applyFont="1" applyFill="1" applyBorder="1" applyAlignment="1" applyProtection="1">
      <alignment horizontal="center" vertical="center"/>
      <protection hidden="1"/>
    </xf>
    <xf numFmtId="165" fontId="44" fillId="3" borderId="0" xfId="0" applyNumberFormat="1" applyFont="1" applyFill="1" applyAlignment="1" applyProtection="1">
      <alignment horizontal="center" vertical="center"/>
      <protection hidden="1"/>
    </xf>
    <xf numFmtId="1" fontId="44" fillId="3" borderId="0" xfId="0" applyNumberFormat="1" applyFont="1" applyFill="1" applyAlignment="1" applyProtection="1">
      <alignment horizontal="center" vertical="center"/>
      <protection hidden="1"/>
    </xf>
    <xf numFmtId="168" fontId="44" fillId="3" borderId="0" xfId="0" applyNumberFormat="1" applyFont="1" applyFill="1" applyAlignment="1" applyProtection="1">
      <alignment horizontal="center" vertical="center"/>
      <protection hidden="1"/>
    </xf>
    <xf numFmtId="164" fontId="44" fillId="3" borderId="0" xfId="0" applyNumberFormat="1" applyFont="1" applyFill="1" applyAlignment="1" applyProtection="1">
      <alignment horizontal="center" vertical="center"/>
      <protection hidden="1"/>
    </xf>
    <xf numFmtId="0" fontId="38" fillId="3" borderId="6" xfId="0" applyFont="1" applyFill="1" applyBorder="1" applyAlignment="1" applyProtection="1">
      <alignment vertical="center"/>
      <protection hidden="1"/>
    </xf>
    <xf numFmtId="1" fontId="38" fillId="3" borderId="1" xfId="0" applyNumberFormat="1" applyFont="1" applyFill="1" applyBorder="1" applyAlignment="1" applyProtection="1">
      <alignment vertical="center"/>
      <protection hidden="1"/>
    </xf>
    <xf numFmtId="11" fontId="38" fillId="3" borderId="1" xfId="0" applyNumberFormat="1" applyFont="1" applyFill="1" applyBorder="1" applyAlignment="1" applyProtection="1">
      <alignment vertical="center"/>
      <protection hidden="1"/>
    </xf>
    <xf numFmtId="1" fontId="38" fillId="3" borderId="0" xfId="0" applyNumberFormat="1" applyFont="1" applyFill="1" applyAlignment="1" applyProtection="1">
      <alignment vertical="center"/>
      <protection hidden="1"/>
    </xf>
    <xf numFmtId="11" fontId="38" fillId="3" borderId="0" xfId="0" applyNumberFormat="1" applyFont="1" applyFill="1" applyAlignment="1" applyProtection="1">
      <alignment vertical="center"/>
      <protection hidden="1"/>
    </xf>
    <xf numFmtId="0" fontId="38" fillId="3" borderId="7" xfId="0" applyFont="1" applyFill="1" applyBorder="1" applyAlignment="1" applyProtection="1">
      <alignment horizontal="center" vertical="center"/>
      <protection hidden="1"/>
    </xf>
    <xf numFmtId="164" fontId="38" fillId="3" borderId="7" xfId="0" applyNumberFormat="1" applyFont="1" applyFill="1" applyBorder="1" applyAlignment="1" applyProtection="1">
      <alignment vertical="center"/>
      <protection hidden="1"/>
    </xf>
    <xf numFmtId="168" fontId="38" fillId="3" borderId="7" xfId="0" applyNumberFormat="1" applyFont="1" applyFill="1" applyBorder="1" applyAlignment="1" applyProtection="1">
      <alignment vertical="center"/>
      <protection hidden="1"/>
    </xf>
    <xf numFmtId="11" fontId="38" fillId="3" borderId="7" xfId="0" applyNumberFormat="1" applyFont="1" applyFill="1" applyBorder="1" applyAlignment="1" applyProtection="1">
      <alignment vertical="center"/>
      <protection hidden="1"/>
    </xf>
    <xf numFmtId="0" fontId="52" fillId="3" borderId="0" xfId="0" applyFont="1" applyFill="1" applyAlignment="1" applyProtection="1">
      <alignment vertical="center"/>
      <protection hidden="1"/>
    </xf>
    <xf numFmtId="164" fontId="38" fillId="3" borderId="0" xfId="0" applyNumberFormat="1" applyFont="1" applyFill="1" applyAlignment="1" applyProtection="1">
      <alignment vertical="center"/>
      <protection hidden="1"/>
    </xf>
    <xf numFmtId="168" fontId="38" fillId="3" borderId="0" xfId="0" applyNumberFormat="1" applyFont="1" applyFill="1" applyAlignment="1" applyProtection="1">
      <alignment vertical="center"/>
      <protection hidden="1"/>
    </xf>
    <xf numFmtId="2" fontId="44" fillId="3" borderId="0" xfId="0" applyNumberFormat="1" applyFont="1" applyFill="1" applyAlignment="1" applyProtection="1">
      <alignment horizontal="center" vertical="center"/>
      <protection hidden="1"/>
    </xf>
    <xf numFmtId="49" fontId="38" fillId="3" borderId="0" xfId="0" applyNumberFormat="1" applyFont="1" applyFill="1" applyAlignment="1" applyProtection="1">
      <alignment horizontal="center" vertical="center"/>
      <protection hidden="1"/>
    </xf>
    <xf numFmtId="49" fontId="44" fillId="3" borderId="0" xfId="0" applyNumberFormat="1" applyFont="1" applyFill="1" applyAlignment="1" applyProtection="1">
      <alignment horizontal="center" vertical="center"/>
      <protection hidden="1"/>
    </xf>
    <xf numFmtId="0" fontId="44" fillId="3" borderId="0" xfId="0" applyFont="1" applyFill="1" applyAlignment="1" applyProtection="1">
      <alignment vertical="center"/>
      <protection hidden="1"/>
    </xf>
    <xf numFmtId="167" fontId="44" fillId="3" borderId="0" xfId="0" applyNumberFormat="1" applyFont="1" applyFill="1" applyAlignment="1" applyProtection="1">
      <alignment horizontal="center" vertical="center"/>
      <protection hidden="1"/>
    </xf>
    <xf numFmtId="0" fontId="38" fillId="3" borderId="4" xfId="0" applyFont="1" applyFill="1" applyBorder="1" applyProtection="1">
      <protection hidden="1"/>
    </xf>
    <xf numFmtId="0" fontId="10" fillId="0" borderId="9" xfId="0" applyFont="1" applyBorder="1" applyProtection="1">
      <protection hidden="1"/>
    </xf>
    <xf numFmtId="0" fontId="12" fillId="0" borderId="1" xfId="0" applyFont="1" applyBorder="1" applyProtection="1">
      <protection hidden="1"/>
    </xf>
    <xf numFmtId="0" fontId="38" fillId="3" borderId="0" xfId="0" applyFont="1" applyFill="1" applyAlignment="1" applyProtection="1">
      <alignment horizontal="right"/>
      <protection hidden="1"/>
    </xf>
    <xf numFmtId="0" fontId="38" fillId="3" borderId="0" xfId="0" applyFont="1" applyFill="1" applyAlignment="1" applyProtection="1">
      <alignment horizontal="center"/>
      <protection hidden="1"/>
    </xf>
    <xf numFmtId="0" fontId="53" fillId="0" borderId="5" xfId="0" applyFont="1" applyBorder="1" applyProtection="1">
      <protection hidden="1"/>
    </xf>
    <xf numFmtId="0" fontId="53" fillId="0" borderId="0" xfId="0" applyFont="1" applyProtection="1">
      <protection hidden="1"/>
    </xf>
    <xf numFmtId="0" fontId="6" fillId="0" borderId="0" xfId="0" applyFont="1"/>
    <xf numFmtId="0" fontId="39" fillId="3" borderId="0" xfId="0" applyFont="1" applyFill="1" applyAlignment="1" applyProtection="1">
      <alignment vertical="top"/>
      <protection hidden="1"/>
    </xf>
    <xf numFmtId="0" fontId="38" fillId="3" borderId="0" xfId="0" applyFont="1" applyFill="1" applyAlignment="1" applyProtection="1">
      <alignment vertical="top"/>
      <protection hidden="1"/>
    </xf>
    <xf numFmtId="0" fontId="53" fillId="0" borderId="3" xfId="0" applyFont="1" applyBorder="1" applyProtection="1">
      <protection hidden="1"/>
    </xf>
    <xf numFmtId="0" fontId="38" fillId="3" borderId="14" xfId="0" applyFont="1" applyFill="1" applyBorder="1" applyAlignment="1" applyProtection="1">
      <alignment vertical="center"/>
      <protection hidden="1"/>
    </xf>
    <xf numFmtId="0" fontId="50" fillId="3" borderId="0" xfId="0" applyFont="1" applyFill="1" applyAlignment="1" applyProtection="1">
      <alignment horizontal="right" vertical="center"/>
      <protection hidden="1"/>
    </xf>
    <xf numFmtId="2" fontId="54" fillId="3" borderId="2" xfId="0" applyNumberFormat="1" applyFont="1" applyFill="1" applyBorder="1" applyAlignment="1" applyProtection="1">
      <alignment horizontal="center" vertical="center"/>
      <protection hidden="1"/>
    </xf>
    <xf numFmtId="170" fontId="44" fillId="3" borderId="2" xfId="0" applyNumberFormat="1" applyFont="1" applyFill="1" applyBorder="1" applyAlignment="1" applyProtection="1">
      <alignment horizontal="center" vertical="center"/>
      <protection hidden="1"/>
    </xf>
    <xf numFmtId="2" fontId="54" fillId="3" borderId="0" xfId="0" applyNumberFormat="1" applyFont="1" applyFill="1" applyAlignment="1" applyProtection="1">
      <alignment horizontal="center" vertical="center"/>
      <protection hidden="1"/>
    </xf>
    <xf numFmtId="2" fontId="6" fillId="0" borderId="3" xfId="0" applyNumberFormat="1" applyFont="1" applyBorder="1" applyProtection="1">
      <protection hidden="1"/>
    </xf>
    <xf numFmtId="2" fontId="6" fillId="0" borderId="0" xfId="0" applyNumberFormat="1" applyFont="1" applyProtection="1">
      <protection hidden="1"/>
    </xf>
    <xf numFmtId="0" fontId="9" fillId="0" borderId="0" xfId="0" applyFont="1" applyProtection="1">
      <protection hidden="1"/>
    </xf>
    <xf numFmtId="2" fontId="0" fillId="0" borderId="0" xfId="0" applyNumberFormat="1" applyProtection="1">
      <protection hidden="1"/>
    </xf>
    <xf numFmtId="2" fontId="3" fillId="0" borderId="5" xfId="0" applyNumberFormat="1" applyFont="1" applyBorder="1" applyProtection="1">
      <protection hidden="1"/>
    </xf>
    <xf numFmtId="2" fontId="0" fillId="0" borderId="1" xfId="0" applyNumberFormat="1" applyBorder="1" applyProtection="1">
      <protection hidden="1"/>
    </xf>
    <xf numFmtId="2" fontId="0" fillId="0" borderId="4" xfId="0" applyNumberFormat="1" applyBorder="1" applyProtection="1">
      <protection hidden="1"/>
    </xf>
    <xf numFmtId="2" fontId="0" fillId="0" borderId="6" xfId="0" applyNumberFormat="1" applyBorder="1" applyProtection="1">
      <protection hidden="1"/>
    </xf>
    <xf numFmtId="2" fontId="6" fillId="0" borderId="1" xfId="0" applyNumberFormat="1" applyFont="1" applyBorder="1" applyProtection="1">
      <protection hidden="1"/>
    </xf>
    <xf numFmtId="2" fontId="6" fillId="0" borderId="4" xfId="0" applyNumberFormat="1" applyFont="1" applyBorder="1" applyProtection="1">
      <protection hidden="1"/>
    </xf>
    <xf numFmtId="0" fontId="8" fillId="3" borderId="0" xfId="0" applyFont="1" applyFill="1" applyProtection="1">
      <protection hidden="1"/>
    </xf>
    <xf numFmtId="0" fontId="6" fillId="3" borderId="0" xfId="0" applyFont="1" applyFill="1" applyAlignment="1" applyProtection="1">
      <alignment horizontal="right" vertical="center"/>
      <protection hidden="1"/>
    </xf>
    <xf numFmtId="0" fontId="9" fillId="3" borderId="0" xfId="0" applyFont="1" applyFill="1" applyAlignment="1" applyProtection="1">
      <alignment horizontal="center" vertical="center"/>
      <protection hidden="1"/>
    </xf>
    <xf numFmtId="10" fontId="33" fillId="2" borderId="13" xfId="2" applyNumberFormat="1" applyFont="1" applyFill="1" applyBorder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164" fontId="44" fillId="0" borderId="2" xfId="0" applyNumberFormat="1" applyFont="1" applyBorder="1" applyAlignment="1" applyProtection="1">
      <alignment horizontal="center" vertical="center"/>
      <protection hidden="1"/>
    </xf>
    <xf numFmtId="2" fontId="0" fillId="0" borderId="5" xfId="0" applyNumberFormat="1" applyBorder="1" applyProtection="1">
      <protection hidden="1"/>
    </xf>
    <xf numFmtId="2" fontId="33" fillId="2" borderId="13" xfId="1" applyNumberFormat="1" applyFont="1" applyAlignment="1" applyProtection="1">
      <alignment horizontal="center" vertical="center"/>
      <protection locked="0"/>
    </xf>
    <xf numFmtId="167" fontId="33" fillId="2" borderId="13" xfId="1" applyNumberFormat="1" applyFont="1" applyAlignment="1" applyProtection="1">
      <alignment horizontal="center" vertical="center"/>
      <protection locked="0"/>
    </xf>
    <xf numFmtId="0" fontId="34" fillId="3" borderId="9" xfId="0" applyFont="1" applyFill="1" applyBorder="1" applyProtection="1">
      <protection hidden="1"/>
    </xf>
    <xf numFmtId="0" fontId="34" fillId="3" borderId="7" xfId="0" applyFont="1" applyFill="1" applyBorder="1" applyProtection="1">
      <protection hidden="1"/>
    </xf>
    <xf numFmtId="0" fontId="34" fillId="3" borderId="8" xfId="0" applyFont="1" applyFill="1" applyBorder="1" applyProtection="1">
      <protection hidden="1"/>
    </xf>
    <xf numFmtId="0" fontId="21" fillId="3" borderId="0" xfId="0" applyFont="1" applyFill="1" applyProtection="1">
      <protection hidden="1"/>
    </xf>
    <xf numFmtId="0" fontId="34" fillId="3" borderId="5" xfId="0" applyFont="1" applyFill="1" applyBorder="1" applyProtection="1">
      <protection hidden="1"/>
    </xf>
    <xf numFmtId="0" fontId="34" fillId="3" borderId="0" xfId="0" applyFont="1" applyFill="1" applyProtection="1">
      <protection hidden="1"/>
    </xf>
    <xf numFmtId="0" fontId="34" fillId="3" borderId="3" xfId="0" applyFont="1" applyFill="1" applyBorder="1" applyProtection="1">
      <protection hidden="1"/>
    </xf>
    <xf numFmtId="0" fontId="35" fillId="3" borderId="5" xfId="0" applyFont="1" applyFill="1" applyBorder="1" applyProtection="1">
      <protection hidden="1"/>
    </xf>
    <xf numFmtId="0" fontId="35" fillId="3" borderId="0" xfId="0" applyFont="1" applyFill="1" applyProtection="1">
      <protection hidden="1"/>
    </xf>
    <xf numFmtId="0" fontId="58" fillId="3" borderId="0" xfId="0" applyFont="1" applyFill="1" applyProtection="1">
      <protection hidden="1"/>
    </xf>
    <xf numFmtId="0" fontId="34" fillId="3" borderId="9" xfId="0" applyFont="1" applyFill="1" applyBorder="1" applyAlignment="1" applyProtection="1">
      <alignment vertical="center"/>
      <protection hidden="1"/>
    </xf>
    <xf numFmtId="0" fontId="34" fillId="3" borderId="7" xfId="0" applyFont="1" applyFill="1" applyBorder="1" applyAlignment="1" applyProtection="1">
      <alignment vertical="center"/>
      <protection hidden="1"/>
    </xf>
    <xf numFmtId="0" fontId="34" fillId="3" borderId="8" xfId="0" applyFont="1" applyFill="1" applyBorder="1" applyAlignment="1" applyProtection="1">
      <alignment vertical="center"/>
      <protection hidden="1"/>
    </xf>
    <xf numFmtId="0" fontId="21" fillId="3" borderId="0" xfId="0" applyFont="1" applyFill="1" applyAlignment="1" applyProtection="1">
      <alignment vertical="center"/>
      <protection hidden="1"/>
    </xf>
    <xf numFmtId="0" fontId="38" fillId="3" borderId="5" xfId="0" applyFont="1" applyFill="1" applyBorder="1" applyAlignment="1" applyProtection="1">
      <alignment horizontal="center" vertical="center" wrapText="1"/>
      <protection hidden="1"/>
    </xf>
    <xf numFmtId="0" fontId="38" fillId="3" borderId="0" xfId="0" applyFont="1" applyFill="1" applyAlignment="1" applyProtection="1">
      <alignment horizontal="center" vertical="center" wrapText="1"/>
      <protection hidden="1"/>
    </xf>
    <xf numFmtId="0" fontId="38" fillId="3" borderId="3" xfId="0" applyFont="1" applyFill="1" applyBorder="1" applyAlignment="1" applyProtection="1">
      <alignment horizontal="center" vertical="center" wrapText="1"/>
      <protection hidden="1"/>
    </xf>
    <xf numFmtId="0" fontId="34" fillId="3" borderId="5" xfId="0" applyFont="1" applyFill="1" applyBorder="1" applyAlignment="1" applyProtection="1">
      <alignment horizontal="center" vertical="center" wrapText="1"/>
      <protection hidden="1"/>
    </xf>
    <xf numFmtId="0" fontId="34" fillId="3" borderId="0" xfId="0" applyFont="1" applyFill="1" applyAlignment="1" applyProtection="1">
      <alignment horizontal="center" vertical="center" wrapText="1"/>
      <protection hidden="1"/>
    </xf>
    <xf numFmtId="0" fontId="34" fillId="3" borderId="3" xfId="0" applyFont="1" applyFill="1" applyBorder="1" applyAlignment="1" applyProtection="1">
      <alignment horizontal="center" vertical="center" wrapText="1"/>
      <protection hidden="1"/>
    </xf>
    <xf numFmtId="0" fontId="38" fillId="0" borderId="5" xfId="0" applyFont="1" applyBorder="1" applyAlignment="1" applyProtection="1">
      <alignment horizontal="left" vertical="center"/>
      <protection hidden="1"/>
    </xf>
    <xf numFmtId="167" fontId="44" fillId="3" borderId="2" xfId="0" applyNumberFormat="1" applyFont="1" applyFill="1" applyBorder="1" applyAlignment="1" applyProtection="1">
      <alignment horizontal="center" vertical="center"/>
      <protection hidden="1"/>
    </xf>
    <xf numFmtId="170" fontId="31" fillId="2" borderId="13" xfId="1" applyNumberFormat="1" applyAlignment="1" applyProtection="1">
      <alignment horizontal="center" vertical="center"/>
      <protection locked="0"/>
    </xf>
    <xf numFmtId="0" fontId="1" fillId="3" borderId="0" xfId="0" applyFont="1" applyFill="1" applyAlignment="1" applyProtection="1">
      <alignment horizontal="left" vertical="center"/>
      <protection hidden="1"/>
    </xf>
    <xf numFmtId="166" fontId="62" fillId="3" borderId="0" xfId="0" applyNumberFormat="1" applyFont="1" applyFill="1" applyAlignment="1" applyProtection="1">
      <alignment horizontal="center" vertical="center"/>
      <protection hidden="1"/>
    </xf>
    <xf numFmtId="168" fontId="5" fillId="3" borderId="2" xfId="0" applyNumberFormat="1" applyFont="1" applyFill="1" applyBorder="1" applyAlignment="1" applyProtection="1">
      <alignment horizontal="center" vertical="center"/>
      <protection hidden="1"/>
    </xf>
    <xf numFmtId="0" fontId="1" fillId="3" borderId="0" xfId="0" applyFont="1" applyFill="1" applyProtection="1">
      <protection hidden="1"/>
    </xf>
    <xf numFmtId="0" fontId="1" fillId="3" borderId="3" xfId="0" applyFont="1" applyFill="1" applyBorder="1" applyAlignment="1" applyProtection="1">
      <alignment vertical="center"/>
      <protection hidden="1"/>
    </xf>
    <xf numFmtId="0" fontId="1" fillId="3" borderId="0" xfId="0" applyFont="1" applyFill="1" applyAlignment="1" applyProtection="1">
      <alignment vertical="center"/>
      <protection hidden="1"/>
    </xf>
    <xf numFmtId="0" fontId="61" fillId="3" borderId="0" xfId="1" applyFont="1" applyFill="1" applyBorder="1" applyAlignment="1" applyProtection="1">
      <alignment horizontal="center" vertical="center"/>
      <protection locked="0"/>
    </xf>
    <xf numFmtId="0" fontId="62" fillId="3" borderId="0" xfId="0" applyFont="1" applyFill="1" applyAlignment="1" applyProtection="1">
      <alignment vertical="center"/>
      <protection hidden="1"/>
    </xf>
    <xf numFmtId="0" fontId="62" fillId="3" borderId="0" xfId="0" applyFont="1" applyFill="1" applyProtection="1">
      <protection hidden="1"/>
    </xf>
    <xf numFmtId="2" fontId="61" fillId="3" borderId="0" xfId="1" applyNumberFormat="1" applyFont="1" applyFill="1" applyBorder="1" applyAlignment="1" applyProtection="1">
      <alignment horizontal="center" vertical="center"/>
      <protection locked="0"/>
    </xf>
    <xf numFmtId="0" fontId="63" fillId="3" borderId="0" xfId="1" applyFont="1" applyFill="1" applyBorder="1" applyAlignment="1" applyProtection="1">
      <alignment horizontal="center" vertical="center"/>
      <protection locked="0"/>
    </xf>
    <xf numFmtId="0" fontId="60" fillId="3" borderId="0" xfId="1" applyFont="1" applyFill="1" applyBorder="1" applyAlignment="1" applyProtection="1">
      <alignment horizontal="center" vertical="center"/>
      <protection locked="0"/>
    </xf>
    <xf numFmtId="0" fontId="31" fillId="2" borderId="2" xfId="1" applyBorder="1" applyAlignment="1" applyProtection="1">
      <alignment horizontal="center" vertical="center"/>
      <protection locked="0"/>
    </xf>
    <xf numFmtId="2" fontId="31" fillId="2" borderId="2" xfId="1" applyNumberFormat="1" applyBorder="1" applyAlignment="1" applyProtection="1">
      <alignment horizontal="center" vertical="center"/>
      <protection locked="0"/>
    </xf>
    <xf numFmtId="0" fontId="32" fillId="2" borderId="2" xfId="1" applyFont="1" applyBorder="1" applyAlignment="1" applyProtection="1">
      <alignment horizontal="center" vertical="center"/>
      <protection locked="0"/>
    </xf>
    <xf numFmtId="0" fontId="33" fillId="2" borderId="2" xfId="1" applyFont="1" applyBorder="1" applyAlignment="1" applyProtection="1">
      <alignment horizontal="center" vertical="center"/>
      <protection locked="0"/>
    </xf>
    <xf numFmtId="0" fontId="6" fillId="3" borderId="5" xfId="0" applyFont="1" applyFill="1" applyBorder="1" applyAlignment="1" applyProtection="1">
      <alignment vertical="center" wrapText="1"/>
      <protection hidden="1"/>
    </xf>
    <xf numFmtId="2" fontId="22" fillId="5" borderId="2" xfId="0" applyNumberFormat="1" applyFont="1" applyFill="1" applyBorder="1" applyAlignment="1" applyProtection="1">
      <alignment horizontal="center" vertical="center"/>
      <protection hidden="1"/>
    </xf>
    <xf numFmtId="2" fontId="0" fillId="3" borderId="0" xfId="0" applyNumberFormat="1" applyFill="1" applyProtection="1">
      <protection hidden="1"/>
    </xf>
    <xf numFmtId="0" fontId="1" fillId="0" borderId="0" xfId="0" applyFont="1"/>
    <xf numFmtId="173" fontId="44" fillId="3" borderId="2" xfId="0" applyNumberFormat="1" applyFont="1" applyFill="1" applyBorder="1" applyAlignment="1" applyProtection="1">
      <alignment horizontal="center" vertical="center"/>
      <protection hidden="1"/>
    </xf>
    <xf numFmtId="174" fontId="44" fillId="3" borderId="2" xfId="0" applyNumberFormat="1" applyFont="1" applyFill="1" applyBorder="1" applyAlignment="1" applyProtection="1">
      <alignment horizontal="center" vertical="center"/>
      <protection hidden="1"/>
    </xf>
    <xf numFmtId="0" fontId="64" fillId="3" borderId="0" xfId="0" applyFont="1" applyFill="1" applyProtection="1">
      <protection hidden="1"/>
    </xf>
    <xf numFmtId="0" fontId="0" fillId="0" borderId="0" xfId="0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/>
    <xf numFmtId="0" fontId="0" fillId="3" borderId="22" xfId="0" applyFill="1" applyBorder="1"/>
    <xf numFmtId="0" fontId="0" fillId="0" borderId="0" xfId="0" applyAlignment="1">
      <alignment horizontal="right" vertical="center" indent="1"/>
    </xf>
    <xf numFmtId="0" fontId="1" fillId="0" borderId="0" xfId="0" applyFont="1" applyAlignment="1">
      <alignment horizontal="right" vertical="center" indent="1"/>
    </xf>
    <xf numFmtId="0" fontId="1" fillId="3" borderId="0" xfId="0" applyFont="1" applyFill="1" applyAlignment="1">
      <alignment horizontal="center" vertical="center"/>
    </xf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1" fillId="0" borderId="0" xfId="0" applyFont="1" applyAlignment="1">
      <alignment horizontal="center"/>
    </xf>
    <xf numFmtId="0" fontId="0" fillId="5" borderId="22" xfId="0" applyFill="1" applyBorder="1"/>
    <xf numFmtId="10" fontId="0" fillId="0" borderId="0" xfId="0" applyNumberFormat="1" applyAlignment="1">
      <alignment horizontal="center" vertical="center"/>
    </xf>
    <xf numFmtId="0" fontId="0" fillId="5" borderId="2" xfId="0" applyFill="1" applyBorder="1" applyProtection="1">
      <protection hidden="1"/>
    </xf>
    <xf numFmtId="0" fontId="0" fillId="3" borderId="2" xfId="0" applyFill="1" applyBorder="1" applyProtection="1">
      <protection hidden="1"/>
    </xf>
    <xf numFmtId="0" fontId="0" fillId="5" borderId="0" xfId="0" applyFill="1"/>
    <xf numFmtId="2" fontId="33" fillId="2" borderId="13" xfId="1" applyNumberFormat="1" applyFont="1" applyAlignment="1" applyProtection="1">
      <alignment horizontal="center"/>
      <protection locked="0"/>
    </xf>
    <xf numFmtId="0" fontId="33" fillId="2" borderId="13" xfId="1" applyFont="1" applyAlignment="1" applyProtection="1">
      <alignment horizontal="center" vertical="center"/>
      <protection hidden="1"/>
    </xf>
    <xf numFmtId="0" fontId="33" fillId="2" borderId="13" xfId="1" applyFont="1" applyAlignment="1" applyProtection="1">
      <alignment horizontal="center"/>
      <protection locked="0"/>
    </xf>
    <xf numFmtId="0" fontId="49" fillId="0" borderId="0" xfId="0" applyFont="1" applyAlignment="1" applyProtection="1">
      <alignment horizontal="right"/>
      <protection hidden="1"/>
    </xf>
    <xf numFmtId="0" fontId="49" fillId="3" borderId="0" xfId="0" applyFont="1" applyFill="1" applyProtection="1">
      <protection hidden="1"/>
    </xf>
    <xf numFmtId="0" fontId="49" fillId="0" borderId="0" xfId="0" applyFont="1" applyProtection="1">
      <protection hidden="1"/>
    </xf>
    <xf numFmtId="0" fontId="41" fillId="3" borderId="0" xfId="0" applyFont="1" applyFill="1" applyProtection="1">
      <protection hidden="1"/>
    </xf>
    <xf numFmtId="0" fontId="41" fillId="3" borderId="5" xfId="0" applyFont="1" applyFill="1" applyBorder="1" applyAlignment="1" applyProtection="1">
      <alignment horizontal="left" vertical="center"/>
      <protection hidden="1"/>
    </xf>
    <xf numFmtId="0" fontId="41" fillId="3" borderId="3" xfId="0" applyFont="1" applyFill="1" applyBorder="1" applyProtection="1">
      <protection hidden="1"/>
    </xf>
    <xf numFmtId="0" fontId="3" fillId="3" borderId="0" xfId="0" applyFont="1" applyFill="1" applyAlignment="1" applyProtection="1">
      <alignment vertical="center"/>
      <protection hidden="1"/>
    </xf>
    <xf numFmtId="0" fontId="3" fillId="3" borderId="0" xfId="0" applyFont="1" applyFill="1" applyProtection="1">
      <protection hidden="1"/>
    </xf>
    <xf numFmtId="0" fontId="66" fillId="7" borderId="0" xfId="0" applyFont="1" applyFill="1" applyAlignment="1">
      <alignment horizontal="center" vertical="center" wrapText="1"/>
    </xf>
    <xf numFmtId="0" fontId="34" fillId="0" borderId="0" xfId="0" applyFont="1"/>
    <xf numFmtId="0" fontId="34" fillId="0" borderId="0" xfId="0" applyFont="1" applyAlignment="1">
      <alignment horizontal="center"/>
    </xf>
    <xf numFmtId="0" fontId="34" fillId="0" borderId="0" xfId="0" applyFont="1" applyAlignment="1">
      <alignment vertical="center" wrapText="1"/>
    </xf>
    <xf numFmtId="0" fontId="34" fillId="0" borderId="0" xfId="0" applyFont="1" applyAlignment="1">
      <alignment horizontal="left"/>
    </xf>
    <xf numFmtId="0" fontId="66" fillId="7" borderId="0" xfId="0" applyFont="1" applyFill="1" applyAlignment="1">
      <alignment horizontal="left" vertical="center" wrapText="1"/>
    </xf>
    <xf numFmtId="0" fontId="34" fillId="0" borderId="0" xfId="0" applyFont="1" applyAlignment="1">
      <alignment horizontal="left" vertical="center" wrapText="1"/>
    </xf>
    <xf numFmtId="0" fontId="35" fillId="0" borderId="0" xfId="0" applyFont="1" applyAlignment="1">
      <alignment horizontal="left" vertical="center" wrapText="1"/>
    </xf>
    <xf numFmtId="0" fontId="34" fillId="0" borderId="0" xfId="0" quotePrefix="1" applyFont="1" applyAlignment="1">
      <alignment horizontal="left" vertical="center" wrapText="1"/>
    </xf>
    <xf numFmtId="0" fontId="66" fillId="7" borderId="0" xfId="0" quotePrefix="1" applyFont="1" applyFill="1" applyAlignment="1">
      <alignment horizontal="left" vertical="center" wrapText="1"/>
    </xf>
    <xf numFmtId="166" fontId="33" fillId="2" borderId="13" xfId="1" applyNumberFormat="1" applyFont="1" applyAlignment="1" applyProtection="1">
      <alignment horizontal="left" vertical="center"/>
      <protection hidden="1"/>
    </xf>
    <xf numFmtId="0" fontId="69" fillId="0" borderId="0" xfId="0" applyFont="1" applyProtection="1">
      <protection hidden="1"/>
    </xf>
    <xf numFmtId="0" fontId="69" fillId="0" borderId="7" xfId="0" applyFont="1" applyBorder="1" applyAlignment="1" applyProtection="1">
      <alignment vertical="center" wrapText="1"/>
      <protection hidden="1"/>
    </xf>
    <xf numFmtId="0" fontId="69" fillId="0" borderId="8" xfId="0" applyFont="1" applyBorder="1" applyAlignment="1" applyProtection="1">
      <alignment vertical="center" wrapText="1"/>
      <protection hidden="1"/>
    </xf>
    <xf numFmtId="0" fontId="69" fillId="0" borderId="3" xfId="0" applyFont="1" applyBorder="1" applyAlignment="1" applyProtection="1">
      <alignment horizontal="center" vertical="center" wrapText="1"/>
      <protection hidden="1"/>
    </xf>
    <xf numFmtId="0" fontId="69" fillId="0" borderId="0" xfId="0" applyFont="1" applyAlignment="1" applyProtection="1">
      <alignment vertical="center"/>
      <protection hidden="1"/>
    </xf>
    <xf numFmtId="0" fontId="69" fillId="0" borderId="3" xfId="0" applyFont="1" applyBorder="1" applyAlignment="1" applyProtection="1">
      <alignment vertical="center"/>
      <protection hidden="1"/>
    </xf>
    <xf numFmtId="0" fontId="69" fillId="0" borderId="0" xfId="0" applyFont="1" applyAlignment="1" applyProtection="1">
      <alignment horizontal="left" vertical="center"/>
      <protection hidden="1"/>
    </xf>
    <xf numFmtId="0" fontId="69" fillId="0" borderId="3" xfId="0" applyFont="1" applyBorder="1" applyProtection="1">
      <protection hidden="1"/>
    </xf>
    <xf numFmtId="0" fontId="69" fillId="0" borderId="0" xfId="0" applyFont="1" applyAlignment="1" applyProtection="1">
      <alignment horizontal="center" vertical="center"/>
      <protection hidden="1"/>
    </xf>
    <xf numFmtId="0" fontId="69" fillId="0" borderId="5" xfId="0" applyFont="1" applyBorder="1" applyProtection="1">
      <protection hidden="1"/>
    </xf>
    <xf numFmtId="0" fontId="69" fillId="0" borderId="1" xfId="0" applyFont="1" applyBorder="1" applyProtection="1">
      <protection hidden="1"/>
    </xf>
    <xf numFmtId="0" fontId="69" fillId="0" borderId="1" xfId="0" applyFont="1" applyBorder="1" applyAlignment="1" applyProtection="1">
      <alignment horizontal="center" vertical="center"/>
      <protection hidden="1"/>
    </xf>
    <xf numFmtId="0" fontId="69" fillId="0" borderId="4" xfId="0" applyFont="1" applyBorder="1" applyProtection="1">
      <protection hidden="1"/>
    </xf>
    <xf numFmtId="0" fontId="69" fillId="0" borderId="7" xfId="0" applyFont="1" applyBorder="1" applyProtection="1">
      <protection hidden="1"/>
    </xf>
    <xf numFmtId="0" fontId="69" fillId="0" borderId="8" xfId="0" applyFont="1" applyBorder="1" applyProtection="1">
      <protection hidden="1"/>
    </xf>
    <xf numFmtId="0" fontId="69" fillId="0" borderId="3" xfId="0" applyFont="1" applyBorder="1" applyAlignment="1" applyProtection="1">
      <alignment vertical="center" wrapText="1"/>
      <protection hidden="1"/>
    </xf>
    <xf numFmtId="0" fontId="69" fillId="0" borderId="1" xfId="0" quotePrefix="1" applyFont="1" applyBorder="1" applyProtection="1">
      <protection hidden="1"/>
    </xf>
    <xf numFmtId="0" fontId="56" fillId="0" borderId="7" xfId="0" applyFont="1" applyBorder="1" applyProtection="1">
      <protection hidden="1"/>
    </xf>
    <xf numFmtId="0" fontId="56" fillId="0" borderId="7" xfId="0" applyFont="1" applyBorder="1" applyAlignment="1" applyProtection="1">
      <alignment horizontal="right"/>
      <protection hidden="1"/>
    </xf>
    <xf numFmtId="2" fontId="56" fillId="0" borderId="7" xfId="0" applyNumberFormat="1" applyFont="1" applyBorder="1" applyAlignment="1" applyProtection="1">
      <alignment horizontal="center"/>
      <protection hidden="1"/>
    </xf>
    <xf numFmtId="166" fontId="33" fillId="0" borderId="13" xfId="1" applyNumberFormat="1" applyFont="1" applyFill="1" applyAlignment="1" applyProtection="1">
      <alignment horizontal="center"/>
      <protection locked="0"/>
    </xf>
    <xf numFmtId="0" fontId="33" fillId="0" borderId="13" xfId="1" applyFont="1" applyFill="1" applyAlignment="1" applyProtection="1">
      <alignment horizontal="center"/>
      <protection locked="0"/>
    </xf>
    <xf numFmtId="2" fontId="33" fillId="0" borderId="13" xfId="1" applyNumberFormat="1" applyFont="1" applyFill="1" applyAlignment="1" applyProtection="1">
      <alignment horizontal="center"/>
      <protection locked="0"/>
    </xf>
    <xf numFmtId="167" fontId="33" fillId="0" borderId="13" xfId="1" applyNumberFormat="1" applyFont="1" applyFill="1" applyAlignment="1" applyProtection="1">
      <alignment horizontal="center"/>
      <protection locked="0"/>
    </xf>
    <xf numFmtId="2" fontId="48" fillId="0" borderId="13" xfId="1" applyNumberFormat="1" applyFont="1" applyFill="1" applyAlignment="1" applyProtection="1">
      <alignment horizontal="center" vertical="center"/>
      <protection locked="0"/>
    </xf>
    <xf numFmtId="0" fontId="69" fillId="0" borderId="1" xfId="0" applyFont="1" applyBorder="1" applyAlignment="1" applyProtection="1">
      <alignment horizontal="left" vertical="center"/>
      <protection hidden="1"/>
    </xf>
    <xf numFmtId="0" fontId="69" fillId="0" borderId="7" xfId="0" applyFont="1" applyBorder="1" applyAlignment="1" applyProtection="1">
      <alignment vertical="center"/>
      <protection hidden="1"/>
    </xf>
    <xf numFmtId="166" fontId="33" fillId="2" borderId="13" xfId="1" applyNumberFormat="1" applyFont="1" applyAlignment="1" applyProtection="1">
      <alignment horizontal="center" vertical="center"/>
      <protection locked="0"/>
    </xf>
    <xf numFmtId="166" fontId="33" fillId="2" borderId="13" xfId="1" quotePrefix="1" applyNumberFormat="1" applyFont="1" applyAlignment="1" applyProtection="1">
      <alignment horizontal="left" vertical="center"/>
      <protection hidden="1"/>
    </xf>
    <xf numFmtId="0" fontId="69" fillId="0" borderId="7" xfId="0" applyFont="1" applyBorder="1" applyAlignment="1" applyProtection="1">
      <alignment horizontal="center" vertical="center"/>
      <protection hidden="1"/>
    </xf>
    <xf numFmtId="0" fontId="69" fillId="0" borderId="3" xfId="0" applyFont="1" applyBorder="1" applyAlignment="1" applyProtection="1">
      <alignment horizontal="center" vertical="center"/>
      <protection hidden="1"/>
    </xf>
    <xf numFmtId="0" fontId="69" fillId="0" borderId="5" xfId="0" applyFont="1" applyBorder="1" applyAlignment="1" applyProtection="1">
      <alignment horizontal="left" vertical="center" wrapText="1"/>
      <protection hidden="1"/>
    </xf>
    <xf numFmtId="0" fontId="56" fillId="0" borderId="5" xfId="0" applyFont="1" applyBorder="1" applyAlignment="1" applyProtection="1">
      <alignment horizontal="left" vertical="center" wrapText="1"/>
      <protection hidden="1"/>
    </xf>
    <xf numFmtId="0" fontId="34" fillId="3" borderId="11" xfId="0" applyFont="1" applyFill="1" applyBorder="1" applyAlignment="1" applyProtection="1">
      <alignment horizontal="center" vertical="center"/>
      <protection hidden="1"/>
    </xf>
    <xf numFmtId="0" fontId="47" fillId="3" borderId="0" xfId="0" applyFont="1" applyFill="1" applyProtection="1">
      <protection hidden="1"/>
    </xf>
    <xf numFmtId="166" fontId="33" fillId="2" borderId="13" xfId="1" applyNumberFormat="1" applyFont="1" applyAlignment="1" applyProtection="1">
      <alignment horizontal="center" vertical="center"/>
      <protection hidden="1"/>
    </xf>
    <xf numFmtId="0" fontId="42" fillId="3" borderId="3" xfId="0" applyFont="1" applyFill="1" applyBorder="1" applyProtection="1">
      <protection hidden="1"/>
    </xf>
    <xf numFmtId="11" fontId="33" fillId="2" borderId="13" xfId="1" applyNumberFormat="1" applyFont="1" applyAlignment="1" applyProtection="1">
      <alignment horizontal="center" vertical="center"/>
      <protection hidden="1"/>
    </xf>
    <xf numFmtId="0" fontId="42" fillId="0" borderId="0" xfId="0" applyFont="1" applyAlignment="1" applyProtection="1">
      <alignment vertical="center"/>
      <protection hidden="1"/>
    </xf>
    <xf numFmtId="2" fontId="33" fillId="2" borderId="13" xfId="1" applyNumberFormat="1" applyFont="1" applyAlignment="1" applyProtection="1">
      <alignment horizontal="center" vertical="center"/>
      <protection hidden="1"/>
    </xf>
    <xf numFmtId="0" fontId="42" fillId="0" borderId="3" xfId="0" applyFont="1" applyBorder="1" applyAlignment="1" applyProtection="1">
      <alignment vertical="center"/>
      <protection hidden="1"/>
    </xf>
    <xf numFmtId="0" fontId="33" fillId="3" borderId="13" xfId="1" applyFont="1" applyFill="1" applyAlignment="1" applyProtection="1">
      <alignment horizontal="center" vertical="center"/>
      <protection hidden="1"/>
    </xf>
    <xf numFmtId="0" fontId="0" fillId="0" borderId="3" xfId="0" applyBorder="1"/>
    <xf numFmtId="0" fontId="49" fillId="3" borderId="1" xfId="0" applyFont="1" applyFill="1" applyBorder="1" applyProtection="1">
      <protection hidden="1"/>
    </xf>
    <xf numFmtId="0" fontId="49" fillId="0" borderId="1" xfId="0" applyFont="1" applyBorder="1" applyProtection="1">
      <protection hidden="1"/>
    </xf>
    <xf numFmtId="167" fontId="33" fillId="6" borderId="23" xfId="1" applyNumberFormat="1" applyFont="1" applyFill="1" applyBorder="1" applyAlignment="1" applyProtection="1">
      <alignment horizontal="center"/>
      <protection locked="0"/>
    </xf>
    <xf numFmtId="0" fontId="75" fillId="3" borderId="0" xfId="0" applyFont="1" applyFill="1" applyProtection="1">
      <protection hidden="1"/>
    </xf>
    <xf numFmtId="169" fontId="44" fillId="3" borderId="2" xfId="0" applyNumberFormat="1" applyFont="1" applyFill="1" applyBorder="1" applyAlignment="1" applyProtection="1">
      <alignment horizontal="center" vertical="center"/>
      <protection hidden="1"/>
    </xf>
    <xf numFmtId="1" fontId="44" fillId="3" borderId="2" xfId="0" applyNumberFormat="1" applyFont="1" applyFill="1" applyBorder="1" applyAlignment="1" applyProtection="1">
      <alignment horizontal="center" vertical="center"/>
      <protection hidden="1"/>
    </xf>
    <xf numFmtId="165" fontId="44" fillId="3" borderId="2" xfId="0" applyNumberFormat="1" applyFont="1" applyFill="1" applyBorder="1" applyAlignment="1" applyProtection="1">
      <alignment horizontal="center" vertical="center"/>
      <protection hidden="1"/>
    </xf>
    <xf numFmtId="0" fontId="38" fillId="3" borderId="18" xfId="0" applyFont="1" applyFill="1" applyBorder="1" applyProtection="1">
      <protection hidden="1"/>
    </xf>
    <xf numFmtId="166" fontId="44" fillId="0" borderId="2" xfId="0" applyNumberFormat="1" applyFont="1" applyBorder="1" applyAlignment="1" applyProtection="1">
      <alignment horizontal="center" vertical="center"/>
      <protection hidden="1"/>
    </xf>
    <xf numFmtId="166" fontId="38" fillId="3" borderId="0" xfId="0" applyNumberFormat="1" applyFont="1" applyFill="1" applyProtection="1">
      <protection hidden="1"/>
    </xf>
    <xf numFmtId="0" fontId="34" fillId="3" borderId="11" xfId="0" quotePrefix="1" applyFont="1" applyFill="1" applyBorder="1" applyAlignment="1" applyProtection="1">
      <alignment horizontal="center" vertical="center"/>
      <protection hidden="1"/>
    </xf>
    <xf numFmtId="0" fontId="56" fillId="0" borderId="5" xfId="0" applyFont="1" applyBorder="1" applyAlignment="1" applyProtection="1">
      <alignment horizontal="center" vertical="center" wrapText="1"/>
      <protection hidden="1"/>
    </xf>
    <xf numFmtId="0" fontId="56" fillId="0" borderId="0" xfId="0" applyFont="1" applyAlignment="1" applyProtection="1">
      <alignment horizontal="center" vertical="center" wrapText="1"/>
      <protection hidden="1"/>
    </xf>
    <xf numFmtId="0" fontId="56" fillId="8" borderId="2" xfId="0" applyFont="1" applyFill="1" applyBorder="1" applyAlignment="1" applyProtection="1">
      <alignment horizontal="left" vertical="center" wrapText="1"/>
      <protection hidden="1"/>
    </xf>
    <xf numFmtId="0" fontId="69" fillId="0" borderId="2" xfId="0" applyFont="1" applyBorder="1" applyAlignment="1" applyProtection="1">
      <alignment horizontal="left" vertical="center" wrapText="1"/>
      <protection hidden="1"/>
    </xf>
    <xf numFmtId="0" fontId="69" fillId="0" borderId="2" xfId="0" applyFont="1" applyBorder="1" applyAlignment="1" applyProtection="1">
      <alignment vertical="center"/>
      <protection hidden="1"/>
    </xf>
    <xf numFmtId="0" fontId="56" fillId="8" borderId="2" xfId="0" applyFont="1" applyFill="1" applyBorder="1" applyAlignment="1" applyProtection="1">
      <alignment vertical="center" wrapText="1"/>
      <protection hidden="1"/>
    </xf>
    <xf numFmtId="0" fontId="56" fillId="8" borderId="2" xfId="0" applyFont="1" applyFill="1" applyBorder="1" applyAlignment="1" applyProtection="1">
      <alignment horizontal="center" vertical="center" wrapText="1"/>
      <protection hidden="1"/>
    </xf>
    <xf numFmtId="0" fontId="56" fillId="0" borderId="0" xfId="0" applyFont="1" applyAlignment="1" applyProtection="1">
      <alignment vertical="center" wrapText="1"/>
      <protection hidden="1"/>
    </xf>
    <xf numFmtId="0" fontId="69" fillId="0" borderId="2" xfId="0" applyFont="1" applyBorder="1" applyAlignment="1" applyProtection="1">
      <alignment vertical="center" wrapText="1"/>
      <protection hidden="1"/>
    </xf>
    <xf numFmtId="0" fontId="56" fillId="0" borderId="0" xfId="0" applyFont="1" applyAlignment="1" applyProtection="1">
      <alignment horizontal="center" vertical="center"/>
      <protection hidden="1"/>
    </xf>
    <xf numFmtId="0" fontId="69" fillId="0" borderId="0" xfId="0" applyFont="1" applyAlignment="1" applyProtection="1">
      <alignment vertical="center" wrapText="1"/>
      <protection hidden="1"/>
    </xf>
    <xf numFmtId="0" fontId="69" fillId="0" borderId="0" xfId="0" applyFont="1" applyAlignment="1" applyProtection="1">
      <alignment horizontal="left" vertical="center" wrapText="1"/>
      <protection hidden="1"/>
    </xf>
    <xf numFmtId="0" fontId="69" fillId="0" borderId="5" xfId="0" applyFont="1" applyBorder="1" applyAlignment="1" applyProtection="1">
      <alignment vertical="center" wrapText="1"/>
      <protection hidden="1"/>
    </xf>
    <xf numFmtId="0" fontId="69" fillId="0" borderId="0" xfId="0" applyFont="1" applyAlignment="1" applyProtection="1">
      <alignment horizontal="right" vertical="center"/>
      <protection hidden="1"/>
    </xf>
    <xf numFmtId="0" fontId="56" fillId="0" borderId="0" xfId="0" applyFont="1" applyAlignment="1" applyProtection="1">
      <alignment vertical="center"/>
      <protection hidden="1"/>
    </xf>
    <xf numFmtId="0" fontId="72" fillId="0" borderId="5" xfId="0" applyFont="1" applyBorder="1" applyAlignment="1" applyProtection="1">
      <alignment vertical="center" wrapText="1"/>
      <protection hidden="1"/>
    </xf>
    <xf numFmtId="0" fontId="72" fillId="0" borderId="0" xfId="0" applyFont="1" applyAlignment="1" applyProtection="1">
      <alignment vertical="center" wrapText="1"/>
      <protection hidden="1"/>
    </xf>
    <xf numFmtId="2" fontId="69" fillId="0" borderId="0" xfId="0" applyNumberFormat="1" applyFont="1" applyAlignment="1" applyProtection="1">
      <alignment horizontal="center" vertical="center"/>
      <protection hidden="1"/>
    </xf>
    <xf numFmtId="0" fontId="69" fillId="0" borderId="0" xfId="0" applyFont="1" applyAlignment="1" applyProtection="1">
      <alignment wrapText="1"/>
      <protection hidden="1"/>
    </xf>
    <xf numFmtId="0" fontId="69" fillId="0" borderId="9" xfId="0" applyFont="1" applyBorder="1" applyAlignment="1" applyProtection="1">
      <alignment wrapText="1"/>
      <protection hidden="1"/>
    </xf>
    <xf numFmtId="0" fontId="69" fillId="0" borderId="6" xfId="0" applyFont="1" applyBorder="1" applyAlignment="1" applyProtection="1">
      <alignment horizontal="left" vertical="center" wrapText="1"/>
      <protection hidden="1"/>
    </xf>
    <xf numFmtId="0" fontId="56" fillId="0" borderId="9" xfId="0" applyFont="1" applyBorder="1" applyAlignment="1" applyProtection="1">
      <alignment vertical="center" wrapText="1"/>
      <protection hidden="1"/>
    </xf>
    <xf numFmtId="0" fontId="69" fillId="0" borderId="5" xfId="0" applyFont="1" applyBorder="1" applyAlignment="1" applyProtection="1">
      <alignment wrapText="1"/>
      <protection hidden="1"/>
    </xf>
    <xf numFmtId="0" fontId="69" fillId="0" borderId="7" xfId="0" applyFont="1" applyBorder="1" applyAlignment="1" applyProtection="1">
      <alignment wrapText="1"/>
      <protection hidden="1"/>
    </xf>
    <xf numFmtId="0" fontId="69" fillId="0" borderId="1" xfId="0" applyFont="1" applyBorder="1" applyAlignment="1" applyProtection="1">
      <alignment wrapText="1"/>
      <protection hidden="1"/>
    </xf>
    <xf numFmtId="0" fontId="69" fillId="0" borderId="6" xfId="0" applyFont="1" applyBorder="1" applyAlignment="1" applyProtection="1">
      <alignment wrapText="1"/>
      <protection hidden="1"/>
    </xf>
    <xf numFmtId="0" fontId="69" fillId="0" borderId="2" xfId="0" applyFont="1" applyBorder="1" applyAlignment="1" applyProtection="1">
      <alignment horizontal="center" vertical="center"/>
      <protection hidden="1"/>
    </xf>
    <xf numFmtId="0" fontId="56" fillId="8" borderId="2" xfId="0" applyFont="1" applyFill="1" applyBorder="1" applyAlignment="1" applyProtection="1">
      <alignment horizontal="center" vertical="center"/>
      <protection hidden="1"/>
    </xf>
    <xf numFmtId="0" fontId="69" fillId="8" borderId="2" xfId="0" applyFont="1" applyFill="1" applyBorder="1" applyAlignment="1" applyProtection="1">
      <alignment horizontal="center" vertical="center"/>
      <protection hidden="1"/>
    </xf>
    <xf numFmtId="0" fontId="69" fillId="0" borderId="18" xfId="0" applyFont="1" applyBorder="1" applyProtection="1">
      <protection hidden="1"/>
    </xf>
    <xf numFmtId="0" fontId="69" fillId="0" borderId="0" xfId="0" applyFont="1" applyAlignment="1" applyProtection="1">
      <alignment horizontal="center" vertical="center" wrapText="1"/>
      <protection hidden="1"/>
    </xf>
    <xf numFmtId="49" fontId="69" fillId="0" borderId="3" xfId="0" applyNumberFormat="1" applyFont="1" applyBorder="1" applyAlignment="1" applyProtection="1">
      <alignment horizontal="center" vertical="center"/>
      <protection hidden="1"/>
    </xf>
    <xf numFmtId="167" fontId="56" fillId="0" borderId="0" xfId="0" applyNumberFormat="1" applyFont="1" applyAlignment="1" applyProtection="1">
      <alignment vertical="center"/>
      <protection hidden="1"/>
    </xf>
    <xf numFmtId="49" fontId="69" fillId="0" borderId="0" xfId="0" applyNumberFormat="1" applyFont="1" applyAlignment="1" applyProtection="1">
      <alignment vertical="center"/>
      <protection hidden="1"/>
    </xf>
    <xf numFmtId="0" fontId="56" fillId="0" borderId="7" xfId="0" applyFont="1" applyBorder="1" applyAlignment="1" applyProtection="1">
      <alignment vertical="center" wrapText="1"/>
      <protection hidden="1"/>
    </xf>
    <xf numFmtId="166" fontId="69" fillId="0" borderId="0" xfId="0" applyNumberFormat="1" applyFont="1" applyAlignment="1" applyProtection="1">
      <alignment horizontal="center" vertical="center"/>
      <protection hidden="1"/>
    </xf>
    <xf numFmtId="10" fontId="69" fillId="0" borderId="0" xfId="2" applyNumberFormat="1" applyFont="1" applyBorder="1" applyAlignment="1" applyProtection="1">
      <alignment horizontal="center" vertical="center"/>
      <protection hidden="1"/>
    </xf>
    <xf numFmtId="0" fontId="69" fillId="0" borderId="0" xfId="0" quotePrefix="1" applyFont="1" applyAlignment="1" applyProtection="1">
      <alignment horizontal="center" vertical="center"/>
      <protection hidden="1"/>
    </xf>
    <xf numFmtId="0" fontId="69" fillId="0" borderId="0" xfId="0" quotePrefix="1" applyFont="1" applyAlignment="1" applyProtection="1">
      <alignment vertical="center"/>
      <protection hidden="1"/>
    </xf>
    <xf numFmtId="2" fontId="56" fillId="0" borderId="0" xfId="0" applyNumberFormat="1" applyFont="1" applyAlignment="1" applyProtection="1">
      <alignment horizontal="center" vertical="center"/>
      <protection hidden="1"/>
    </xf>
    <xf numFmtId="9" fontId="69" fillId="0" borderId="3" xfId="2" applyFont="1" applyBorder="1" applyAlignment="1" applyProtection="1">
      <alignment vertical="center"/>
      <protection hidden="1"/>
    </xf>
    <xf numFmtId="0" fontId="56" fillId="0" borderId="1" xfId="0" applyFont="1" applyBorder="1" applyProtection="1">
      <protection hidden="1"/>
    </xf>
    <xf numFmtId="49" fontId="69" fillId="0" borderId="0" xfId="0" applyNumberFormat="1" applyFont="1" applyAlignment="1" applyProtection="1">
      <alignment vertical="center" wrapText="1"/>
      <protection hidden="1"/>
    </xf>
    <xf numFmtId="49" fontId="69" fillId="0" borderId="0" xfId="0" applyNumberFormat="1" applyFont="1" applyAlignment="1" applyProtection="1">
      <alignment horizontal="center" vertical="center"/>
      <protection hidden="1"/>
    </xf>
    <xf numFmtId="49" fontId="69" fillId="0" borderId="0" xfId="0" quotePrefix="1" applyNumberFormat="1" applyFont="1" applyAlignment="1" applyProtection="1">
      <alignment horizontal="center" vertical="center"/>
      <protection hidden="1"/>
    </xf>
    <xf numFmtId="166" fontId="56" fillId="0" borderId="0" xfId="0" applyNumberFormat="1" applyFont="1" applyAlignment="1" applyProtection="1">
      <alignment horizontal="right" vertical="center"/>
      <protection hidden="1"/>
    </xf>
    <xf numFmtId="0" fontId="56" fillId="0" borderId="0" xfId="0" applyFont="1" applyProtection="1">
      <protection hidden="1"/>
    </xf>
    <xf numFmtId="0" fontId="69" fillId="0" borderId="0" xfId="0" applyFont="1" applyProtection="1">
      <protection locked="0"/>
    </xf>
    <xf numFmtId="172" fontId="69" fillId="0" borderId="0" xfId="0" applyNumberFormat="1" applyFont="1" applyAlignment="1" applyProtection="1">
      <alignment horizontal="center"/>
      <protection hidden="1"/>
    </xf>
    <xf numFmtId="0" fontId="69" fillId="0" borderId="0" xfId="0" applyFont="1" applyAlignment="1" applyProtection="1">
      <alignment horizontal="center"/>
      <protection hidden="1"/>
    </xf>
    <xf numFmtId="0" fontId="69" fillId="8" borderId="2" xfId="0" applyFont="1" applyFill="1" applyBorder="1" applyAlignment="1" applyProtection="1">
      <alignment vertical="center" wrapText="1"/>
      <protection hidden="1"/>
    </xf>
    <xf numFmtId="2" fontId="69" fillId="0" borderId="2" xfId="0" applyNumberFormat="1" applyFont="1" applyBorder="1" applyAlignment="1" applyProtection="1">
      <alignment horizontal="center" vertical="center"/>
      <protection hidden="1"/>
    </xf>
    <xf numFmtId="11" fontId="69" fillId="0" borderId="2" xfId="0" applyNumberFormat="1" applyFont="1" applyBorder="1" applyAlignment="1" applyProtection="1">
      <alignment horizontal="center" vertical="center"/>
      <protection hidden="1"/>
    </xf>
    <xf numFmtId="0" fontId="56" fillId="8" borderId="2" xfId="0" applyFont="1" applyFill="1" applyBorder="1" applyAlignment="1" applyProtection="1">
      <alignment vertical="center"/>
      <protection hidden="1"/>
    </xf>
    <xf numFmtId="167" fontId="69" fillId="0" borderId="2" xfId="0" applyNumberFormat="1" applyFont="1" applyBorder="1" applyAlignment="1" applyProtection="1">
      <alignment horizontal="center" vertical="center"/>
      <protection hidden="1"/>
    </xf>
    <xf numFmtId="167" fontId="56" fillId="8" borderId="2" xfId="0" applyNumberFormat="1" applyFont="1" applyFill="1" applyBorder="1" applyAlignment="1" applyProtection="1">
      <alignment horizontal="center" vertical="center" wrapText="1"/>
      <protection hidden="1"/>
    </xf>
    <xf numFmtId="49" fontId="69" fillId="0" borderId="2" xfId="0" applyNumberFormat="1" applyFont="1" applyBorder="1" applyAlignment="1" applyProtection="1">
      <alignment horizontal="center" vertical="center"/>
      <protection hidden="1"/>
    </xf>
    <xf numFmtId="2" fontId="69" fillId="0" borderId="2" xfId="0" quotePrefix="1" applyNumberFormat="1" applyFont="1" applyBorder="1" applyAlignment="1" applyProtection="1">
      <alignment horizontal="center" vertical="center"/>
      <protection hidden="1"/>
    </xf>
    <xf numFmtId="0" fontId="69" fillId="0" borderId="2" xfId="0" quotePrefix="1" applyFont="1" applyBorder="1" applyAlignment="1" applyProtection="1">
      <alignment horizontal="center" vertical="center"/>
      <protection hidden="1"/>
    </xf>
    <xf numFmtId="166" fontId="69" fillId="0" borderId="2" xfId="0" applyNumberFormat="1" applyFont="1" applyBorder="1" applyAlignment="1" applyProtection="1">
      <alignment horizontal="center" vertical="center"/>
      <protection hidden="1"/>
    </xf>
    <xf numFmtId="49" fontId="69" fillId="0" borderId="2" xfId="0" quotePrefix="1" applyNumberFormat="1" applyFont="1" applyBorder="1" applyAlignment="1" applyProtection="1">
      <alignment horizontal="center" vertical="center"/>
      <protection hidden="1"/>
    </xf>
    <xf numFmtId="0" fontId="69" fillId="0" borderId="5" xfId="0" applyFont="1" applyBorder="1" applyAlignment="1" applyProtection="1">
      <alignment horizontal="center" vertical="center" wrapText="1"/>
      <protection hidden="1"/>
    </xf>
    <xf numFmtId="10" fontId="69" fillId="0" borderId="2" xfId="2" applyNumberFormat="1" applyFont="1" applyBorder="1" applyAlignment="1" applyProtection="1">
      <alignment horizontal="center" vertical="center"/>
      <protection hidden="1"/>
    </xf>
    <xf numFmtId="0" fontId="56" fillId="8" borderId="24" xfId="0" applyFont="1" applyFill="1" applyBorder="1" applyAlignment="1" applyProtection="1">
      <alignment horizontal="center" vertical="center"/>
      <protection hidden="1"/>
    </xf>
    <xf numFmtId="0" fontId="69" fillId="8" borderId="25" xfId="0" applyFont="1" applyFill="1" applyBorder="1" applyAlignment="1" applyProtection="1">
      <alignment horizontal="center" vertical="center"/>
      <protection hidden="1"/>
    </xf>
    <xf numFmtId="0" fontId="56" fillId="8" borderId="24" xfId="0" applyFont="1" applyFill="1" applyBorder="1" applyAlignment="1" applyProtection="1">
      <alignment horizontal="center" vertical="center" wrapText="1"/>
      <protection hidden="1"/>
    </xf>
    <xf numFmtId="0" fontId="76" fillId="8" borderId="2" xfId="0" applyFont="1" applyFill="1" applyBorder="1" applyAlignment="1" applyProtection="1">
      <alignment vertical="center" wrapText="1"/>
      <protection hidden="1"/>
    </xf>
    <xf numFmtId="49" fontId="56" fillId="8" borderId="2" xfId="0" applyNumberFormat="1" applyFont="1" applyFill="1" applyBorder="1" applyAlignment="1" applyProtection="1">
      <alignment vertical="center" wrapText="1"/>
      <protection hidden="1"/>
    </xf>
    <xf numFmtId="2" fontId="69" fillId="8" borderId="2" xfId="0" applyNumberFormat="1" applyFont="1" applyFill="1" applyBorder="1" applyAlignment="1" applyProtection="1">
      <alignment horizontal="center" vertical="center"/>
      <protection hidden="1"/>
    </xf>
    <xf numFmtId="9" fontId="69" fillId="0" borderId="2" xfId="2" applyFont="1" applyBorder="1" applyAlignment="1" applyProtection="1">
      <alignment horizontal="center" vertical="center"/>
      <protection hidden="1"/>
    </xf>
    <xf numFmtId="2" fontId="56" fillId="0" borderId="2" xfId="0" applyNumberFormat="1" applyFont="1" applyBorder="1" applyAlignment="1" applyProtection="1">
      <alignment horizontal="center" vertical="center"/>
      <protection hidden="1"/>
    </xf>
    <xf numFmtId="0" fontId="69" fillId="0" borderId="9" xfId="0" applyFont="1" applyBorder="1" applyAlignment="1" applyProtection="1">
      <alignment vertical="center"/>
      <protection hidden="1"/>
    </xf>
    <xf numFmtId="0" fontId="69" fillId="0" borderId="8" xfId="0" applyFont="1" applyBorder="1" applyAlignment="1" applyProtection="1">
      <alignment vertical="center"/>
      <protection hidden="1"/>
    </xf>
    <xf numFmtId="167" fontId="56" fillId="0" borderId="0" xfId="0" applyNumberFormat="1" applyFont="1" applyAlignment="1" applyProtection="1">
      <alignment vertical="center" wrapText="1"/>
      <protection hidden="1"/>
    </xf>
    <xf numFmtId="49" fontId="69" fillId="0" borderId="1" xfId="0" applyNumberFormat="1" applyFont="1" applyBorder="1" applyAlignment="1" applyProtection="1">
      <alignment vertical="center"/>
      <protection hidden="1"/>
    </xf>
    <xf numFmtId="2" fontId="69" fillId="8" borderId="2" xfId="0" applyNumberFormat="1" applyFont="1" applyFill="1" applyBorder="1" applyAlignment="1" applyProtection="1">
      <alignment horizontal="center" vertical="center" wrapText="1"/>
      <protection hidden="1"/>
    </xf>
    <xf numFmtId="0" fontId="72" fillId="0" borderId="0" xfId="0" applyFont="1" applyAlignment="1">
      <alignment vertical="top" wrapText="1"/>
    </xf>
    <xf numFmtId="0" fontId="69" fillId="0" borderId="0" xfId="0" applyFont="1"/>
    <xf numFmtId="0" fontId="72" fillId="3" borderId="5" xfId="0" applyFont="1" applyFill="1" applyBorder="1" applyAlignment="1">
      <alignment vertical="top" wrapText="1"/>
    </xf>
    <xf numFmtId="0" fontId="72" fillId="3" borderId="0" xfId="0" applyFont="1" applyFill="1" applyAlignment="1">
      <alignment vertical="top" wrapText="1"/>
    </xf>
    <xf numFmtId="0" fontId="72" fillId="0" borderId="5" xfId="0" applyFont="1" applyBorder="1" applyAlignment="1">
      <alignment horizontal="left" vertical="top" wrapText="1"/>
    </xf>
    <xf numFmtId="0" fontId="72" fillId="0" borderId="0" xfId="0" applyFont="1" applyAlignment="1">
      <alignment horizontal="left" vertical="top" wrapText="1"/>
    </xf>
    <xf numFmtId="0" fontId="69" fillId="0" borderId="5" xfId="0" applyFont="1" applyBorder="1" applyAlignment="1">
      <alignment horizontal="left"/>
    </xf>
    <xf numFmtId="0" fontId="69" fillId="0" borderId="0" xfId="0" quotePrefix="1" applyFont="1" applyProtection="1">
      <protection hidden="1"/>
    </xf>
    <xf numFmtId="0" fontId="72" fillId="0" borderId="3" xfId="0" applyFont="1" applyBorder="1" applyAlignment="1">
      <alignment vertical="top" wrapText="1"/>
    </xf>
    <xf numFmtId="0" fontId="69" fillId="0" borderId="0" xfId="0" applyFont="1" applyAlignment="1">
      <alignment horizontal="left"/>
    </xf>
    <xf numFmtId="0" fontId="72" fillId="3" borderId="3" xfId="0" applyFont="1" applyFill="1" applyBorder="1" applyAlignment="1">
      <alignment vertical="top" wrapText="1"/>
    </xf>
    <xf numFmtId="171" fontId="69" fillId="0" borderId="0" xfId="0" applyNumberFormat="1" applyFont="1" applyAlignment="1" applyProtection="1">
      <alignment horizontal="left"/>
      <protection hidden="1"/>
    </xf>
    <xf numFmtId="172" fontId="69" fillId="0" borderId="0" xfId="0" applyNumberFormat="1" applyFont="1" applyProtection="1">
      <protection hidden="1"/>
    </xf>
    <xf numFmtId="171" fontId="69" fillId="0" borderId="0" xfId="0" applyNumberFormat="1" applyFont="1" applyProtection="1">
      <protection hidden="1"/>
    </xf>
    <xf numFmtId="0" fontId="69" fillId="0" borderId="3" xfId="0" applyFont="1" applyBorder="1"/>
    <xf numFmtId="0" fontId="56" fillId="8" borderId="25" xfId="0" applyFont="1" applyFill="1" applyBorder="1" applyAlignment="1" applyProtection="1">
      <alignment horizontal="center" vertical="center"/>
      <protection hidden="1"/>
    </xf>
    <xf numFmtId="0" fontId="69" fillId="0" borderId="7" xfId="0" quotePrefix="1" applyFont="1" applyBorder="1" applyProtection="1">
      <protection hidden="1"/>
    </xf>
    <xf numFmtId="49" fontId="69" fillId="0" borderId="2" xfId="0" applyNumberFormat="1" applyFont="1" applyBorder="1" applyAlignment="1" applyProtection="1">
      <alignment horizontal="center" vertical="center" wrapText="1"/>
      <protection hidden="1"/>
    </xf>
    <xf numFmtId="0" fontId="38" fillId="3" borderId="2" xfId="0" applyFont="1" applyFill="1" applyBorder="1" applyAlignment="1" applyProtection="1">
      <alignment vertical="center" wrapText="1"/>
      <protection hidden="1"/>
    </xf>
    <xf numFmtId="0" fontId="34" fillId="3" borderId="11" xfId="0" applyFont="1" applyFill="1" applyBorder="1" applyAlignment="1" applyProtection="1">
      <alignment vertical="center"/>
      <protection hidden="1"/>
    </xf>
    <xf numFmtId="175" fontId="69" fillId="0" borderId="2" xfId="0" applyNumberFormat="1" applyFont="1" applyBorder="1" applyAlignment="1" applyProtection="1">
      <alignment horizontal="center" vertical="center"/>
      <protection hidden="1"/>
    </xf>
    <xf numFmtId="167" fontId="46" fillId="3" borderId="0" xfId="0" applyNumberFormat="1" applyFont="1" applyFill="1" applyAlignment="1" applyProtection="1">
      <alignment horizontal="center"/>
      <protection locked="0"/>
    </xf>
    <xf numFmtId="172" fontId="69" fillId="0" borderId="0" xfId="0" applyNumberFormat="1" applyFont="1" applyAlignment="1" applyProtection="1">
      <alignment horizontal="center"/>
      <protection hidden="1"/>
    </xf>
    <xf numFmtId="0" fontId="56" fillId="0" borderId="0" xfId="0" applyFont="1" applyAlignment="1" applyProtection="1">
      <alignment horizontal="center" vertical="center"/>
      <protection hidden="1"/>
    </xf>
    <xf numFmtId="0" fontId="77" fillId="8" borderId="25" xfId="0" applyFont="1" applyFill="1" applyBorder="1" applyAlignment="1" applyProtection="1">
      <alignment horizontal="center" vertical="center" wrapText="1"/>
      <protection hidden="1"/>
    </xf>
    <xf numFmtId="0" fontId="56" fillId="8" borderId="11" xfId="0" applyFont="1" applyFill="1" applyBorder="1" applyAlignment="1" applyProtection="1">
      <alignment horizontal="center" vertical="center" wrapText="1"/>
      <protection hidden="1"/>
    </xf>
    <xf numFmtId="0" fontId="56" fillId="8" borderId="12" xfId="0" applyFont="1" applyFill="1" applyBorder="1" applyAlignment="1" applyProtection="1">
      <alignment horizontal="center" vertical="center" wrapText="1"/>
      <protection hidden="1"/>
    </xf>
    <xf numFmtId="0" fontId="56" fillId="8" borderId="2" xfId="0" applyFont="1" applyFill="1" applyBorder="1" applyAlignment="1" applyProtection="1">
      <alignment horizontal="left" vertical="center" wrapText="1"/>
      <protection hidden="1"/>
    </xf>
    <xf numFmtId="0" fontId="56" fillId="8" borderId="2" xfId="0" applyFont="1" applyFill="1" applyBorder="1" applyAlignment="1" applyProtection="1">
      <alignment horizontal="center" vertical="center"/>
      <protection hidden="1"/>
    </xf>
    <xf numFmtId="0" fontId="56" fillId="8" borderId="2" xfId="0" applyFont="1" applyFill="1" applyBorder="1" applyAlignment="1" applyProtection="1">
      <alignment horizontal="center" vertical="center" wrapText="1"/>
      <protection hidden="1"/>
    </xf>
    <xf numFmtId="0" fontId="78" fillId="0" borderId="9" xfId="0" applyFont="1" applyBorder="1" applyAlignment="1" applyProtection="1">
      <alignment horizontal="center" vertical="center" wrapText="1"/>
      <protection hidden="1"/>
    </xf>
    <xf numFmtId="0" fontId="78" fillId="0" borderId="7" xfId="0" applyFont="1" applyBorder="1" applyAlignment="1" applyProtection="1">
      <alignment horizontal="center" vertical="center" wrapText="1"/>
      <protection hidden="1"/>
    </xf>
    <xf numFmtId="0" fontId="78" fillId="0" borderId="8" xfId="0" applyFont="1" applyBorder="1" applyAlignment="1" applyProtection="1">
      <alignment horizontal="center" vertical="center" wrapText="1"/>
      <protection hidden="1"/>
    </xf>
    <xf numFmtId="0" fontId="78" fillId="0" borderId="5" xfId="0" applyFont="1" applyBorder="1" applyAlignment="1" applyProtection="1">
      <alignment horizontal="center" vertical="center" wrapText="1"/>
      <protection hidden="1"/>
    </xf>
    <xf numFmtId="0" fontId="78" fillId="0" borderId="0" xfId="0" applyFont="1" applyAlignment="1" applyProtection="1">
      <alignment horizontal="center" vertical="center" wrapText="1"/>
      <protection hidden="1"/>
    </xf>
    <xf numFmtId="0" fontId="78" fillId="0" borderId="3" xfId="0" applyFont="1" applyBorder="1" applyAlignment="1" applyProtection="1">
      <alignment horizontal="center" vertical="center" wrapText="1"/>
      <protection hidden="1"/>
    </xf>
    <xf numFmtId="0" fontId="78" fillId="0" borderId="6" xfId="0" applyFont="1" applyBorder="1" applyAlignment="1" applyProtection="1">
      <alignment horizontal="center" vertical="center" wrapText="1"/>
      <protection hidden="1"/>
    </xf>
    <xf numFmtId="0" fontId="78" fillId="0" borderId="1" xfId="0" applyFont="1" applyBorder="1" applyAlignment="1" applyProtection="1">
      <alignment horizontal="center" vertical="center" wrapText="1"/>
      <protection hidden="1"/>
    </xf>
    <xf numFmtId="0" fontId="78" fillId="0" borderId="4" xfId="0" applyFont="1" applyBorder="1" applyAlignment="1" applyProtection="1">
      <alignment horizontal="center" vertical="center" wrapText="1"/>
      <protection hidden="1"/>
    </xf>
    <xf numFmtId="0" fontId="56" fillId="0" borderId="9" xfId="0" applyFont="1" applyBorder="1" applyAlignment="1" applyProtection="1">
      <alignment horizontal="center" vertical="center" wrapText="1"/>
      <protection hidden="1"/>
    </xf>
    <xf numFmtId="0" fontId="56" fillId="0" borderId="7" xfId="0" applyFont="1" applyBorder="1" applyAlignment="1" applyProtection="1">
      <alignment horizontal="center" vertical="center" wrapText="1"/>
      <protection hidden="1"/>
    </xf>
    <xf numFmtId="0" fontId="56" fillId="0" borderId="8" xfId="0" applyFont="1" applyBorder="1" applyAlignment="1" applyProtection="1">
      <alignment horizontal="center" vertical="center" wrapText="1"/>
      <protection hidden="1"/>
    </xf>
    <xf numFmtId="0" fontId="56" fillId="0" borderId="5" xfId="0" applyFont="1" applyBorder="1" applyAlignment="1" applyProtection="1">
      <alignment horizontal="center" vertical="center" wrapText="1"/>
      <protection hidden="1"/>
    </xf>
    <xf numFmtId="0" fontId="56" fillId="0" borderId="0" xfId="0" applyFont="1" applyAlignment="1" applyProtection="1">
      <alignment horizontal="center" vertical="center" wrapText="1"/>
      <protection hidden="1"/>
    </xf>
    <xf numFmtId="0" fontId="56" fillId="0" borderId="3" xfId="0" applyFont="1" applyBorder="1" applyAlignment="1" applyProtection="1">
      <alignment horizontal="center" vertical="center" wrapText="1"/>
      <protection hidden="1"/>
    </xf>
    <xf numFmtId="0" fontId="56" fillId="0" borderId="6" xfId="0" applyFont="1" applyBorder="1" applyAlignment="1" applyProtection="1">
      <alignment horizontal="center" vertical="center" wrapText="1"/>
      <protection hidden="1"/>
    </xf>
    <xf numFmtId="0" fontId="56" fillId="0" borderId="1" xfId="0" applyFont="1" applyBorder="1" applyAlignment="1" applyProtection="1">
      <alignment horizontal="center" vertical="center" wrapText="1"/>
      <protection hidden="1"/>
    </xf>
    <xf numFmtId="0" fontId="56" fillId="0" borderId="4" xfId="0" applyFont="1" applyBorder="1" applyAlignment="1" applyProtection="1">
      <alignment horizontal="center" vertical="center" wrapText="1"/>
      <protection hidden="1"/>
    </xf>
    <xf numFmtId="0" fontId="78" fillId="8" borderId="2" xfId="0" applyFont="1" applyFill="1" applyBorder="1" applyAlignment="1" applyProtection="1">
      <alignment horizontal="center" vertical="center"/>
      <protection hidden="1"/>
    </xf>
    <xf numFmtId="0" fontId="77" fillId="8" borderId="11" xfId="0" applyFont="1" applyFill="1" applyBorder="1" applyAlignment="1" applyProtection="1">
      <alignment horizontal="center" vertical="center" wrapText="1"/>
      <protection hidden="1"/>
    </xf>
    <xf numFmtId="0" fontId="77" fillId="8" borderId="18" xfId="0" applyFont="1" applyFill="1" applyBorder="1" applyAlignment="1" applyProtection="1">
      <alignment horizontal="center" vertical="center" wrapText="1"/>
      <protection hidden="1"/>
    </xf>
    <xf numFmtId="0" fontId="77" fillId="8" borderId="12" xfId="0" applyFont="1" applyFill="1" applyBorder="1" applyAlignment="1" applyProtection="1">
      <alignment horizontal="center" vertical="center" wrapText="1"/>
      <protection hidden="1"/>
    </xf>
    <xf numFmtId="0" fontId="77" fillId="8" borderId="2" xfId="0" applyFont="1" applyFill="1" applyBorder="1" applyAlignment="1" applyProtection="1">
      <alignment horizontal="center" vertical="center" wrapText="1"/>
      <protection hidden="1"/>
    </xf>
    <xf numFmtId="0" fontId="72" fillId="0" borderId="5" xfId="0" applyFont="1" applyBorder="1" applyAlignment="1">
      <alignment horizontal="left" vertical="top" wrapText="1"/>
    </xf>
    <xf numFmtId="0" fontId="72" fillId="0" borderId="0" xfId="0" applyFont="1" applyAlignment="1">
      <alignment horizontal="left" vertical="top" wrapText="1"/>
    </xf>
    <xf numFmtId="0" fontId="56" fillId="8" borderId="2" xfId="0" applyFont="1" applyFill="1" applyBorder="1" applyAlignment="1" applyProtection="1">
      <alignment horizontal="center" wrapText="1"/>
      <protection hidden="1"/>
    </xf>
    <xf numFmtId="0" fontId="72" fillId="3" borderId="5" xfId="0" applyFont="1" applyFill="1" applyBorder="1" applyAlignment="1">
      <alignment horizontal="left" vertical="top" wrapText="1"/>
    </xf>
    <xf numFmtId="0" fontId="72" fillId="3" borderId="0" xfId="0" applyFont="1" applyFill="1" applyAlignment="1">
      <alignment horizontal="left" vertical="top" wrapText="1"/>
    </xf>
    <xf numFmtId="172" fontId="69" fillId="0" borderId="7" xfId="0" applyNumberFormat="1" applyFont="1" applyBorder="1" applyAlignment="1" applyProtection="1">
      <alignment horizontal="center"/>
      <protection hidden="1"/>
    </xf>
    <xf numFmtId="0" fontId="69" fillId="0" borderId="0" xfId="0" applyFont="1" applyAlignment="1" applyProtection="1">
      <alignment horizontal="center"/>
      <protection hidden="1"/>
    </xf>
    <xf numFmtId="0" fontId="55" fillId="3" borderId="5" xfId="0" applyFont="1" applyFill="1" applyBorder="1" applyAlignment="1" applyProtection="1">
      <alignment horizontal="center" wrapText="1"/>
      <protection hidden="1"/>
    </xf>
    <xf numFmtId="0" fontId="55" fillId="3" borderId="0" xfId="0" applyFont="1" applyFill="1" applyAlignment="1" applyProtection="1">
      <alignment horizontal="center" wrapText="1"/>
      <protection hidden="1"/>
    </xf>
    <xf numFmtId="0" fontId="55" fillId="3" borderId="3" xfId="0" applyFont="1" applyFill="1" applyBorder="1" applyAlignment="1" applyProtection="1">
      <alignment horizontal="center" wrapText="1"/>
      <protection hidden="1"/>
    </xf>
    <xf numFmtId="0" fontId="36" fillId="3" borderId="6" xfId="0" applyFont="1" applyFill="1" applyBorder="1" applyAlignment="1" applyProtection="1">
      <alignment horizontal="center" vertical="center" wrapText="1"/>
      <protection hidden="1"/>
    </xf>
    <xf numFmtId="0" fontId="36" fillId="3" borderId="1" xfId="0" applyFont="1" applyFill="1" applyBorder="1" applyAlignment="1" applyProtection="1">
      <alignment horizontal="center" vertical="center" wrapText="1"/>
      <protection hidden="1"/>
    </xf>
    <xf numFmtId="0" fontId="36" fillId="3" borderId="4" xfId="0" applyFont="1" applyFill="1" applyBorder="1" applyAlignment="1" applyProtection="1">
      <alignment horizontal="center" vertical="center" wrapText="1"/>
      <protection hidden="1"/>
    </xf>
    <xf numFmtId="0" fontId="34" fillId="3" borderId="5" xfId="0" applyFont="1" applyFill="1" applyBorder="1" applyAlignment="1" applyProtection="1">
      <alignment horizontal="center" vertical="center" wrapText="1"/>
      <protection hidden="1"/>
    </xf>
    <xf numFmtId="0" fontId="34" fillId="3" borderId="0" xfId="0" applyFont="1" applyFill="1" applyAlignment="1" applyProtection="1">
      <alignment horizontal="center" vertical="center" wrapText="1"/>
      <protection hidden="1"/>
    </xf>
    <xf numFmtId="0" fontId="34" fillId="3" borderId="3" xfId="0" applyFont="1" applyFill="1" applyBorder="1" applyAlignment="1" applyProtection="1">
      <alignment horizontal="center" vertical="center" wrapText="1"/>
      <protection hidden="1"/>
    </xf>
    <xf numFmtId="0" fontId="6" fillId="3" borderId="5" xfId="0" applyFont="1" applyFill="1" applyBorder="1" applyAlignment="1" applyProtection="1">
      <alignment horizontal="left" vertical="center" wrapText="1"/>
      <protection hidden="1"/>
    </xf>
    <xf numFmtId="0" fontId="6" fillId="3" borderId="0" xfId="0" applyFont="1" applyFill="1" applyAlignment="1" applyProtection="1">
      <alignment horizontal="left" vertical="center" wrapText="1"/>
      <protection hidden="1"/>
    </xf>
    <xf numFmtId="0" fontId="1" fillId="3" borderId="5" xfId="0" applyFont="1" applyFill="1" applyBorder="1" applyAlignment="1" applyProtection="1">
      <alignment horizontal="left" vertical="center" wrapText="1"/>
      <protection hidden="1"/>
    </xf>
    <xf numFmtId="0" fontId="1" fillId="3" borderId="0" xfId="0" applyFont="1" applyFill="1" applyAlignment="1" applyProtection="1">
      <alignment horizontal="left" vertical="center" wrapText="1"/>
      <protection hidden="1"/>
    </xf>
    <xf numFmtId="0" fontId="75" fillId="3" borderId="0" xfId="0" applyFont="1" applyFill="1" applyAlignment="1" applyProtection="1">
      <alignment horizontal="center" wrapText="1"/>
      <protection hidden="1"/>
    </xf>
    <xf numFmtId="0" fontId="45" fillId="3" borderId="0" xfId="0" applyFont="1" applyFill="1" applyAlignment="1" applyProtection="1">
      <alignment horizontal="center" vertical="center"/>
      <protection hidden="1"/>
    </xf>
    <xf numFmtId="0" fontId="40" fillId="3" borderId="0" xfId="0" applyFont="1" applyFill="1" applyAlignment="1" applyProtection="1">
      <alignment horizontal="center" vertical="center"/>
      <protection hidden="1"/>
    </xf>
    <xf numFmtId="0" fontId="38" fillId="3" borderId="5" xfId="0" applyFont="1" applyFill="1" applyBorder="1" applyAlignment="1" applyProtection="1">
      <alignment horizontal="left" vertical="top" wrapText="1"/>
      <protection hidden="1"/>
    </xf>
    <xf numFmtId="0" fontId="38" fillId="3" borderId="0" xfId="0" applyFont="1" applyFill="1" applyAlignment="1" applyProtection="1">
      <alignment horizontal="left" vertical="top" wrapText="1"/>
      <protection hidden="1"/>
    </xf>
    <xf numFmtId="0" fontId="33" fillId="2" borderId="15" xfId="1" applyFont="1" applyBorder="1" applyAlignment="1" applyProtection="1">
      <alignment horizontal="center" vertical="center" wrapText="1"/>
      <protection hidden="1"/>
    </xf>
    <xf numFmtId="0" fontId="33" fillId="2" borderId="16" xfId="1" applyFont="1" applyBorder="1" applyAlignment="1" applyProtection="1">
      <alignment horizontal="center" vertical="center" wrapText="1"/>
      <protection hidden="1"/>
    </xf>
    <xf numFmtId="0" fontId="33" fillId="2" borderId="17" xfId="1" applyFont="1" applyBorder="1" applyAlignment="1" applyProtection="1">
      <alignment horizontal="center" vertical="center" wrapText="1"/>
      <protection hidden="1"/>
    </xf>
    <xf numFmtId="0" fontId="33" fillId="2" borderId="13" xfId="1" applyFont="1" applyAlignment="1" applyProtection="1">
      <alignment horizontal="center" vertical="center"/>
      <protection locked="0"/>
    </xf>
    <xf numFmtId="0" fontId="44" fillId="3" borderId="11" xfId="0" applyFont="1" applyFill="1" applyBorder="1" applyAlignment="1" applyProtection="1">
      <alignment horizontal="center" vertical="center"/>
      <protection hidden="1"/>
    </xf>
    <xf numFmtId="0" fontId="44" fillId="3" borderId="12" xfId="0" applyFont="1" applyFill="1" applyBorder="1" applyAlignment="1" applyProtection="1">
      <alignment horizontal="center" vertical="center"/>
      <protection hidden="1"/>
    </xf>
    <xf numFmtId="0" fontId="38" fillId="3" borderId="0" xfId="0" applyFont="1" applyFill="1" applyAlignment="1" applyProtection="1">
      <alignment horizontal="center"/>
      <protection hidden="1"/>
    </xf>
    <xf numFmtId="0" fontId="39" fillId="3" borderId="0" xfId="0" applyFont="1" applyFill="1" applyAlignment="1" applyProtection="1">
      <alignment horizontal="left" vertical="top" wrapText="1"/>
      <protection hidden="1"/>
    </xf>
    <xf numFmtId="0" fontId="34" fillId="0" borderId="9" xfId="0" applyFont="1" applyBorder="1" applyAlignment="1" applyProtection="1">
      <alignment horizontal="center" vertical="center"/>
      <protection hidden="1"/>
    </xf>
    <xf numFmtId="0" fontId="34" fillId="0" borderId="7" xfId="0" applyFont="1" applyBorder="1" applyAlignment="1" applyProtection="1">
      <alignment horizontal="center" vertical="center"/>
      <protection hidden="1"/>
    </xf>
    <xf numFmtId="0" fontId="34" fillId="0" borderId="8" xfId="0" applyFont="1" applyBorder="1" applyAlignment="1" applyProtection="1">
      <alignment horizontal="center" vertical="center"/>
      <protection hidden="1"/>
    </xf>
    <xf numFmtId="0" fontId="34" fillId="3" borderId="11" xfId="0" applyFont="1" applyFill="1" applyBorder="1" applyAlignment="1" applyProtection="1">
      <alignment horizontal="center" vertical="center"/>
      <protection hidden="1"/>
    </xf>
    <xf numFmtId="0" fontId="34" fillId="3" borderId="12" xfId="0" applyFont="1" applyFill="1" applyBorder="1" applyAlignment="1" applyProtection="1">
      <alignment horizontal="center" vertical="center"/>
      <protection hidden="1"/>
    </xf>
    <xf numFmtId="0" fontId="34" fillId="3" borderId="5" xfId="0" applyFont="1" applyFill="1" applyBorder="1" applyAlignment="1" applyProtection="1">
      <alignment horizontal="center" wrapText="1"/>
      <protection hidden="1"/>
    </xf>
    <xf numFmtId="0" fontId="34" fillId="3" borderId="0" xfId="0" applyFont="1" applyFill="1" applyAlignment="1" applyProtection="1">
      <alignment horizontal="center" wrapText="1"/>
      <protection hidden="1"/>
    </xf>
    <xf numFmtId="0" fontId="34" fillId="3" borderId="3" xfId="0" applyFont="1" applyFill="1" applyBorder="1" applyAlignment="1" applyProtection="1">
      <alignment horizontal="center" wrapText="1"/>
      <protection hidden="1"/>
    </xf>
    <xf numFmtId="0" fontId="34" fillId="3" borderId="6" xfId="0" applyFont="1" applyFill="1" applyBorder="1" applyAlignment="1" applyProtection="1">
      <alignment horizontal="center"/>
      <protection hidden="1"/>
    </xf>
    <xf numFmtId="0" fontId="34" fillId="3" borderId="1" xfId="0" applyFont="1" applyFill="1" applyBorder="1" applyAlignment="1" applyProtection="1">
      <alignment horizontal="center"/>
      <protection hidden="1"/>
    </xf>
    <xf numFmtId="0" fontId="34" fillId="3" borderId="4" xfId="0" applyFont="1" applyFill="1" applyBorder="1" applyAlignment="1" applyProtection="1">
      <alignment horizontal="center"/>
      <protection hidden="1"/>
    </xf>
    <xf numFmtId="0" fontId="56" fillId="3" borderId="5" xfId="0" applyFont="1" applyFill="1" applyBorder="1" applyAlignment="1" applyProtection="1">
      <alignment horizontal="center" vertical="center"/>
      <protection hidden="1"/>
    </xf>
    <xf numFmtId="0" fontId="56" fillId="3" borderId="0" xfId="0" applyFont="1" applyFill="1" applyAlignment="1" applyProtection="1">
      <alignment horizontal="center" vertical="center"/>
      <protection hidden="1"/>
    </xf>
    <xf numFmtId="0" fontId="56" fillId="3" borderId="3" xfId="0" applyFont="1" applyFill="1" applyBorder="1" applyAlignment="1" applyProtection="1">
      <alignment horizontal="center" vertical="center"/>
      <protection hidden="1"/>
    </xf>
    <xf numFmtId="0" fontId="59" fillId="3" borderId="5" xfId="0" applyFont="1" applyFill="1" applyBorder="1" applyAlignment="1" applyProtection="1">
      <alignment horizontal="center" vertical="center" wrapText="1"/>
      <protection hidden="1"/>
    </xf>
    <xf numFmtId="0" fontId="59" fillId="3" borderId="0" xfId="0" applyFont="1" applyFill="1" applyAlignment="1" applyProtection="1">
      <alignment horizontal="center" vertical="center" wrapText="1"/>
      <protection hidden="1"/>
    </xf>
    <xf numFmtId="0" fontId="59" fillId="3" borderId="3" xfId="0" applyFont="1" applyFill="1" applyBorder="1" applyAlignment="1" applyProtection="1">
      <alignment horizontal="center" vertical="center" wrapText="1"/>
      <protection hidden="1"/>
    </xf>
    <xf numFmtId="0" fontId="34" fillId="3" borderId="5" xfId="0" applyFont="1" applyFill="1" applyBorder="1" applyAlignment="1" applyProtection="1">
      <alignment horizontal="center" vertical="center"/>
      <protection hidden="1"/>
    </xf>
    <xf numFmtId="0" fontId="34" fillId="3" borderId="0" xfId="0" applyFont="1" applyFill="1" applyAlignment="1" applyProtection="1">
      <alignment horizontal="center" vertical="center"/>
      <protection hidden="1"/>
    </xf>
    <xf numFmtId="0" fontId="34" fillId="3" borderId="3" xfId="0" applyFont="1" applyFill="1" applyBorder="1" applyAlignment="1" applyProtection="1">
      <alignment horizontal="center" vertical="center"/>
      <protection hidden="1"/>
    </xf>
    <xf numFmtId="0" fontId="38" fillId="3" borderId="2" xfId="0" applyFont="1" applyFill="1" applyBorder="1" applyAlignment="1" applyProtection="1">
      <alignment horizontal="center" vertical="center" wrapText="1"/>
      <protection hidden="1"/>
    </xf>
    <xf numFmtId="0" fontId="34" fillId="3" borderId="9" xfId="0" applyFont="1" applyFill="1" applyBorder="1" applyAlignment="1" applyProtection="1">
      <alignment horizontal="center" vertical="center"/>
      <protection hidden="1"/>
    </xf>
    <xf numFmtId="0" fontId="34" fillId="3" borderId="7" xfId="0" applyFont="1" applyFill="1" applyBorder="1" applyAlignment="1" applyProtection="1">
      <alignment horizontal="center" vertical="center"/>
      <protection hidden="1"/>
    </xf>
    <xf numFmtId="0" fontId="34" fillId="3" borderId="8" xfId="0" applyFont="1" applyFill="1" applyBorder="1" applyAlignment="1" applyProtection="1">
      <alignment horizontal="center" vertical="center"/>
      <protection hidden="1"/>
    </xf>
    <xf numFmtId="0" fontId="34" fillId="3" borderId="18" xfId="0" applyFont="1" applyFill="1" applyBorder="1" applyAlignment="1" applyProtection="1">
      <alignment horizontal="center" vertical="center"/>
      <protection hidden="1"/>
    </xf>
    <xf numFmtId="0" fontId="34" fillId="0" borderId="11" xfId="0" applyFont="1" applyBorder="1" applyAlignment="1" applyProtection="1">
      <alignment horizontal="center" vertical="center"/>
      <protection hidden="1"/>
    </xf>
    <xf numFmtId="0" fontId="34" fillId="0" borderId="18" xfId="0" applyFont="1" applyBorder="1" applyAlignment="1" applyProtection="1">
      <alignment horizontal="center" vertical="center"/>
      <protection hidden="1"/>
    </xf>
    <xf numFmtId="0" fontId="34" fillId="0" borderId="12" xfId="0" applyFont="1" applyBorder="1" applyAlignment="1" applyProtection="1">
      <alignment horizontal="center" vertical="center"/>
      <protection hidden="1"/>
    </xf>
    <xf numFmtId="0" fontId="34" fillId="3" borderId="11" xfId="0" quotePrefix="1" applyFont="1" applyFill="1" applyBorder="1" applyAlignment="1" applyProtection="1">
      <alignment horizontal="center" vertical="center"/>
      <protection hidden="1"/>
    </xf>
    <xf numFmtId="0" fontId="34" fillId="0" borderId="0" xfId="0" applyFont="1" applyAlignment="1">
      <alignment horizontal="center"/>
    </xf>
    <xf numFmtId="0" fontId="6" fillId="0" borderId="9" xfId="0" applyFont="1" applyBorder="1" applyAlignment="1" applyProtection="1">
      <alignment horizontal="center" vertical="top"/>
      <protection hidden="1"/>
    </xf>
    <xf numFmtId="0" fontId="0" fillId="0" borderId="7" xfId="0" applyBorder="1" applyAlignment="1" applyProtection="1">
      <alignment horizontal="center" vertical="top"/>
      <protection hidden="1"/>
    </xf>
    <xf numFmtId="0" fontId="0" fillId="0" borderId="8" xfId="0" applyBorder="1" applyAlignment="1" applyProtection="1">
      <alignment horizontal="center" vertical="top"/>
      <protection hidden="1"/>
    </xf>
    <xf numFmtId="0" fontId="53" fillId="0" borderId="0" xfId="0" applyFont="1" applyAlignment="1" applyProtection="1">
      <alignment horizontal="center"/>
      <protection hidden="1"/>
    </xf>
    <xf numFmtId="0" fontId="3" fillId="0" borderId="11" xfId="0" applyFont="1" applyBorder="1" applyAlignment="1" applyProtection="1">
      <alignment horizontal="center" vertical="center"/>
      <protection hidden="1"/>
    </xf>
    <xf numFmtId="0" fontId="3" fillId="0" borderId="12" xfId="0" applyFont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3">
    <cellStyle name="Entrada" xfId="1" builtinId="20"/>
    <cellStyle name="Normal" xfId="0" builtinId="0"/>
    <cellStyle name="Porcentagem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openxmlformats.org/officeDocument/2006/relationships/worksheet" Target="worksheets/sheet9.xml"/><Relationship Id="rId18" Type="http://schemas.openxmlformats.org/officeDocument/2006/relationships/worksheet" Target="worksheets/sheet14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8.xml"/><Relationship Id="rId17" Type="http://schemas.openxmlformats.org/officeDocument/2006/relationships/worksheet" Target="worksheets/sheet13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2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4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1.xml"/><Relationship Id="rId23" Type="http://schemas.microsoft.com/office/2017/10/relationships/person" Target="persons/person.xml"/><Relationship Id="rId28" Type="http://schemas.microsoft.com/office/2006/relationships/vbaProject" Target="vbaProject.bin"/><Relationship Id="rId10" Type="http://schemas.openxmlformats.org/officeDocument/2006/relationships/chartsheet" Target="chartsheets/sheet3.xml"/><Relationship Id="rId19" Type="http://schemas.openxmlformats.org/officeDocument/2006/relationships/worksheet" Target="worksheets/sheet15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2.xml"/><Relationship Id="rId14" Type="http://schemas.openxmlformats.org/officeDocument/2006/relationships/worksheet" Target="worksheets/sheet10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7288103164454516E-2"/>
          <c:y val="4.270108463840435E-2"/>
          <c:w val="0.88908023699727534"/>
          <c:h val="0.9513435808400697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Report!$C$83</c:f>
              <c:strCache>
                <c:ptCount val="1"/>
                <c:pt idx="0">
                  <c:v>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Report!$I$81:$I$82</c:f>
              <c:strCache>
                <c:ptCount val="2"/>
                <c:pt idx="0">
                  <c:v>Contribuição</c:v>
                </c:pt>
                <c:pt idx="1">
                  <c:v>(Contribution)</c:v>
                </c:pt>
              </c:strCache>
            </c:strRef>
          </c:cat>
          <c:val>
            <c:numRef>
              <c:f>Report!$I$83</c:f>
              <c:numCache>
                <c:formatCode>0.00%</c:formatCode>
                <c:ptCount val="1"/>
                <c:pt idx="0">
                  <c:v>3.0620826390065883E-2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59-488E-A989-B1D066F76740}"/>
            </c:ext>
          </c:extLst>
        </c:ser>
        <c:ser>
          <c:idx val="1"/>
          <c:order val="1"/>
          <c:tx>
            <c:strRef>
              <c:f>Report!$C$84</c:f>
              <c:strCache>
                <c:ptCount val="1"/>
                <c:pt idx="0">
                  <c:v>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Report!$I$81:$I$82</c:f>
              <c:strCache>
                <c:ptCount val="2"/>
                <c:pt idx="0">
                  <c:v>Contribuição</c:v>
                </c:pt>
                <c:pt idx="1">
                  <c:v>(Contribution)</c:v>
                </c:pt>
              </c:strCache>
            </c:strRef>
          </c:cat>
          <c:val>
            <c:numRef>
              <c:f>Report!$I$84</c:f>
              <c:numCache>
                <c:formatCode>0.00%</c:formatCode>
                <c:ptCount val="1"/>
                <c:pt idx="0">
                  <c:v>4.4536032251461848E-2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59-488E-A989-B1D066F76740}"/>
            </c:ext>
          </c:extLst>
        </c:ser>
        <c:ser>
          <c:idx val="2"/>
          <c:order val="2"/>
          <c:tx>
            <c:strRef>
              <c:f>Report!$C$85</c:f>
              <c:strCache>
                <c:ptCount val="1"/>
                <c:pt idx="0">
                  <c:v>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Report!$I$81:$I$82</c:f>
              <c:strCache>
                <c:ptCount val="2"/>
                <c:pt idx="0">
                  <c:v>Contribuição</c:v>
                </c:pt>
                <c:pt idx="1">
                  <c:v>(Contribution)</c:v>
                </c:pt>
              </c:strCache>
            </c:strRef>
          </c:cat>
          <c:val>
            <c:numRef>
              <c:f>Report!$I$85</c:f>
              <c:numCache>
                <c:formatCode>0.00%</c:formatCode>
                <c:ptCount val="1"/>
                <c:pt idx="0">
                  <c:v>0.14878747138935888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959-488E-A989-B1D066F76740}"/>
            </c:ext>
          </c:extLst>
        </c:ser>
        <c:ser>
          <c:idx val="3"/>
          <c:order val="3"/>
          <c:tx>
            <c:strRef>
              <c:f>Report!$C$86</c:f>
              <c:strCache>
                <c:ptCount val="1"/>
                <c:pt idx="0">
                  <c:v>∆P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Report!$I$81:$I$82</c:f>
              <c:strCache>
                <c:ptCount val="2"/>
                <c:pt idx="0">
                  <c:v>Contribuição</c:v>
                </c:pt>
                <c:pt idx="1">
                  <c:v>(Contribution)</c:v>
                </c:pt>
              </c:strCache>
            </c:strRef>
          </c:cat>
          <c:val>
            <c:numRef>
              <c:f>Report!$I$86</c:f>
              <c:numCache>
                <c:formatCode>0.00%</c:formatCode>
                <c:ptCount val="1"/>
                <c:pt idx="0">
                  <c:v>0.76742650638264487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959-488E-A989-B1D066F76740}"/>
            </c:ext>
          </c:extLst>
        </c:ser>
        <c:ser>
          <c:idx val="4"/>
          <c:order val="4"/>
          <c:tx>
            <c:strRef>
              <c:f>Report!$C$87</c:f>
              <c:strCache>
                <c:ptCount val="1"/>
                <c:pt idx="0">
                  <c:v>ρ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Report!$I$81:$I$82</c:f>
              <c:strCache>
                <c:ptCount val="2"/>
                <c:pt idx="0">
                  <c:v>Contribuição</c:v>
                </c:pt>
                <c:pt idx="1">
                  <c:v>(Contribution)</c:v>
                </c:pt>
              </c:strCache>
            </c:strRef>
          </c:cat>
          <c:val>
            <c:numRef>
              <c:f>Report!$I$87</c:f>
              <c:numCache>
                <c:formatCode>0.00%</c:formatCode>
                <c:ptCount val="1"/>
                <c:pt idx="0">
                  <c:v>8.629140051319149E-3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959-488E-A989-B1D066F76740}"/>
            </c:ext>
          </c:extLst>
        </c:ser>
        <c:ser>
          <c:idx val="5"/>
          <c:order val="5"/>
          <c:tx>
            <c:strRef>
              <c:f>Report!$C$88</c:f>
              <c:strCache>
                <c:ptCount val="1"/>
                <c:pt idx="0">
                  <c:v>ε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Report!$I$81:$I$82</c:f>
              <c:strCache>
                <c:ptCount val="2"/>
                <c:pt idx="0">
                  <c:v>Contribuição</c:v>
                </c:pt>
                <c:pt idx="1">
                  <c:v>(Contribution)</c:v>
                </c:pt>
              </c:strCache>
            </c:strRef>
          </c:cat>
          <c:val>
            <c:numRef>
              <c:f>Report!$I$88</c:f>
              <c:numCache>
                <c:formatCode>0.00%</c:formatCode>
                <c:ptCount val="1"/>
                <c:pt idx="0">
                  <c:v>2.3535149380057546E-8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959-488E-A989-B1D066F7674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218124431"/>
        <c:axId val="1218124911"/>
      </c:barChart>
      <c:catAx>
        <c:axId val="12181244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18124911"/>
        <c:crosses val="autoZero"/>
        <c:auto val="1"/>
        <c:lblAlgn val="ctr"/>
        <c:lblOffset val="100"/>
        <c:noMultiLvlLbl val="0"/>
      </c:catAx>
      <c:valAx>
        <c:axId val="12181249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181244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ayout>
        <c:manualLayout>
          <c:xMode val="edge"/>
          <c:yMode val="edge"/>
          <c:x val="0.87864523361555502"/>
          <c:y val="0.14207714229599139"/>
          <c:w val="0.11876217382965626"/>
          <c:h val="0.799838067714951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Gráfico da Incerteza do Sistema de Medição</a:t>
            </a:r>
          </a:p>
          <a:p>
            <a:pPr>
              <a:defRPr/>
            </a:pPr>
            <a:r>
              <a:rPr lang="pt-BR"/>
              <a:t>(Metering Systems Uncertainty Graph)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9765227312225522E-2"/>
          <c:y val="0.12041906420351302"/>
          <c:w val="0.82226011484699524"/>
          <c:h val="0.7934004643650312"/>
        </c:manualLayout>
      </c:layout>
      <c:scatterChart>
        <c:scatterStyle val="smoothMarker"/>
        <c:varyColors val="0"/>
        <c:ser>
          <c:idx val="0"/>
          <c:order val="0"/>
          <c:tx>
            <c:v>Incerteza (Uncertainty) DP High</c:v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Ref>
              <c:f>Gráfico1!$N$2:$N$41</c:f>
              <c:numCache>
                <c:formatCode>General</c:formatCode>
                <c:ptCount val="40"/>
                <c:pt idx="0">
                  <c:v>13914.409725270254</c:v>
                </c:pt>
                <c:pt idx="1">
                  <c:v>13778.696809241173</c:v>
                </c:pt>
                <c:pt idx="2">
                  <c:v>13641.650079332019</c:v>
                </c:pt>
                <c:pt idx="3">
                  <c:v>13503.204246403615</c:v>
                </c:pt>
                <c:pt idx="4">
                  <c:v>13363.315712493826</c:v>
                </c:pt>
                <c:pt idx="5">
                  <c:v>12861.67316421248</c:v>
                </c:pt>
                <c:pt idx="6">
                  <c:v>12490.833600276324</c:v>
                </c:pt>
                <c:pt idx="7">
                  <c:v>12108.654676824632</c:v>
                </c:pt>
                <c:pt idx="8">
                  <c:v>11713.9478700415</c:v>
                </c:pt>
                <c:pt idx="9">
                  <c:v>11305.400590329622</c:v>
                </c:pt>
                <c:pt idx="10">
                  <c:v>10881.453580694493</c:v>
                </c:pt>
                <c:pt idx="11">
                  <c:v>10440.230682012521</c:v>
                </c:pt>
                <c:pt idx="12">
                  <c:v>9979.4406573705965</c:v>
                </c:pt>
                <c:pt idx="13">
                  <c:v>9496.0500575110291</c:v>
                </c:pt>
                <c:pt idx="14">
                  <c:v>8986.7507504601926</c:v>
                </c:pt>
                <c:pt idx="15">
                  <c:v>8446.6882018189535</c:v>
                </c:pt>
                <c:pt idx="16">
                  <c:v>7869.5255735351075</c:v>
                </c:pt>
                <c:pt idx="17">
                  <c:v>7246.395002630381</c:v>
                </c:pt>
                <c:pt idx="18">
                  <c:v>6564.2056874014315</c:v>
                </c:pt>
                <c:pt idx="19">
                  <c:v>5802.14268783235</c:v>
                </c:pt>
                <c:pt idx="20">
                  <c:v>4923.1911254493571</c:v>
                </c:pt>
                <c:pt idx="21">
                  <c:v>4418.4834748181283</c:v>
                </c:pt>
                <c:pt idx="22">
                  <c:v>3848.0451416250221</c:v>
                </c:pt>
                <c:pt idx="23">
                  <c:v>3321.7323383176335</c:v>
                </c:pt>
                <c:pt idx="24">
                  <c:v>3176.4507723947854</c:v>
                </c:pt>
                <c:pt idx="25">
                  <c:v>3024.2678362565548</c:v>
                </c:pt>
                <c:pt idx="26">
                  <c:v>2863.9981608507592</c:v>
                </c:pt>
                <c:pt idx="27">
                  <c:v>2683.6917501135813</c:v>
                </c:pt>
                <c:pt idx="28">
                  <c:v>2586.853445241371</c:v>
                </c:pt>
                <c:pt idx="29">
                  <c:v>2575.8329986193762</c:v>
                </c:pt>
                <c:pt idx="30">
                  <c:v>2564.8144719714728</c:v>
                </c:pt>
                <c:pt idx="31">
                  <c:v>2553.7482752096544</c:v>
                </c:pt>
                <c:pt idx="32">
                  <c:v>2486.9024845818376</c:v>
                </c:pt>
                <c:pt idx="33">
                  <c:v>2474.8969216695082</c:v>
                </c:pt>
                <c:pt idx="34">
                  <c:v>2417.4177786009832</c:v>
                </c:pt>
                <c:pt idx="35">
                  <c:v>2358.1451363562592</c:v>
                </c:pt>
                <c:pt idx="36">
                  <c:v>2345.6281461530316</c:v>
                </c:pt>
                <c:pt idx="37">
                  <c:v>2333.5205639495648</c:v>
                </c:pt>
                <c:pt idx="38">
                  <c:v>2321.3497978693822</c:v>
                </c:pt>
                <c:pt idx="39">
                  <c:v>2317.2911014819647</c:v>
                </c:pt>
              </c:numCache>
            </c:numRef>
          </c:xVal>
          <c:yVal>
            <c:numRef>
              <c:f>Gráfico1!$C$2:$C$41</c:f>
              <c:numCache>
                <c:formatCode>General</c:formatCode>
                <c:ptCount val="40"/>
                <c:pt idx="0">
                  <c:v>1.0108315826631156</c:v>
                </c:pt>
                <c:pt idx="1">
                  <c:v>1.0108724572481171</c:v>
                </c:pt>
                <c:pt idx="2">
                  <c:v>1.0109160756394735</c:v>
                </c:pt>
                <c:pt idx="3">
                  <c:v>1.010962672585336</c:v>
                </c:pt>
                <c:pt idx="4">
                  <c:v>1.0110125001751178</c:v>
                </c:pt>
                <c:pt idx="5">
                  <c:v>1.0112166613038749</c:v>
                </c:pt>
                <c:pt idx="6">
                  <c:v>1.0113974599059166</c:v>
                </c:pt>
                <c:pt idx="7">
                  <c:v>1.0116160469496569</c:v>
                </c:pt>
                <c:pt idx="8">
                  <c:v>1.0118831619346422</c:v>
                </c:pt>
                <c:pt idx="9">
                  <c:v>1.0122136002141884</c:v>
                </c:pt>
                <c:pt idx="10">
                  <c:v>1.0126282673426139</c:v>
                </c:pt>
                <c:pt idx="11">
                  <c:v>1.0131574706970876</c:v>
                </c:pt>
                <c:pt idx="12">
                  <c:v>1.0138464786322141</c:v>
                </c:pt>
                <c:pt idx="13">
                  <c:v>1.014765722996084</c:v>
                </c:pt>
                <c:pt idx="14">
                  <c:v>1.0160277036424716</c:v>
                </c:pt>
                <c:pt idx="15">
                  <c:v>1.0178246472160712</c:v>
                </c:pt>
                <c:pt idx="16">
                  <c:v>1.0205039652548373</c:v>
                </c:pt>
                <c:pt idx="17">
                  <c:v>1.0247474786072865</c:v>
                </c:pt>
                <c:pt idx="18">
                  <c:v>1.032045449310921</c:v>
                </c:pt>
                <c:pt idx="19">
                  <c:v>1.0461828749491247</c:v>
                </c:pt>
                <c:pt idx="20">
                  <c:v>1.0792059492772994</c:v>
                </c:pt>
                <c:pt idx="21">
                  <c:v>1.1151924325674329</c:v>
                </c:pt>
                <c:pt idx="22">
                  <c:v>1.1873500619940789</c:v>
                </c:pt>
                <c:pt idx="23">
                  <c:v>1.3127664025613661</c:v>
                </c:pt>
                <c:pt idx="24">
                  <c:v>1.3643764924307331</c:v>
                </c:pt>
                <c:pt idx="25">
                  <c:v>1.429894653946097</c:v>
                </c:pt>
                <c:pt idx="26">
                  <c:v>1.5147655714209136</c:v>
                </c:pt>
                <c:pt idx="27">
                  <c:v>1.6352209843459389</c:v>
                </c:pt>
                <c:pt idx="28">
                  <c:v>1.7135822995781282</c:v>
                </c:pt>
                <c:pt idx="29">
                  <c:v>1.7232029895311245</c:v>
                </c:pt>
                <c:pt idx="30">
                  <c:v>1.7329750239315378</c:v>
                </c:pt>
                <c:pt idx="31">
                  <c:v>1.7429461370098571</c:v>
                </c:pt>
                <c:pt idx="32">
                  <c:v>1.8066866441276381</c:v>
                </c:pt>
                <c:pt idx="33">
                  <c:v>1.8188048636562961</c:v>
                </c:pt>
                <c:pt idx="34">
                  <c:v>1.8798746223908105</c:v>
                </c:pt>
                <c:pt idx="35">
                  <c:v>1.9485387230500986</c:v>
                </c:pt>
                <c:pt idx="36">
                  <c:v>1.9638339256157982</c:v>
                </c:pt>
                <c:pt idx="37">
                  <c:v>1.9789056210877101</c:v>
                </c:pt>
                <c:pt idx="38">
                  <c:v>1.9943362138622034</c:v>
                </c:pt>
                <c:pt idx="39">
                  <c:v>1.9995455092018923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C1-407D-A8AA-3A767E2AB174}"/>
            </c:ext>
          </c:extLst>
        </c:ser>
        <c:ser>
          <c:idx val="1"/>
          <c:order val="1"/>
          <c:tx>
            <c:v>Inc. Range de Alta (High Range Unc.)</c:v>
          </c:tx>
          <c:spPr>
            <a:ln w="12700" cap="rnd">
              <a:solidFill>
                <a:srgbClr val="FF0000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Ref>
              <c:f>Gráfico1!$N$2:$N$42</c:f>
              <c:numCache>
                <c:formatCode>General</c:formatCode>
                <c:ptCount val="41"/>
                <c:pt idx="0">
                  <c:v>13914.409725270254</c:v>
                </c:pt>
                <c:pt idx="1">
                  <c:v>13778.696809241173</c:v>
                </c:pt>
                <c:pt idx="2">
                  <c:v>13641.650079332019</c:v>
                </c:pt>
                <c:pt idx="3">
                  <c:v>13503.204246403615</c:v>
                </c:pt>
                <c:pt idx="4">
                  <c:v>13363.315712493826</c:v>
                </c:pt>
                <c:pt idx="5">
                  <c:v>12861.67316421248</c:v>
                </c:pt>
                <c:pt idx="6">
                  <c:v>12490.833600276324</c:v>
                </c:pt>
                <c:pt idx="7">
                  <c:v>12108.654676824632</c:v>
                </c:pt>
                <c:pt idx="8">
                  <c:v>11713.9478700415</c:v>
                </c:pt>
                <c:pt idx="9">
                  <c:v>11305.400590329622</c:v>
                </c:pt>
                <c:pt idx="10">
                  <c:v>10881.453580694493</c:v>
                </c:pt>
                <c:pt idx="11">
                  <c:v>10440.230682012521</c:v>
                </c:pt>
                <c:pt idx="12">
                  <c:v>9979.4406573705965</c:v>
                </c:pt>
                <c:pt idx="13">
                  <c:v>9496.0500575110291</c:v>
                </c:pt>
                <c:pt idx="14">
                  <c:v>8986.7507504601926</c:v>
                </c:pt>
                <c:pt idx="15">
                  <c:v>8446.6882018189535</c:v>
                </c:pt>
                <c:pt idx="16">
                  <c:v>7869.5255735351075</c:v>
                </c:pt>
                <c:pt idx="17">
                  <c:v>7246.395002630381</c:v>
                </c:pt>
                <c:pt idx="18">
                  <c:v>6564.2056874014315</c:v>
                </c:pt>
                <c:pt idx="19">
                  <c:v>5802.14268783235</c:v>
                </c:pt>
                <c:pt idx="20">
                  <c:v>4923.1911254493571</c:v>
                </c:pt>
                <c:pt idx="21">
                  <c:v>4418.4834748181283</c:v>
                </c:pt>
                <c:pt idx="22">
                  <c:v>3848.0451416250221</c:v>
                </c:pt>
                <c:pt idx="23">
                  <c:v>3321.7323383176335</c:v>
                </c:pt>
                <c:pt idx="24">
                  <c:v>3176.4507723947854</c:v>
                </c:pt>
                <c:pt idx="25">
                  <c:v>3024.2678362565548</c:v>
                </c:pt>
                <c:pt idx="26">
                  <c:v>2863.9981608507592</c:v>
                </c:pt>
                <c:pt idx="27">
                  <c:v>2683.6917501135813</c:v>
                </c:pt>
                <c:pt idx="28">
                  <c:v>2586.853445241371</c:v>
                </c:pt>
                <c:pt idx="29">
                  <c:v>2575.8329986193762</c:v>
                </c:pt>
                <c:pt idx="30">
                  <c:v>2564.8144719714728</c:v>
                </c:pt>
                <c:pt idx="31">
                  <c:v>2553.7482752096544</c:v>
                </c:pt>
                <c:pt idx="32">
                  <c:v>2486.9024845818376</c:v>
                </c:pt>
                <c:pt idx="33">
                  <c:v>2474.8969216695082</c:v>
                </c:pt>
                <c:pt idx="34">
                  <c:v>2417.4177786009832</c:v>
                </c:pt>
                <c:pt idx="35">
                  <c:v>2358.1451363562592</c:v>
                </c:pt>
                <c:pt idx="36">
                  <c:v>2345.6281461530316</c:v>
                </c:pt>
                <c:pt idx="37">
                  <c:v>2333.5205639495648</c:v>
                </c:pt>
                <c:pt idx="38">
                  <c:v>2321.3497978693822</c:v>
                </c:pt>
                <c:pt idx="39">
                  <c:v>2317.2911014819647</c:v>
                </c:pt>
                <c:pt idx="40">
                  <c:v>0</c:v>
                </c:pt>
              </c:numCache>
            </c:numRef>
          </c:xVal>
          <c:yVal>
            <c:numRef>
              <c:f>Gráfico1!$J$2:$J$42</c:f>
              <c:numCache>
                <c:formatCode>General</c:formatCode>
                <c:ptCount val="4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C1-407D-A8AA-3A767E2AB1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6721504"/>
        <c:axId val="1"/>
      </c:scatterChart>
      <c:valAx>
        <c:axId val="1686721504"/>
        <c:scaling>
          <c:orientation val="minMax"/>
          <c:max val="14500"/>
          <c:min val="1500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Vazão Volumétrica (Net flow rate),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"/>
        <c:crosses val="autoZero"/>
        <c:crossBetween val="midCat"/>
        <c:majorUnit val="1000"/>
      </c:valAx>
      <c:valAx>
        <c:axId val="1"/>
        <c:scaling>
          <c:orientation val="minMax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Incerteza expandida (Exp. Uncertainty) [%]  Grau de confiança 95 % </a:t>
                </a:r>
              </a:p>
              <a:p>
                <a:pPr>
                  <a:defRPr/>
                </a:pPr>
                <a:r>
                  <a:rPr lang="pt-BR"/>
                  <a:t>(95 % confidence level)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6721504"/>
        <c:crosses val="autoZero"/>
        <c:crossBetween val="midCat"/>
        <c:majorUnit val="0.1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89937565649953777"/>
          <c:y val="6.1623637189582102E-2"/>
          <c:w val="9.4444751139497282E-2"/>
          <c:h val="0.7731429184332727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dk1"/>
      </a:solidFill>
      <a:prstDash val="solid"/>
      <a:round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Gráfico da Incerteza do Sistema de Medição</a:t>
            </a:r>
          </a:p>
          <a:p>
            <a:pPr>
              <a:defRPr/>
            </a:pPr>
            <a:r>
              <a:rPr lang="pt-BR"/>
              <a:t>(Metering Systems Uncertainty Graph)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3.9745538244184586E-2"/>
          <c:y val="0.12041906420351302"/>
          <c:w val="0.85227976447322118"/>
          <c:h val="0.7934004643650312"/>
        </c:manualLayout>
      </c:layout>
      <c:scatterChart>
        <c:scatterStyle val="smoothMarker"/>
        <c:varyColors val="0"/>
        <c:ser>
          <c:idx val="3"/>
          <c:order val="0"/>
          <c:tx>
            <c:v>Incerteza (Uncertainty) DP Low</c:v>
          </c:tx>
          <c:spPr>
            <a:ln w="9525" cap="rnd">
              <a:solidFill>
                <a:schemeClr val="accent4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Ref>
              <c:f>Gráfico3!$N$2:$N$42</c:f>
              <c:numCache>
                <c:formatCode>General</c:formatCode>
                <c:ptCount val="41"/>
                <c:pt idx="0">
                  <c:v>4683.9527362239296</c:v>
                </c:pt>
                <c:pt idx="1">
                  <c:v>4640.6169919818258</c:v>
                </c:pt>
                <c:pt idx="2">
                  <c:v>4596.8069942168622</c:v>
                </c:pt>
                <c:pt idx="3">
                  <c:v>4552.5745911230861</c:v>
                </c:pt>
                <c:pt idx="4">
                  <c:v>4507.9076274730915</c:v>
                </c:pt>
                <c:pt idx="5">
                  <c:v>4347.9708396818814</c:v>
                </c:pt>
                <c:pt idx="6">
                  <c:v>4229.9818762977893</c:v>
                </c:pt>
                <c:pt idx="7">
                  <c:v>4108.6214335697223</c:v>
                </c:pt>
                <c:pt idx="8">
                  <c:v>3983.5599965633196</c:v>
                </c:pt>
                <c:pt idx="9">
                  <c:v>3854.4371884046859</c:v>
                </c:pt>
                <c:pt idx="10">
                  <c:v>3720.8300725248232</c:v>
                </c:pt>
                <c:pt idx="11">
                  <c:v>3582.2368015979491</c:v>
                </c:pt>
                <c:pt idx="12">
                  <c:v>3438.0543390050316</c:v>
                </c:pt>
                <c:pt idx="13">
                  <c:v>3287.5473832448729</c:v>
                </c:pt>
                <c:pt idx="14">
                  <c:v>3129.8038415548026</c:v>
                </c:pt>
                <c:pt idx="15">
                  <c:v>2963.6689805083729</c:v>
                </c:pt>
                <c:pt idx="16">
                  <c:v>2787.6442897736051</c:v>
                </c:pt>
                <c:pt idx="17">
                  <c:v>2599.7248330694542</c:v>
                </c:pt>
                <c:pt idx="18">
                  <c:v>2397.1222444069449</c:v>
                </c:pt>
                <c:pt idx="19">
                  <c:v>2175.7570213986482</c:v>
                </c:pt>
                <c:pt idx="20">
                  <c:v>1928.5240346738449</c:v>
                </c:pt>
                <c:pt idx="21">
                  <c:v>1792.5136822608838</c:v>
                </c:pt>
                <c:pt idx="22">
                  <c:v>1645.2010292029706</c:v>
                </c:pt>
                <c:pt idx="23">
                  <c:v>1516.95339186501</c:v>
                </c:pt>
                <c:pt idx="24">
                  <c:v>1483.22467768621</c:v>
                </c:pt>
                <c:pt idx="25">
                  <c:v>1448.6762363783623</c:v>
                </c:pt>
                <c:pt idx="26">
                  <c:v>1413.2834057450632</c:v>
                </c:pt>
                <c:pt idx="27">
                  <c:v>1374.8196173042425</c:v>
                </c:pt>
                <c:pt idx="28">
                  <c:v>1354.471141855867</c:v>
                </c:pt>
                <c:pt idx="29">
                  <c:v>1352.1649116862775</c:v>
                </c:pt>
                <c:pt idx="30">
                  <c:v>1349.9143836287003</c:v>
                </c:pt>
                <c:pt idx="31">
                  <c:v>1347.6598914552751</c:v>
                </c:pt>
                <c:pt idx="32">
                  <c:v>1334.1832925407225</c:v>
                </c:pt>
                <c:pt idx="33">
                  <c:v>1331.7709924362684</c:v>
                </c:pt>
                <c:pt idx="34">
                  <c:v>1320.3067394546963</c:v>
                </c:pt>
                <c:pt idx="35">
                  <c:v>1308.7408280356779</c:v>
                </c:pt>
                <c:pt idx="36">
                  <c:v>1306.4128174965665</c:v>
                </c:pt>
                <c:pt idx="37">
                  <c:v>1304.0830067669808</c:v>
                </c:pt>
                <c:pt idx="38">
                  <c:v>1301.7490117595385</c:v>
                </c:pt>
                <c:pt idx="39">
                  <c:v>1301.7490117595385</c:v>
                </c:pt>
                <c:pt idx="40">
                  <c:v>0</c:v>
                </c:pt>
              </c:numCache>
            </c:numRef>
          </c:xVal>
          <c:yVal>
            <c:numRef>
              <c:f>Gráfico3!$C$2:$C$42</c:f>
              <c:numCache>
                <c:formatCode>General</c:formatCode>
                <c:ptCount val="41"/>
                <c:pt idx="0">
                  <c:v>1.0767634507736696</c:v>
                </c:pt>
                <c:pt idx="1">
                  <c:v>1.076875064159307</c:v>
                </c:pt>
                <c:pt idx="2">
                  <c:v>1.0769934030440345</c:v>
                </c:pt>
                <c:pt idx="3">
                  <c:v>1.0771188261256786</c:v>
                </c:pt>
                <c:pt idx="4">
                  <c:v>1.0772519036329298</c:v>
                </c:pt>
                <c:pt idx="5">
                  <c:v>1.0777876070174133</c:v>
                </c:pt>
                <c:pt idx="6">
                  <c:v>1.0782515611760735</c:v>
                </c:pt>
                <c:pt idx="7">
                  <c:v>1.0788020457129874</c:v>
                </c:pt>
                <c:pt idx="8">
                  <c:v>1.0794619073085827</c:v>
                </c:pt>
                <c:pt idx="9">
                  <c:v>1.0802619079849789</c:v>
                </c:pt>
                <c:pt idx="10">
                  <c:v>1.081244401763642</c:v>
                </c:pt>
                <c:pt idx="11">
                  <c:v>1.0824689883107994</c:v>
                </c:pt>
                <c:pt idx="12">
                  <c:v>1.0840216585874447</c:v>
                </c:pt>
                <c:pt idx="13">
                  <c:v>1.0860301279566094</c:v>
                </c:pt>
                <c:pt idx="14">
                  <c:v>1.0886906336018032</c:v>
                </c:pt>
                <c:pt idx="15">
                  <c:v>1.0923171154807887</c:v>
                </c:pt>
                <c:pt idx="16">
                  <c:v>1.0974369089202889</c:v>
                </c:pt>
                <c:pt idx="17">
                  <c:v>1.1049906538963439</c:v>
                </c:pt>
                <c:pt idx="18">
                  <c:v>1.1167885414155889</c:v>
                </c:pt>
                <c:pt idx="19">
                  <c:v>1.1366764467790109</c:v>
                </c:pt>
                <c:pt idx="20">
                  <c:v>1.1741426487047899</c:v>
                </c:pt>
                <c:pt idx="21">
                  <c:v>1.2064538522304495</c:v>
                </c:pt>
                <c:pt idx="22">
                  <c:v>1.2568571315805355</c:v>
                </c:pt>
                <c:pt idx="23">
                  <c:v>1.3205115087480912</c:v>
                </c:pt>
                <c:pt idx="24">
                  <c:v>1.3414405100061617</c:v>
                </c:pt>
                <c:pt idx="25">
                  <c:v>1.3651012738120496</c:v>
                </c:pt>
                <c:pt idx="26">
                  <c:v>1.3919544849311216</c:v>
                </c:pt>
                <c:pt idx="27">
                  <c:v>1.4245218463596152</c:v>
                </c:pt>
                <c:pt idx="28">
                  <c:v>1.4433348285046432</c:v>
                </c:pt>
                <c:pt idx="29">
                  <c:v>1.4455410782943507</c:v>
                </c:pt>
                <c:pt idx="30">
                  <c:v>1.4477089903871996</c:v>
                </c:pt>
                <c:pt idx="31">
                  <c:v>1.4498956423992426</c:v>
                </c:pt>
                <c:pt idx="32">
                  <c:v>1.4632846590269699</c:v>
                </c:pt>
                <c:pt idx="33">
                  <c:v>1.4657399704815073</c:v>
                </c:pt>
                <c:pt idx="34">
                  <c:v>1.4776599806526505</c:v>
                </c:pt>
                <c:pt idx="35">
                  <c:v>1.4901190857368785</c:v>
                </c:pt>
                <c:pt idx="36">
                  <c:v>1.4926810673455966</c:v>
                </c:pt>
                <c:pt idx="37">
                  <c:v>1.4952635535799654</c:v>
                </c:pt>
                <c:pt idx="38">
                  <c:v>1.4978694097408274</c:v>
                </c:pt>
                <c:pt idx="39">
                  <c:v>1.4978694097408274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5F4-4507-AA4B-29FB131D43F6}"/>
            </c:ext>
          </c:extLst>
        </c:ser>
        <c:ser>
          <c:idx val="5"/>
          <c:order val="1"/>
          <c:tx>
            <c:v>Inc. Range de Baixa (Low Range Unc.)</c:v>
          </c:tx>
          <c:spPr>
            <a:ln w="12700" cap="rnd">
              <a:solidFill>
                <a:srgbClr val="FF0000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Ref>
              <c:f>Gráfico3!$N$2:$N$42</c:f>
              <c:numCache>
                <c:formatCode>General</c:formatCode>
                <c:ptCount val="41"/>
                <c:pt idx="0">
                  <c:v>4683.9527362239296</c:v>
                </c:pt>
                <c:pt idx="1">
                  <c:v>4640.6169919818258</c:v>
                </c:pt>
                <c:pt idx="2">
                  <c:v>4596.8069942168622</c:v>
                </c:pt>
                <c:pt idx="3">
                  <c:v>4552.5745911230861</c:v>
                </c:pt>
                <c:pt idx="4">
                  <c:v>4507.9076274730915</c:v>
                </c:pt>
                <c:pt idx="5">
                  <c:v>4347.9708396818814</c:v>
                </c:pt>
                <c:pt idx="6">
                  <c:v>4229.9818762977893</c:v>
                </c:pt>
                <c:pt idx="7">
                  <c:v>4108.6214335697223</c:v>
                </c:pt>
                <c:pt idx="8">
                  <c:v>3983.5599965633196</c:v>
                </c:pt>
                <c:pt idx="9">
                  <c:v>3854.4371884046859</c:v>
                </c:pt>
                <c:pt idx="10">
                  <c:v>3720.8300725248232</c:v>
                </c:pt>
                <c:pt idx="11">
                  <c:v>3582.2368015979491</c:v>
                </c:pt>
                <c:pt idx="12">
                  <c:v>3438.0543390050316</c:v>
                </c:pt>
                <c:pt idx="13">
                  <c:v>3287.5473832448729</c:v>
                </c:pt>
                <c:pt idx="14">
                  <c:v>3129.8038415548026</c:v>
                </c:pt>
                <c:pt idx="15">
                  <c:v>2963.6689805083729</c:v>
                </c:pt>
                <c:pt idx="16">
                  <c:v>2787.6442897736051</c:v>
                </c:pt>
                <c:pt idx="17">
                  <c:v>2599.7248330694542</c:v>
                </c:pt>
                <c:pt idx="18">
                  <c:v>2397.1222444069449</c:v>
                </c:pt>
                <c:pt idx="19">
                  <c:v>2175.7570213986482</c:v>
                </c:pt>
                <c:pt idx="20">
                  <c:v>1928.5240346738449</c:v>
                </c:pt>
                <c:pt idx="21">
                  <c:v>1792.5136822608838</c:v>
                </c:pt>
                <c:pt idx="22">
                  <c:v>1645.2010292029706</c:v>
                </c:pt>
                <c:pt idx="23">
                  <c:v>1516.95339186501</c:v>
                </c:pt>
                <c:pt idx="24">
                  <c:v>1483.22467768621</c:v>
                </c:pt>
                <c:pt idx="25">
                  <c:v>1448.6762363783623</c:v>
                </c:pt>
                <c:pt idx="26">
                  <c:v>1413.2834057450632</c:v>
                </c:pt>
                <c:pt idx="27">
                  <c:v>1374.8196173042425</c:v>
                </c:pt>
                <c:pt idx="28">
                  <c:v>1354.471141855867</c:v>
                </c:pt>
                <c:pt idx="29">
                  <c:v>1352.1649116862775</c:v>
                </c:pt>
                <c:pt idx="30">
                  <c:v>1349.9143836287003</c:v>
                </c:pt>
                <c:pt idx="31">
                  <c:v>1347.6598914552751</c:v>
                </c:pt>
                <c:pt idx="32">
                  <c:v>1334.1832925407225</c:v>
                </c:pt>
                <c:pt idx="33">
                  <c:v>1331.7709924362684</c:v>
                </c:pt>
                <c:pt idx="34">
                  <c:v>1320.3067394546963</c:v>
                </c:pt>
                <c:pt idx="35">
                  <c:v>1308.7408280356779</c:v>
                </c:pt>
                <c:pt idx="36">
                  <c:v>1306.4128174965665</c:v>
                </c:pt>
                <c:pt idx="37">
                  <c:v>1304.0830067669808</c:v>
                </c:pt>
                <c:pt idx="38">
                  <c:v>1301.7490117595385</c:v>
                </c:pt>
                <c:pt idx="39">
                  <c:v>1301.7490117595385</c:v>
                </c:pt>
                <c:pt idx="40">
                  <c:v>0</c:v>
                </c:pt>
              </c:numCache>
            </c:numRef>
          </c:xVal>
          <c:yVal>
            <c:numRef>
              <c:f>Gráfico3!$J$2:$J$42</c:f>
              <c:numCache>
                <c:formatCode>General</c:formatCode>
                <c:ptCount val="41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  <c:pt idx="5">
                  <c:v>1.5</c:v>
                </c:pt>
                <c:pt idx="6">
                  <c:v>1.5</c:v>
                </c:pt>
                <c:pt idx="7">
                  <c:v>1.5</c:v>
                </c:pt>
                <c:pt idx="8">
                  <c:v>1.5</c:v>
                </c:pt>
                <c:pt idx="9">
                  <c:v>1.5</c:v>
                </c:pt>
                <c:pt idx="10">
                  <c:v>1.5</c:v>
                </c:pt>
                <c:pt idx="11">
                  <c:v>1.5</c:v>
                </c:pt>
                <c:pt idx="12">
                  <c:v>1.5</c:v>
                </c:pt>
                <c:pt idx="13">
                  <c:v>1.5</c:v>
                </c:pt>
                <c:pt idx="14">
                  <c:v>1.5</c:v>
                </c:pt>
                <c:pt idx="15">
                  <c:v>1.5</c:v>
                </c:pt>
                <c:pt idx="16">
                  <c:v>1.5</c:v>
                </c:pt>
                <c:pt idx="17">
                  <c:v>1.5</c:v>
                </c:pt>
                <c:pt idx="18">
                  <c:v>1.5</c:v>
                </c:pt>
                <c:pt idx="19">
                  <c:v>1.5</c:v>
                </c:pt>
                <c:pt idx="20">
                  <c:v>1.5</c:v>
                </c:pt>
                <c:pt idx="21">
                  <c:v>1.5</c:v>
                </c:pt>
                <c:pt idx="22">
                  <c:v>1.5</c:v>
                </c:pt>
                <c:pt idx="23">
                  <c:v>1.5</c:v>
                </c:pt>
                <c:pt idx="24">
                  <c:v>1.5</c:v>
                </c:pt>
                <c:pt idx="25">
                  <c:v>1.5</c:v>
                </c:pt>
                <c:pt idx="26">
                  <c:v>1.5</c:v>
                </c:pt>
                <c:pt idx="27">
                  <c:v>1.5</c:v>
                </c:pt>
                <c:pt idx="28">
                  <c:v>1.5</c:v>
                </c:pt>
                <c:pt idx="29">
                  <c:v>1.5</c:v>
                </c:pt>
                <c:pt idx="30">
                  <c:v>1.5</c:v>
                </c:pt>
                <c:pt idx="31">
                  <c:v>1.5</c:v>
                </c:pt>
                <c:pt idx="32">
                  <c:v>1.5</c:v>
                </c:pt>
                <c:pt idx="33">
                  <c:v>1.5</c:v>
                </c:pt>
                <c:pt idx="34">
                  <c:v>1.5</c:v>
                </c:pt>
                <c:pt idx="35">
                  <c:v>1.5</c:v>
                </c:pt>
                <c:pt idx="36">
                  <c:v>1.5</c:v>
                </c:pt>
                <c:pt idx="37">
                  <c:v>1.5</c:v>
                </c:pt>
                <c:pt idx="38">
                  <c:v>1.5</c:v>
                </c:pt>
                <c:pt idx="39">
                  <c:v>1.5</c:v>
                </c:pt>
                <c:pt idx="40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5F4-4507-AA4B-29FB131D43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6721504"/>
        <c:axId val="1"/>
      </c:scatterChart>
      <c:valAx>
        <c:axId val="1686721504"/>
        <c:scaling>
          <c:orientation val="minMax"/>
          <c:max val="5000"/>
          <c:min val="1000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Vazão Volumetríca (Net flow rate),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Incerteza expandida (Exp. Uncertainty) [%]  Grau de confiança 95 % </a:t>
                </a:r>
              </a:p>
              <a:p>
                <a:pPr>
                  <a:defRPr/>
                </a:pPr>
                <a:r>
                  <a:rPr lang="pt-BR"/>
                  <a:t>(95 % confidence level)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6721504"/>
        <c:crosses val="autoZero"/>
        <c:crossBetween val="midCat"/>
        <c:majorUnit val="0.1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89937565649953777"/>
          <c:y val="6.1623637189582102E-2"/>
          <c:w val="9.4444751139497282E-2"/>
          <c:h val="0.7731429184332727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dk1"/>
      </a:solidFill>
      <a:prstDash val="solid"/>
      <a:round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514974535467834"/>
          <c:y val="0.16318375182859227"/>
          <c:w val="0.67043316586460822"/>
          <c:h val="0.65287939854975752"/>
        </c:manualLayout>
      </c:layout>
      <c:scatterChart>
        <c:scatterStyle val="smoothMarker"/>
        <c:varyColors val="0"/>
        <c:ser>
          <c:idx val="0"/>
          <c:order val="0"/>
          <c:tx>
            <c:v>Incerteza (Uncertainty) DP High</c:v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Ref>
              <c:f>Gráfico1!$N$2:$N$41</c:f>
              <c:numCache>
                <c:formatCode>General</c:formatCode>
                <c:ptCount val="40"/>
                <c:pt idx="0">
                  <c:v>13914.409725270254</c:v>
                </c:pt>
                <c:pt idx="1">
                  <c:v>13778.696809241173</c:v>
                </c:pt>
                <c:pt idx="2">
                  <c:v>13641.650079332019</c:v>
                </c:pt>
                <c:pt idx="3">
                  <c:v>13503.204246403615</c:v>
                </c:pt>
                <c:pt idx="4">
                  <c:v>13363.315712493826</c:v>
                </c:pt>
                <c:pt idx="5">
                  <c:v>12861.67316421248</c:v>
                </c:pt>
                <c:pt idx="6">
                  <c:v>12490.833600276324</c:v>
                </c:pt>
                <c:pt idx="7">
                  <c:v>12108.654676824632</c:v>
                </c:pt>
                <c:pt idx="8">
                  <c:v>11713.9478700415</c:v>
                </c:pt>
                <c:pt idx="9">
                  <c:v>11305.400590329622</c:v>
                </c:pt>
                <c:pt idx="10">
                  <c:v>10881.453580694493</c:v>
                </c:pt>
                <c:pt idx="11">
                  <c:v>10440.230682012521</c:v>
                </c:pt>
                <c:pt idx="12">
                  <c:v>9979.4406573705965</c:v>
                </c:pt>
                <c:pt idx="13">
                  <c:v>9496.0500575110291</c:v>
                </c:pt>
                <c:pt idx="14">
                  <c:v>8986.7507504601926</c:v>
                </c:pt>
                <c:pt idx="15">
                  <c:v>8446.6882018189535</c:v>
                </c:pt>
                <c:pt idx="16">
                  <c:v>7869.5255735351075</c:v>
                </c:pt>
                <c:pt idx="17">
                  <c:v>7246.395002630381</c:v>
                </c:pt>
                <c:pt idx="18">
                  <c:v>6564.2056874014315</c:v>
                </c:pt>
                <c:pt idx="19">
                  <c:v>5802.14268783235</c:v>
                </c:pt>
                <c:pt idx="20">
                  <c:v>4923.1911254493571</c:v>
                </c:pt>
                <c:pt idx="21">
                  <c:v>4418.4834748181283</c:v>
                </c:pt>
                <c:pt idx="22">
                  <c:v>3848.0451416250221</c:v>
                </c:pt>
                <c:pt idx="23">
                  <c:v>3321.7323383176335</c:v>
                </c:pt>
                <c:pt idx="24">
                  <c:v>3176.4507723947854</c:v>
                </c:pt>
                <c:pt idx="25">
                  <c:v>3024.2678362565548</c:v>
                </c:pt>
                <c:pt idx="26">
                  <c:v>2863.9981608507592</c:v>
                </c:pt>
                <c:pt idx="27">
                  <c:v>2683.6917501135813</c:v>
                </c:pt>
                <c:pt idx="28">
                  <c:v>2586.853445241371</c:v>
                </c:pt>
                <c:pt idx="29">
                  <c:v>2575.8329986193762</c:v>
                </c:pt>
                <c:pt idx="30">
                  <c:v>2564.8144719714728</c:v>
                </c:pt>
                <c:pt idx="31">
                  <c:v>2553.7482752096544</c:v>
                </c:pt>
                <c:pt idx="32">
                  <c:v>2486.9024845818376</c:v>
                </c:pt>
                <c:pt idx="33">
                  <c:v>2474.8969216695082</c:v>
                </c:pt>
                <c:pt idx="34">
                  <c:v>2417.4177786009832</c:v>
                </c:pt>
                <c:pt idx="35">
                  <c:v>2358.1451363562592</c:v>
                </c:pt>
                <c:pt idx="36">
                  <c:v>2345.6281461530316</c:v>
                </c:pt>
                <c:pt idx="37">
                  <c:v>2333.5205639495648</c:v>
                </c:pt>
                <c:pt idx="38">
                  <c:v>2321.3497978693822</c:v>
                </c:pt>
                <c:pt idx="39">
                  <c:v>2317.2911014819647</c:v>
                </c:pt>
              </c:numCache>
            </c:numRef>
          </c:xVal>
          <c:yVal>
            <c:numRef>
              <c:f>Gráfico1!$C$2:$C$42</c:f>
              <c:numCache>
                <c:formatCode>General</c:formatCode>
                <c:ptCount val="41"/>
                <c:pt idx="0">
                  <c:v>1.0108315826631156</c:v>
                </c:pt>
                <c:pt idx="1">
                  <c:v>1.0108724572481171</c:v>
                </c:pt>
                <c:pt idx="2">
                  <c:v>1.0109160756394735</c:v>
                </c:pt>
                <c:pt idx="3">
                  <c:v>1.010962672585336</c:v>
                </c:pt>
                <c:pt idx="4">
                  <c:v>1.0110125001751178</c:v>
                </c:pt>
                <c:pt idx="5">
                  <c:v>1.0112166613038749</c:v>
                </c:pt>
                <c:pt idx="6">
                  <c:v>1.0113974599059166</c:v>
                </c:pt>
                <c:pt idx="7">
                  <c:v>1.0116160469496569</c:v>
                </c:pt>
                <c:pt idx="8">
                  <c:v>1.0118831619346422</c:v>
                </c:pt>
                <c:pt idx="9">
                  <c:v>1.0122136002141884</c:v>
                </c:pt>
                <c:pt idx="10">
                  <c:v>1.0126282673426139</c:v>
                </c:pt>
                <c:pt idx="11">
                  <c:v>1.0131574706970876</c:v>
                </c:pt>
                <c:pt idx="12">
                  <c:v>1.0138464786322141</c:v>
                </c:pt>
                <c:pt idx="13">
                  <c:v>1.014765722996084</c:v>
                </c:pt>
                <c:pt idx="14">
                  <c:v>1.0160277036424716</c:v>
                </c:pt>
                <c:pt idx="15">
                  <c:v>1.0178246472160712</c:v>
                </c:pt>
                <c:pt idx="16">
                  <c:v>1.0205039652548373</c:v>
                </c:pt>
                <c:pt idx="17">
                  <c:v>1.0247474786072865</c:v>
                </c:pt>
                <c:pt idx="18">
                  <c:v>1.032045449310921</c:v>
                </c:pt>
                <c:pt idx="19">
                  <c:v>1.0461828749491247</c:v>
                </c:pt>
                <c:pt idx="20">
                  <c:v>1.0792059492772994</c:v>
                </c:pt>
                <c:pt idx="21">
                  <c:v>1.1151924325674329</c:v>
                </c:pt>
                <c:pt idx="22">
                  <c:v>1.1873500619940789</c:v>
                </c:pt>
                <c:pt idx="23">
                  <c:v>1.3127664025613661</c:v>
                </c:pt>
                <c:pt idx="24">
                  <c:v>1.3643764924307331</c:v>
                </c:pt>
                <c:pt idx="25">
                  <c:v>1.429894653946097</c:v>
                </c:pt>
                <c:pt idx="26">
                  <c:v>1.5147655714209136</c:v>
                </c:pt>
                <c:pt idx="27">
                  <c:v>1.6352209843459389</c:v>
                </c:pt>
                <c:pt idx="28">
                  <c:v>1.7135822995781282</c:v>
                </c:pt>
                <c:pt idx="29">
                  <c:v>1.7232029895311245</c:v>
                </c:pt>
                <c:pt idx="30">
                  <c:v>1.7329750239315378</c:v>
                </c:pt>
                <c:pt idx="31">
                  <c:v>1.7429461370098571</c:v>
                </c:pt>
                <c:pt idx="32">
                  <c:v>1.8066866441276381</c:v>
                </c:pt>
                <c:pt idx="33">
                  <c:v>1.8188048636562961</c:v>
                </c:pt>
                <c:pt idx="34">
                  <c:v>1.8798746223908105</c:v>
                </c:pt>
                <c:pt idx="35">
                  <c:v>1.9485387230500986</c:v>
                </c:pt>
                <c:pt idx="36">
                  <c:v>1.9638339256157982</c:v>
                </c:pt>
                <c:pt idx="37">
                  <c:v>1.9789056210877101</c:v>
                </c:pt>
                <c:pt idx="38">
                  <c:v>1.9943362138622034</c:v>
                </c:pt>
                <c:pt idx="39">
                  <c:v>1.9995455092018923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19-46B0-95C8-D5A26396899F}"/>
            </c:ext>
          </c:extLst>
        </c:ser>
        <c:ser>
          <c:idx val="1"/>
          <c:order val="1"/>
          <c:tx>
            <c:v>Inc. Range de Baixa (Low Range Unc.)</c:v>
          </c:tx>
          <c:spPr>
            <a:ln w="25400" cap="rnd">
              <a:solidFill>
                <a:srgbClr val="FF0000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Ref>
              <c:f>Gráfico1!$N$2:$N$41</c:f>
              <c:numCache>
                <c:formatCode>General</c:formatCode>
                <c:ptCount val="40"/>
                <c:pt idx="0">
                  <c:v>13914.409725270254</c:v>
                </c:pt>
                <c:pt idx="1">
                  <c:v>13778.696809241173</c:v>
                </c:pt>
                <c:pt idx="2">
                  <c:v>13641.650079332019</c:v>
                </c:pt>
                <c:pt idx="3">
                  <c:v>13503.204246403615</c:v>
                </c:pt>
                <c:pt idx="4">
                  <c:v>13363.315712493826</c:v>
                </c:pt>
                <c:pt idx="5">
                  <c:v>12861.67316421248</c:v>
                </c:pt>
                <c:pt idx="6">
                  <c:v>12490.833600276324</c:v>
                </c:pt>
                <c:pt idx="7">
                  <c:v>12108.654676824632</c:v>
                </c:pt>
                <c:pt idx="8">
                  <c:v>11713.9478700415</c:v>
                </c:pt>
                <c:pt idx="9">
                  <c:v>11305.400590329622</c:v>
                </c:pt>
                <c:pt idx="10">
                  <c:v>10881.453580694493</c:v>
                </c:pt>
                <c:pt idx="11">
                  <c:v>10440.230682012521</c:v>
                </c:pt>
                <c:pt idx="12">
                  <c:v>9979.4406573705965</c:v>
                </c:pt>
                <c:pt idx="13">
                  <c:v>9496.0500575110291</c:v>
                </c:pt>
                <c:pt idx="14">
                  <c:v>8986.7507504601926</c:v>
                </c:pt>
                <c:pt idx="15">
                  <c:v>8446.6882018189535</c:v>
                </c:pt>
                <c:pt idx="16">
                  <c:v>7869.5255735351075</c:v>
                </c:pt>
                <c:pt idx="17">
                  <c:v>7246.395002630381</c:v>
                </c:pt>
                <c:pt idx="18">
                  <c:v>6564.2056874014315</c:v>
                </c:pt>
                <c:pt idx="19">
                  <c:v>5802.14268783235</c:v>
                </c:pt>
                <c:pt idx="20">
                  <c:v>4923.1911254493571</c:v>
                </c:pt>
                <c:pt idx="21">
                  <c:v>4418.4834748181283</c:v>
                </c:pt>
                <c:pt idx="22">
                  <c:v>3848.0451416250221</c:v>
                </c:pt>
                <c:pt idx="23">
                  <c:v>3321.7323383176335</c:v>
                </c:pt>
                <c:pt idx="24">
                  <c:v>3176.4507723947854</c:v>
                </c:pt>
                <c:pt idx="25">
                  <c:v>3024.2678362565548</c:v>
                </c:pt>
                <c:pt idx="26">
                  <c:v>2863.9981608507592</c:v>
                </c:pt>
                <c:pt idx="27">
                  <c:v>2683.6917501135813</c:v>
                </c:pt>
                <c:pt idx="28">
                  <c:v>2586.853445241371</c:v>
                </c:pt>
                <c:pt idx="29">
                  <c:v>2575.8329986193762</c:v>
                </c:pt>
                <c:pt idx="30">
                  <c:v>2564.8144719714728</c:v>
                </c:pt>
                <c:pt idx="31">
                  <c:v>2553.7482752096544</c:v>
                </c:pt>
                <c:pt idx="32">
                  <c:v>2486.9024845818376</c:v>
                </c:pt>
                <c:pt idx="33">
                  <c:v>2474.8969216695082</c:v>
                </c:pt>
                <c:pt idx="34">
                  <c:v>2417.4177786009832</c:v>
                </c:pt>
                <c:pt idx="35">
                  <c:v>2358.1451363562592</c:v>
                </c:pt>
                <c:pt idx="36">
                  <c:v>2345.6281461530316</c:v>
                </c:pt>
                <c:pt idx="37">
                  <c:v>2333.5205639495648</c:v>
                </c:pt>
                <c:pt idx="38">
                  <c:v>2321.3497978693822</c:v>
                </c:pt>
                <c:pt idx="39">
                  <c:v>2317.2911014819647</c:v>
                </c:pt>
              </c:numCache>
            </c:numRef>
          </c:xVal>
          <c:yVal>
            <c:numRef>
              <c:f>Gráfico1!$J$2:$J$41</c:f>
              <c:numCache>
                <c:formatCode>General</c:formatCode>
                <c:ptCount val="40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19-46B0-95C8-D5A26396899F}"/>
            </c:ext>
          </c:extLst>
        </c:ser>
        <c:ser>
          <c:idx val="2"/>
          <c:order val="2"/>
          <c:tx>
            <c:v>Incerteza (Uncertainty) DP Mid</c:v>
          </c:tx>
          <c:spPr>
            <a:ln w="9525" cap="rnd">
              <a:solidFill>
                <a:schemeClr val="accent3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Ref>
              <c:f>Gráfico2!$N$2:$N$41</c:f>
              <c:numCache>
                <c:formatCode>General</c:formatCode>
                <c:ptCount val="40"/>
                <c:pt idx="0">
                  <c:v>11462.439625778376</c:v>
                </c:pt>
                <c:pt idx="1">
                  <c:v>11353.539536272983</c:v>
                </c:pt>
                <c:pt idx="2">
                  <c:v>11243.616189126751</c:v>
                </c:pt>
                <c:pt idx="3">
                  <c:v>11132.601514270034</c:v>
                </c:pt>
                <c:pt idx="4">
                  <c:v>11020.462373337845</c:v>
                </c:pt>
                <c:pt idx="5">
                  <c:v>10618.626451720233</c:v>
                </c:pt>
                <c:pt idx="6">
                  <c:v>10321.872576355776</c:v>
                </c:pt>
                <c:pt idx="7">
                  <c:v>10016.341085426122</c:v>
                </c:pt>
                <c:pt idx="8">
                  <c:v>9701.1446398436165</c:v>
                </c:pt>
                <c:pt idx="9">
                  <c:v>9375.3084031671788</c:v>
                </c:pt>
                <c:pt idx="10">
                  <c:v>9037.6816658450298</c:v>
                </c:pt>
                <c:pt idx="11">
                  <c:v>8686.8899249601309</c:v>
                </c:pt>
                <c:pt idx="12">
                  <c:v>8321.2687909718916</c:v>
                </c:pt>
                <c:pt idx="13">
                  <c:v>7938.7704825402934</c:v>
                </c:pt>
                <c:pt idx="14">
                  <c:v>7536.6545222266886</c:v>
                </c:pt>
                <c:pt idx="15">
                  <c:v>7111.9090940346323</c:v>
                </c:pt>
                <c:pt idx="16">
                  <c:v>6660.0502678015873</c:v>
                </c:pt>
                <c:pt idx="17">
                  <c:v>6175.1256458293055</c:v>
                </c:pt>
                <c:pt idx="18">
                  <c:v>5648.6208631899008</c:v>
                </c:pt>
                <c:pt idx="19">
                  <c:v>5067.584847330837</c:v>
                </c:pt>
                <c:pt idx="20">
                  <c:v>4410.5664003759284</c:v>
                </c:pt>
                <c:pt idx="21">
                  <c:v>4042.0208532397974</c:v>
                </c:pt>
                <c:pt idx="22">
                  <c:v>3636.3367876448015</c:v>
                </c:pt>
                <c:pt idx="23">
                  <c:v>3275.7546036727931</c:v>
                </c:pt>
                <c:pt idx="24">
                  <c:v>3179.2236378097855</c:v>
                </c:pt>
                <c:pt idx="25">
                  <c:v>3079.6584000964094</c:v>
                </c:pt>
                <c:pt idx="26">
                  <c:v>2976.7606439755159</c:v>
                </c:pt>
                <c:pt idx="27">
                  <c:v>2863.6545134115495</c:v>
                </c:pt>
                <c:pt idx="28">
                  <c:v>2804.5722826234787</c:v>
                </c:pt>
                <c:pt idx="29">
                  <c:v>2797.5489801581898</c:v>
                </c:pt>
                <c:pt idx="30">
                  <c:v>2790.858129559304</c:v>
                </c:pt>
                <c:pt idx="31">
                  <c:v>2784.150272908229</c:v>
                </c:pt>
                <c:pt idx="32">
                  <c:v>2743.6773066858714</c:v>
                </c:pt>
                <c:pt idx="33">
                  <c:v>2736.7340663104183</c:v>
                </c:pt>
                <c:pt idx="34">
                  <c:v>2702.4258238229204</c:v>
                </c:pt>
                <c:pt idx="35">
                  <c:v>2667.6106075971124</c:v>
                </c:pt>
                <c:pt idx="36">
                  <c:v>2660.5143865175787</c:v>
                </c:pt>
                <c:pt idx="37">
                  <c:v>2653.476792429924</c:v>
                </c:pt>
                <c:pt idx="38">
                  <c:v>2646.4202739852049</c:v>
                </c:pt>
                <c:pt idx="39">
                  <c:v>2644.0792271576315</c:v>
                </c:pt>
              </c:numCache>
            </c:numRef>
          </c:xVal>
          <c:yVal>
            <c:numRef>
              <c:f>Gráfico2!$C$2:$C$41</c:f>
              <c:numCache>
                <c:formatCode>General</c:formatCode>
                <c:ptCount val="40"/>
                <c:pt idx="0">
                  <c:v>1.0754275791316745</c:v>
                </c:pt>
                <c:pt idx="1">
                  <c:v>1.0754797168433405</c:v>
                </c:pt>
                <c:pt idx="2">
                  <c:v>1.0755351705265328</c:v>
                </c:pt>
                <c:pt idx="3">
                  <c:v>1.0755942251170598</c:v>
                </c:pt>
                <c:pt idx="4">
                  <c:v>1.0756571762687392</c:v>
                </c:pt>
                <c:pt idx="5">
                  <c:v>1.0759132238629558</c:v>
                </c:pt>
                <c:pt idx="6">
                  <c:v>1.0761378185980601</c:v>
                </c:pt>
                <c:pt idx="7">
                  <c:v>1.0764070892167137</c:v>
                </c:pt>
                <c:pt idx="8">
                  <c:v>1.0767332312892692</c:v>
                </c:pt>
                <c:pt idx="9">
                  <c:v>1.0771328511870413</c:v>
                </c:pt>
                <c:pt idx="10">
                  <c:v>1.0776291056030336</c:v>
                </c:pt>
                <c:pt idx="11">
                  <c:v>1.0782550601279428</c:v>
                </c:pt>
                <c:pt idx="12">
                  <c:v>1.0790592400508183</c:v>
                </c:pt>
                <c:pt idx="13">
                  <c:v>1.0801151729108112</c:v>
                </c:pt>
                <c:pt idx="14">
                  <c:v>1.0815392663109424</c:v>
                </c:pt>
                <c:pt idx="15">
                  <c:v>1.0835212888022174</c:v>
                </c:pt>
                <c:pt idx="16">
                  <c:v>1.0863939085409697</c:v>
                </c:pt>
                <c:pt idx="17">
                  <c:v>1.0907781082215691</c:v>
                </c:pt>
                <c:pt idx="18">
                  <c:v>1.0979450863428231</c:v>
                </c:pt>
                <c:pt idx="19">
                  <c:v>1.1108374686083364</c:v>
                </c:pt>
                <c:pt idx="20">
                  <c:v>1.1375730008490814</c:v>
                </c:pt>
                <c:pt idx="21">
                  <c:v>1.1631973651163596</c:v>
                </c:pt>
                <c:pt idx="22">
                  <c:v>1.2076676739783698</c:v>
                </c:pt>
                <c:pt idx="23">
                  <c:v>1.2716119339827301</c:v>
                </c:pt>
                <c:pt idx="24">
                  <c:v>1.2946128232878191</c:v>
                </c:pt>
                <c:pt idx="25">
                  <c:v>1.3217697770590568</c:v>
                </c:pt>
                <c:pt idx="26">
                  <c:v>1.3541248713883454</c:v>
                </c:pt>
                <c:pt idx="27">
                  <c:v>1.395648671693335</c:v>
                </c:pt>
                <c:pt idx="28">
                  <c:v>1.4202183140017342</c:v>
                </c:pt>
                <c:pt idx="29">
                  <c:v>1.4232837998127228</c:v>
                </c:pt>
                <c:pt idx="30">
                  <c:v>1.4262339692535866</c:v>
                </c:pt>
                <c:pt idx="31">
                  <c:v>1.429221149290145</c:v>
                </c:pt>
                <c:pt idx="32">
                  <c:v>1.4478910381654153</c:v>
                </c:pt>
                <c:pt idx="33">
                  <c:v>1.4512087463987196</c:v>
                </c:pt>
                <c:pt idx="34">
                  <c:v>1.4681191880585158</c:v>
                </c:pt>
                <c:pt idx="35">
                  <c:v>1.4861970509216278</c:v>
                </c:pt>
                <c:pt idx="36">
                  <c:v>1.4900001519003705</c:v>
                </c:pt>
                <c:pt idx="37">
                  <c:v>1.4938125353917868</c:v>
                </c:pt>
                <c:pt idx="38">
                  <c:v>1.4976763624649196</c:v>
                </c:pt>
                <c:pt idx="39">
                  <c:v>1.4989674104350705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C5-48B8-BCDB-5663BE6F066C}"/>
            </c:ext>
          </c:extLst>
        </c:ser>
        <c:ser>
          <c:idx val="3"/>
          <c:order val="3"/>
          <c:tx>
            <c:v>Incerteza (Uncertainty) DP Low</c:v>
          </c:tx>
          <c:spPr>
            <a:ln w="9525" cap="rnd">
              <a:solidFill>
                <a:schemeClr val="accent4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Ref>
              <c:f>Gráfico3!$N$2:$N$41</c:f>
              <c:numCache>
                <c:formatCode>General</c:formatCode>
                <c:ptCount val="40"/>
                <c:pt idx="0">
                  <c:v>4683.9527362239296</c:v>
                </c:pt>
                <c:pt idx="1">
                  <c:v>4640.6169919818258</c:v>
                </c:pt>
                <c:pt idx="2">
                  <c:v>4596.8069942168622</c:v>
                </c:pt>
                <c:pt idx="3">
                  <c:v>4552.5745911230861</c:v>
                </c:pt>
                <c:pt idx="4">
                  <c:v>4507.9076274730915</c:v>
                </c:pt>
                <c:pt idx="5">
                  <c:v>4347.9708396818814</c:v>
                </c:pt>
                <c:pt idx="6">
                  <c:v>4229.9818762977893</c:v>
                </c:pt>
                <c:pt idx="7">
                  <c:v>4108.6214335697223</c:v>
                </c:pt>
                <c:pt idx="8">
                  <c:v>3983.5599965633196</c:v>
                </c:pt>
                <c:pt idx="9">
                  <c:v>3854.4371884046859</c:v>
                </c:pt>
                <c:pt idx="10">
                  <c:v>3720.8300725248232</c:v>
                </c:pt>
                <c:pt idx="11">
                  <c:v>3582.2368015979491</c:v>
                </c:pt>
                <c:pt idx="12">
                  <c:v>3438.0543390050316</c:v>
                </c:pt>
                <c:pt idx="13">
                  <c:v>3287.5473832448729</c:v>
                </c:pt>
                <c:pt idx="14">
                  <c:v>3129.8038415548026</c:v>
                </c:pt>
                <c:pt idx="15">
                  <c:v>2963.6689805083729</c:v>
                </c:pt>
                <c:pt idx="16">
                  <c:v>2787.6442897736051</c:v>
                </c:pt>
                <c:pt idx="17">
                  <c:v>2599.7248330694542</c:v>
                </c:pt>
                <c:pt idx="18">
                  <c:v>2397.1222444069449</c:v>
                </c:pt>
                <c:pt idx="19">
                  <c:v>2175.7570213986482</c:v>
                </c:pt>
                <c:pt idx="20">
                  <c:v>1928.5240346738449</c:v>
                </c:pt>
                <c:pt idx="21">
                  <c:v>1792.5136822608838</c:v>
                </c:pt>
                <c:pt idx="22">
                  <c:v>1645.2010292029706</c:v>
                </c:pt>
                <c:pt idx="23">
                  <c:v>1516.95339186501</c:v>
                </c:pt>
                <c:pt idx="24">
                  <c:v>1483.22467768621</c:v>
                </c:pt>
                <c:pt idx="25">
                  <c:v>1448.6762363783623</c:v>
                </c:pt>
                <c:pt idx="26">
                  <c:v>1413.2834057450632</c:v>
                </c:pt>
                <c:pt idx="27">
                  <c:v>1374.8196173042425</c:v>
                </c:pt>
                <c:pt idx="28">
                  <c:v>1354.471141855867</c:v>
                </c:pt>
                <c:pt idx="29">
                  <c:v>1352.1649116862775</c:v>
                </c:pt>
                <c:pt idx="30">
                  <c:v>1349.9143836287003</c:v>
                </c:pt>
                <c:pt idx="31">
                  <c:v>1347.6598914552751</c:v>
                </c:pt>
                <c:pt idx="32">
                  <c:v>1334.1832925407225</c:v>
                </c:pt>
                <c:pt idx="33">
                  <c:v>1331.7709924362684</c:v>
                </c:pt>
                <c:pt idx="34">
                  <c:v>1320.3067394546963</c:v>
                </c:pt>
                <c:pt idx="35">
                  <c:v>1308.7408280356779</c:v>
                </c:pt>
                <c:pt idx="36">
                  <c:v>1306.4128174965665</c:v>
                </c:pt>
                <c:pt idx="37">
                  <c:v>1304.0830067669808</c:v>
                </c:pt>
                <c:pt idx="38">
                  <c:v>1301.7490117595385</c:v>
                </c:pt>
                <c:pt idx="39">
                  <c:v>1301.7490117595385</c:v>
                </c:pt>
              </c:numCache>
            </c:numRef>
          </c:xVal>
          <c:yVal>
            <c:numRef>
              <c:f>Gráfico3!$C$2:$C$41</c:f>
              <c:numCache>
                <c:formatCode>General</c:formatCode>
                <c:ptCount val="40"/>
                <c:pt idx="0">
                  <c:v>1.0767634507736696</c:v>
                </c:pt>
                <c:pt idx="1">
                  <c:v>1.076875064159307</c:v>
                </c:pt>
                <c:pt idx="2">
                  <c:v>1.0769934030440345</c:v>
                </c:pt>
                <c:pt idx="3">
                  <c:v>1.0771188261256786</c:v>
                </c:pt>
                <c:pt idx="4">
                  <c:v>1.0772519036329298</c:v>
                </c:pt>
                <c:pt idx="5">
                  <c:v>1.0777876070174133</c:v>
                </c:pt>
                <c:pt idx="6">
                  <c:v>1.0782515611760735</c:v>
                </c:pt>
                <c:pt idx="7">
                  <c:v>1.0788020457129874</c:v>
                </c:pt>
                <c:pt idx="8">
                  <c:v>1.0794619073085827</c:v>
                </c:pt>
                <c:pt idx="9">
                  <c:v>1.0802619079849789</c:v>
                </c:pt>
                <c:pt idx="10">
                  <c:v>1.081244401763642</c:v>
                </c:pt>
                <c:pt idx="11">
                  <c:v>1.0824689883107994</c:v>
                </c:pt>
                <c:pt idx="12">
                  <c:v>1.0840216585874447</c:v>
                </c:pt>
                <c:pt idx="13">
                  <c:v>1.0860301279566094</c:v>
                </c:pt>
                <c:pt idx="14">
                  <c:v>1.0886906336018032</c:v>
                </c:pt>
                <c:pt idx="15">
                  <c:v>1.0923171154807887</c:v>
                </c:pt>
                <c:pt idx="16">
                  <c:v>1.0974369089202889</c:v>
                </c:pt>
                <c:pt idx="17">
                  <c:v>1.1049906538963439</c:v>
                </c:pt>
                <c:pt idx="18">
                  <c:v>1.1167885414155889</c:v>
                </c:pt>
                <c:pt idx="19">
                  <c:v>1.1366764467790109</c:v>
                </c:pt>
                <c:pt idx="20">
                  <c:v>1.1741426487047899</c:v>
                </c:pt>
                <c:pt idx="21">
                  <c:v>1.2064538522304495</c:v>
                </c:pt>
                <c:pt idx="22">
                  <c:v>1.2568571315805355</c:v>
                </c:pt>
                <c:pt idx="23">
                  <c:v>1.3205115087480912</c:v>
                </c:pt>
                <c:pt idx="24">
                  <c:v>1.3414405100061617</c:v>
                </c:pt>
                <c:pt idx="25">
                  <c:v>1.3651012738120496</c:v>
                </c:pt>
                <c:pt idx="26">
                  <c:v>1.3919544849311216</c:v>
                </c:pt>
                <c:pt idx="27">
                  <c:v>1.4245218463596152</c:v>
                </c:pt>
                <c:pt idx="28">
                  <c:v>1.4433348285046432</c:v>
                </c:pt>
                <c:pt idx="29">
                  <c:v>1.4455410782943507</c:v>
                </c:pt>
                <c:pt idx="30">
                  <c:v>1.4477089903871996</c:v>
                </c:pt>
                <c:pt idx="31">
                  <c:v>1.4498956423992426</c:v>
                </c:pt>
                <c:pt idx="32">
                  <c:v>1.4632846590269699</c:v>
                </c:pt>
                <c:pt idx="33">
                  <c:v>1.4657399704815073</c:v>
                </c:pt>
                <c:pt idx="34">
                  <c:v>1.4776599806526505</c:v>
                </c:pt>
                <c:pt idx="35">
                  <c:v>1.4901190857368785</c:v>
                </c:pt>
                <c:pt idx="36">
                  <c:v>1.4926810673455966</c:v>
                </c:pt>
                <c:pt idx="37">
                  <c:v>1.4952635535799654</c:v>
                </c:pt>
                <c:pt idx="38">
                  <c:v>1.4978694097408274</c:v>
                </c:pt>
                <c:pt idx="39">
                  <c:v>1.4978694097408274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AC5-48B8-BCDB-5663BE6F0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6721504"/>
        <c:axId val="1"/>
      </c:scatterChart>
      <c:valAx>
        <c:axId val="1686721504"/>
        <c:scaling>
          <c:orientation val="minMax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Vazão Volumetríca (Net flow rate),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"/>
        <c:crosses val="autoZero"/>
        <c:crossBetween val="midCat"/>
        <c:majorUnit val="1000"/>
        <c:minorUnit val="100"/>
      </c:valAx>
      <c:valAx>
        <c:axId val="1"/>
        <c:scaling>
          <c:orientation val="minMax"/>
          <c:max val="2.1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Incerteza expandida (Exp. Uncertainty) [%]  Grau de confiança 95 % </a:t>
                </a:r>
              </a:p>
              <a:p>
                <a:pPr>
                  <a:defRPr/>
                </a:pPr>
                <a:r>
                  <a:rPr lang="pt-BR"/>
                  <a:t>(95 % confidence level)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6721504"/>
        <c:crosses val="autoZero"/>
        <c:crossBetween val="midCat"/>
        <c:majorUnit val="0.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514974535467834"/>
          <c:y val="0.16318375182859227"/>
          <c:w val="0.67043316586460822"/>
          <c:h val="0.65287939854975752"/>
        </c:manualLayout>
      </c:layout>
      <c:scatterChart>
        <c:scatterStyle val="smoothMarker"/>
        <c:varyColors val="0"/>
        <c:ser>
          <c:idx val="0"/>
          <c:order val="0"/>
          <c:tx>
            <c:v>Incerteza (Uncertainty)</c:v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Gráfico1!$D$2:$D$42</c:f>
              <c:numCache>
                <c:formatCode>General</c:formatCode>
                <c:ptCount val="41"/>
                <c:pt idx="0">
                  <c:v>10555.471217590015</c:v>
                </c:pt>
                <c:pt idx="1">
                  <c:v>10452.519399490355</c:v>
                </c:pt>
                <c:pt idx="2">
                  <c:v>10348.555750181271</c:v>
                </c:pt>
                <c:pt idx="3">
                  <c:v>10243.530741321783</c:v>
                </c:pt>
                <c:pt idx="4">
                  <c:v>10137.411299497817</c:v>
                </c:pt>
                <c:pt idx="5">
                  <c:v>9756.865262371588</c:v>
                </c:pt>
                <c:pt idx="6">
                  <c:v>9475.5463691696204</c:v>
                </c:pt>
                <c:pt idx="7">
                  <c:v>9185.6254378391659</c:v>
                </c:pt>
                <c:pt idx="8">
                  <c:v>8886.2008542134827</c:v>
                </c:pt>
                <c:pt idx="9">
                  <c:v>8576.2768878240513</c:v>
                </c:pt>
                <c:pt idx="10">
                  <c:v>8254.6706863148429</c:v>
                </c:pt>
                <c:pt idx="11">
                  <c:v>7919.958995374699</c:v>
                </c:pt>
                <c:pt idx="12">
                  <c:v>7570.4036826813344</c:v>
                </c:pt>
                <c:pt idx="13">
                  <c:v>7203.7035736278676</c:v>
                </c:pt>
                <c:pt idx="14">
                  <c:v>6817.3491192991032</c:v>
                </c:pt>
                <c:pt idx="15">
                  <c:v>6407.6576698998588</c:v>
                </c:pt>
                <c:pt idx="16">
                  <c:v>5969.8221000837329</c:v>
                </c:pt>
                <c:pt idx="17">
                  <c:v>5497.1152489954075</c:v>
                </c:pt>
                <c:pt idx="18">
                  <c:v>4979.6064344627266</c:v>
                </c:pt>
                <c:pt idx="19">
                  <c:v>4401.5054429896209</c:v>
                </c:pt>
                <c:pt idx="20">
                  <c:v>3734.7327877658822</c:v>
                </c:pt>
                <c:pt idx="21">
                  <c:v>3351.8615639970321</c:v>
                </c:pt>
                <c:pt idx="22">
                  <c:v>2919.1270444367419</c:v>
                </c:pt>
                <c:pt idx="23">
                  <c:v>2519.866151847757</c:v>
                </c:pt>
                <c:pt idx="24">
                  <c:v>2409.6555559386843</c:v>
                </c:pt>
                <c:pt idx="25">
                  <c:v>2294.2095805842227</c:v>
                </c:pt>
                <c:pt idx="26">
                  <c:v>2172.6290048213859</c:v>
                </c:pt>
                <c:pt idx="27">
                  <c:v>2035.8485616361629</c:v>
                </c:pt>
                <c:pt idx="28">
                  <c:v>1962.3870235601041</c:v>
                </c:pt>
                <c:pt idx="29">
                  <c:v>1954.026912752659</c:v>
                </c:pt>
                <c:pt idx="30">
                  <c:v>1945.6682584375594</c:v>
                </c:pt>
                <c:pt idx="31">
                  <c:v>1937.2734415740438</c:v>
                </c:pt>
                <c:pt idx="32">
                  <c:v>1886.5642248037821</c:v>
                </c:pt>
                <c:pt idx="33">
                  <c:v>1877.456804778489</c:v>
                </c:pt>
                <c:pt idx="34">
                  <c:v>1833.8531268467059</c:v>
                </c:pt>
                <c:pt idx="35">
                  <c:v>1788.8889004398584</c:v>
                </c:pt>
                <c:pt idx="36">
                  <c:v>1779.3935116716898</c:v>
                </c:pt>
                <c:pt idx="37">
                  <c:v>1770.2086998121401</c:v>
                </c:pt>
                <c:pt idx="38">
                  <c:v>1760.9759566637133</c:v>
                </c:pt>
                <c:pt idx="39">
                  <c:v>1757.8970295842187</c:v>
                </c:pt>
              </c:numCache>
            </c:numRef>
          </c:xVal>
          <c:yVal>
            <c:numRef>
              <c:f>Gráfico1!$C$2:$C$42</c:f>
              <c:numCache>
                <c:formatCode>General</c:formatCode>
                <c:ptCount val="41"/>
                <c:pt idx="0">
                  <c:v>1.0108315826631156</c:v>
                </c:pt>
                <c:pt idx="1">
                  <c:v>1.0108724572481171</c:v>
                </c:pt>
                <c:pt idx="2">
                  <c:v>1.0109160756394735</c:v>
                </c:pt>
                <c:pt idx="3">
                  <c:v>1.010962672585336</c:v>
                </c:pt>
                <c:pt idx="4">
                  <c:v>1.0110125001751178</c:v>
                </c:pt>
                <c:pt idx="5">
                  <c:v>1.0112166613038749</c:v>
                </c:pt>
                <c:pt idx="6">
                  <c:v>1.0113974599059166</c:v>
                </c:pt>
                <c:pt idx="7">
                  <c:v>1.0116160469496569</c:v>
                </c:pt>
                <c:pt idx="8">
                  <c:v>1.0118831619346422</c:v>
                </c:pt>
                <c:pt idx="9">
                  <c:v>1.0122136002141884</c:v>
                </c:pt>
                <c:pt idx="10">
                  <c:v>1.0126282673426139</c:v>
                </c:pt>
                <c:pt idx="11">
                  <c:v>1.0131574706970876</c:v>
                </c:pt>
                <c:pt idx="12">
                  <c:v>1.0138464786322141</c:v>
                </c:pt>
                <c:pt idx="13">
                  <c:v>1.014765722996084</c:v>
                </c:pt>
                <c:pt idx="14">
                  <c:v>1.0160277036424716</c:v>
                </c:pt>
                <c:pt idx="15">
                  <c:v>1.0178246472160712</c:v>
                </c:pt>
                <c:pt idx="16">
                  <c:v>1.0205039652548373</c:v>
                </c:pt>
                <c:pt idx="17">
                  <c:v>1.0247474786072865</c:v>
                </c:pt>
                <c:pt idx="18">
                  <c:v>1.032045449310921</c:v>
                </c:pt>
                <c:pt idx="19">
                  <c:v>1.0461828749491247</c:v>
                </c:pt>
                <c:pt idx="20">
                  <c:v>1.0792059492772994</c:v>
                </c:pt>
                <c:pt idx="21">
                  <c:v>1.1151924325674329</c:v>
                </c:pt>
                <c:pt idx="22">
                  <c:v>1.1873500619940789</c:v>
                </c:pt>
                <c:pt idx="23">
                  <c:v>1.3127664025613661</c:v>
                </c:pt>
                <c:pt idx="24">
                  <c:v>1.3643764924307331</c:v>
                </c:pt>
                <c:pt idx="25">
                  <c:v>1.429894653946097</c:v>
                </c:pt>
                <c:pt idx="26">
                  <c:v>1.5147655714209136</c:v>
                </c:pt>
                <c:pt idx="27">
                  <c:v>1.6352209843459389</c:v>
                </c:pt>
                <c:pt idx="28">
                  <c:v>1.7135822995781282</c:v>
                </c:pt>
                <c:pt idx="29">
                  <c:v>1.7232029895311245</c:v>
                </c:pt>
                <c:pt idx="30">
                  <c:v>1.7329750239315378</c:v>
                </c:pt>
                <c:pt idx="31">
                  <c:v>1.7429461370098571</c:v>
                </c:pt>
                <c:pt idx="32">
                  <c:v>1.8066866441276381</c:v>
                </c:pt>
                <c:pt idx="33">
                  <c:v>1.8188048636562961</c:v>
                </c:pt>
                <c:pt idx="34">
                  <c:v>1.8798746223908105</c:v>
                </c:pt>
                <c:pt idx="35">
                  <c:v>1.9485387230500986</c:v>
                </c:pt>
                <c:pt idx="36">
                  <c:v>1.9638339256157982</c:v>
                </c:pt>
                <c:pt idx="37">
                  <c:v>1.9789056210877101</c:v>
                </c:pt>
                <c:pt idx="38">
                  <c:v>1.9943362138622034</c:v>
                </c:pt>
                <c:pt idx="39">
                  <c:v>1.9995455092018923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0C-4D41-8337-8B4B52DA6301}"/>
            </c:ext>
          </c:extLst>
        </c:ser>
        <c:ser>
          <c:idx val="1"/>
          <c:order val="1"/>
          <c:tx>
            <c:v>Inc. Range de Baixa (Low Range Unc.)</c:v>
          </c:tx>
          <c:spPr>
            <a:ln w="25400" cap="rnd">
              <a:solidFill>
                <a:srgbClr val="FF0000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Ref>
              <c:f>Gráfico1!$D$2:$D$41</c:f>
              <c:numCache>
                <c:formatCode>General</c:formatCode>
                <c:ptCount val="40"/>
                <c:pt idx="0">
                  <c:v>10555.471217590015</c:v>
                </c:pt>
                <c:pt idx="1">
                  <c:v>10452.519399490355</c:v>
                </c:pt>
                <c:pt idx="2">
                  <c:v>10348.555750181271</c:v>
                </c:pt>
                <c:pt idx="3">
                  <c:v>10243.530741321783</c:v>
                </c:pt>
                <c:pt idx="4">
                  <c:v>10137.411299497817</c:v>
                </c:pt>
                <c:pt idx="5">
                  <c:v>9756.865262371588</c:v>
                </c:pt>
                <c:pt idx="6">
                  <c:v>9475.5463691696204</c:v>
                </c:pt>
                <c:pt idx="7">
                  <c:v>9185.6254378391659</c:v>
                </c:pt>
                <c:pt idx="8">
                  <c:v>8886.2008542134827</c:v>
                </c:pt>
                <c:pt idx="9">
                  <c:v>8576.2768878240513</c:v>
                </c:pt>
                <c:pt idx="10">
                  <c:v>8254.6706863148429</c:v>
                </c:pt>
                <c:pt idx="11">
                  <c:v>7919.958995374699</c:v>
                </c:pt>
                <c:pt idx="12">
                  <c:v>7570.4036826813344</c:v>
                </c:pt>
                <c:pt idx="13">
                  <c:v>7203.7035736278676</c:v>
                </c:pt>
                <c:pt idx="14">
                  <c:v>6817.3491192991032</c:v>
                </c:pt>
                <c:pt idx="15">
                  <c:v>6407.6576698998588</c:v>
                </c:pt>
                <c:pt idx="16">
                  <c:v>5969.8221000837329</c:v>
                </c:pt>
                <c:pt idx="17">
                  <c:v>5497.1152489954075</c:v>
                </c:pt>
                <c:pt idx="18">
                  <c:v>4979.6064344627266</c:v>
                </c:pt>
                <c:pt idx="19">
                  <c:v>4401.5054429896209</c:v>
                </c:pt>
                <c:pt idx="20">
                  <c:v>3734.7327877658822</c:v>
                </c:pt>
                <c:pt idx="21">
                  <c:v>3351.8615639970321</c:v>
                </c:pt>
                <c:pt idx="22">
                  <c:v>2919.1270444367419</c:v>
                </c:pt>
                <c:pt idx="23">
                  <c:v>2519.866151847757</c:v>
                </c:pt>
                <c:pt idx="24">
                  <c:v>2409.6555559386843</c:v>
                </c:pt>
                <c:pt idx="25">
                  <c:v>2294.2095805842227</c:v>
                </c:pt>
                <c:pt idx="26">
                  <c:v>2172.6290048213859</c:v>
                </c:pt>
                <c:pt idx="27">
                  <c:v>2035.8485616361629</c:v>
                </c:pt>
                <c:pt idx="28">
                  <c:v>1962.3870235601041</c:v>
                </c:pt>
                <c:pt idx="29">
                  <c:v>1954.026912752659</c:v>
                </c:pt>
                <c:pt idx="30">
                  <c:v>1945.6682584375594</c:v>
                </c:pt>
                <c:pt idx="31">
                  <c:v>1937.2734415740438</c:v>
                </c:pt>
                <c:pt idx="32">
                  <c:v>1886.5642248037821</c:v>
                </c:pt>
                <c:pt idx="33">
                  <c:v>1877.456804778489</c:v>
                </c:pt>
                <c:pt idx="34">
                  <c:v>1833.8531268467059</c:v>
                </c:pt>
                <c:pt idx="35">
                  <c:v>1788.8889004398584</c:v>
                </c:pt>
                <c:pt idx="36">
                  <c:v>1779.3935116716898</c:v>
                </c:pt>
                <c:pt idx="37">
                  <c:v>1770.2086998121401</c:v>
                </c:pt>
                <c:pt idx="38">
                  <c:v>1760.9759566637133</c:v>
                </c:pt>
                <c:pt idx="39">
                  <c:v>1757.8970295842187</c:v>
                </c:pt>
              </c:numCache>
            </c:numRef>
          </c:xVal>
          <c:yVal>
            <c:numRef>
              <c:f>Gráfico1!$J$2:$J$41</c:f>
              <c:numCache>
                <c:formatCode>General</c:formatCode>
                <c:ptCount val="40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10C-4D41-8337-8B4B52DA6301}"/>
            </c:ext>
          </c:extLst>
        </c:ser>
        <c:ser>
          <c:idx val="2"/>
          <c:order val="2"/>
          <c:spPr>
            <a:ln w="9525" cap="rnd">
              <a:solidFill>
                <a:schemeClr val="accent3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CA57-452F-BAF1-2E583772E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6721504"/>
        <c:axId val="1"/>
      </c:scatterChart>
      <c:valAx>
        <c:axId val="1686721504"/>
        <c:scaling>
          <c:orientation val="minMax"/>
          <c:min val="1000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Vazão Mássica (Mass flow rate), [kg/h]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"/>
        <c:crosses val="autoZero"/>
        <c:crossBetween val="midCat"/>
        <c:majorUnit val="1000"/>
        <c:minorUnit val="100"/>
      </c:valAx>
      <c:valAx>
        <c:axId val="1"/>
        <c:scaling>
          <c:orientation val="minMax"/>
          <c:max val="2.1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Incerteza expandida (Exp. Uncertainty) [%]  Grau de confiança 95 % </a:t>
                </a:r>
              </a:p>
              <a:p>
                <a:pPr>
                  <a:defRPr/>
                </a:pPr>
                <a:r>
                  <a:rPr lang="pt-BR"/>
                  <a:t>(95 % confidence level)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6721504"/>
        <c:crosses val="autoZero"/>
        <c:crossBetween val="midCat"/>
        <c:majorUnit val="0.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514974535467834"/>
          <c:y val="0.16318375182859227"/>
          <c:w val="0.67043316586460822"/>
          <c:h val="0.65287939854975752"/>
        </c:manualLayout>
      </c:layout>
      <c:scatterChart>
        <c:scatterStyle val="smoothMarker"/>
        <c:varyColors val="0"/>
        <c:ser>
          <c:idx val="0"/>
          <c:order val="0"/>
          <c:tx>
            <c:v>Incerteza (Uncertainty)</c:v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Gráfico1!$E$2:$E$41</c:f>
              <c:numCache>
                <c:formatCode>General</c:formatCode>
                <c:ptCount val="40"/>
                <c:pt idx="0">
                  <c:v>60</c:v>
                </c:pt>
                <c:pt idx="1">
                  <c:v>58.833136443283045</c:v>
                </c:pt>
                <c:pt idx="2">
                  <c:v>57.666272886566091</c:v>
                </c:pt>
                <c:pt idx="3">
                  <c:v>56.499409329849136</c:v>
                </c:pt>
                <c:pt idx="4">
                  <c:v>55.332545773132182</c:v>
                </c:pt>
                <c:pt idx="5">
                  <c:v>51.248523324622845</c:v>
                </c:pt>
                <c:pt idx="6">
                  <c:v>48.331364432830455</c:v>
                </c:pt>
                <c:pt idx="7">
                  <c:v>45.414205541038072</c:v>
                </c:pt>
                <c:pt idx="8">
                  <c:v>42.497046649245689</c:v>
                </c:pt>
                <c:pt idx="9">
                  <c:v>39.579887757453307</c:v>
                </c:pt>
                <c:pt idx="10">
                  <c:v>36.662728865660917</c:v>
                </c:pt>
                <c:pt idx="11">
                  <c:v>33.745569973868534</c:v>
                </c:pt>
                <c:pt idx="12">
                  <c:v>30.828411082076148</c:v>
                </c:pt>
                <c:pt idx="13">
                  <c:v>27.911252190283761</c:v>
                </c:pt>
                <c:pt idx="14">
                  <c:v>24.994093298491379</c:v>
                </c:pt>
                <c:pt idx="15">
                  <c:v>22.076934406698989</c:v>
                </c:pt>
                <c:pt idx="16">
                  <c:v>19.159775514906606</c:v>
                </c:pt>
                <c:pt idx="17">
                  <c:v>16.242616623114223</c:v>
                </c:pt>
                <c:pt idx="18">
                  <c:v>13.325457731321833</c:v>
                </c:pt>
                <c:pt idx="19">
                  <c:v>10.408298839529451</c:v>
                </c:pt>
                <c:pt idx="20">
                  <c:v>7.4911399477370679</c:v>
                </c:pt>
                <c:pt idx="21">
                  <c:v>6.0325605018408694</c:v>
                </c:pt>
                <c:pt idx="22">
                  <c:v>4.5739810559446852</c:v>
                </c:pt>
                <c:pt idx="23">
                  <c:v>3.4071174992277307</c:v>
                </c:pt>
                <c:pt idx="24">
                  <c:v>3.1154016100484867</c:v>
                </c:pt>
                <c:pt idx="25">
                  <c:v>2.8236857208692498</c:v>
                </c:pt>
                <c:pt idx="26">
                  <c:v>2.531969831690013</c:v>
                </c:pt>
                <c:pt idx="27">
                  <c:v>2.2227509891600192</c:v>
                </c:pt>
                <c:pt idx="28">
                  <c:v>2.0652244090031715</c:v>
                </c:pt>
                <c:pt idx="29">
                  <c:v>2.0477214556524217</c:v>
                </c:pt>
                <c:pt idx="30">
                  <c:v>2.0302185023016577</c:v>
                </c:pt>
                <c:pt idx="31">
                  <c:v>2.0127155489509079</c:v>
                </c:pt>
                <c:pt idx="32">
                  <c:v>1.9076978288463806</c:v>
                </c:pt>
                <c:pt idx="33">
                  <c:v>1.8901948754956308</c:v>
                </c:pt>
                <c:pt idx="34">
                  <c:v>1.8026801087417965</c:v>
                </c:pt>
                <c:pt idx="35">
                  <c:v>1.7151653419880262</c:v>
                </c:pt>
                <c:pt idx="36">
                  <c:v>1.6976623886372764</c:v>
                </c:pt>
                <c:pt idx="37">
                  <c:v>1.6801594352865123</c:v>
                </c:pt>
                <c:pt idx="38">
                  <c:v>1.6626564819357625</c:v>
                </c:pt>
                <c:pt idx="39">
                  <c:v>1.656822164152292</c:v>
                </c:pt>
              </c:numCache>
            </c:numRef>
          </c:xVal>
          <c:yVal>
            <c:numRef>
              <c:f>Gráfico1!$C$2:$C$42</c:f>
              <c:numCache>
                <c:formatCode>General</c:formatCode>
                <c:ptCount val="41"/>
                <c:pt idx="0">
                  <c:v>1.0108315826631156</c:v>
                </c:pt>
                <c:pt idx="1">
                  <c:v>1.0108724572481171</c:v>
                </c:pt>
                <c:pt idx="2">
                  <c:v>1.0109160756394735</c:v>
                </c:pt>
                <c:pt idx="3">
                  <c:v>1.010962672585336</c:v>
                </c:pt>
                <c:pt idx="4">
                  <c:v>1.0110125001751178</c:v>
                </c:pt>
                <c:pt idx="5">
                  <c:v>1.0112166613038749</c:v>
                </c:pt>
                <c:pt idx="6">
                  <c:v>1.0113974599059166</c:v>
                </c:pt>
                <c:pt idx="7">
                  <c:v>1.0116160469496569</c:v>
                </c:pt>
                <c:pt idx="8">
                  <c:v>1.0118831619346422</c:v>
                </c:pt>
                <c:pt idx="9">
                  <c:v>1.0122136002141884</c:v>
                </c:pt>
                <c:pt idx="10">
                  <c:v>1.0126282673426139</c:v>
                </c:pt>
                <c:pt idx="11">
                  <c:v>1.0131574706970876</c:v>
                </c:pt>
                <c:pt idx="12">
                  <c:v>1.0138464786322141</c:v>
                </c:pt>
                <c:pt idx="13">
                  <c:v>1.014765722996084</c:v>
                </c:pt>
                <c:pt idx="14">
                  <c:v>1.0160277036424716</c:v>
                </c:pt>
                <c:pt idx="15">
                  <c:v>1.0178246472160712</c:v>
                </c:pt>
                <c:pt idx="16">
                  <c:v>1.0205039652548373</c:v>
                </c:pt>
                <c:pt idx="17">
                  <c:v>1.0247474786072865</c:v>
                </c:pt>
                <c:pt idx="18">
                  <c:v>1.032045449310921</c:v>
                </c:pt>
                <c:pt idx="19">
                  <c:v>1.0461828749491247</c:v>
                </c:pt>
                <c:pt idx="20">
                  <c:v>1.0792059492772994</c:v>
                </c:pt>
                <c:pt idx="21">
                  <c:v>1.1151924325674329</c:v>
                </c:pt>
                <c:pt idx="22">
                  <c:v>1.1873500619940789</c:v>
                </c:pt>
                <c:pt idx="23">
                  <c:v>1.3127664025613661</c:v>
                </c:pt>
                <c:pt idx="24">
                  <c:v>1.3643764924307331</c:v>
                </c:pt>
                <c:pt idx="25">
                  <c:v>1.429894653946097</c:v>
                </c:pt>
                <c:pt idx="26">
                  <c:v>1.5147655714209136</c:v>
                </c:pt>
                <c:pt idx="27">
                  <c:v>1.6352209843459389</c:v>
                </c:pt>
                <c:pt idx="28">
                  <c:v>1.7135822995781282</c:v>
                </c:pt>
                <c:pt idx="29">
                  <c:v>1.7232029895311245</c:v>
                </c:pt>
                <c:pt idx="30">
                  <c:v>1.7329750239315378</c:v>
                </c:pt>
                <c:pt idx="31">
                  <c:v>1.7429461370098571</c:v>
                </c:pt>
                <c:pt idx="32">
                  <c:v>1.8066866441276381</c:v>
                </c:pt>
                <c:pt idx="33">
                  <c:v>1.8188048636562961</c:v>
                </c:pt>
                <c:pt idx="34">
                  <c:v>1.8798746223908105</c:v>
                </c:pt>
                <c:pt idx="35">
                  <c:v>1.9485387230500986</c:v>
                </c:pt>
                <c:pt idx="36">
                  <c:v>1.9638339256157982</c:v>
                </c:pt>
                <c:pt idx="37">
                  <c:v>1.9789056210877101</c:v>
                </c:pt>
                <c:pt idx="38">
                  <c:v>1.9943362138622034</c:v>
                </c:pt>
                <c:pt idx="39">
                  <c:v>1.9995455092018923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61-4E0A-BCDA-8C34FA97F22B}"/>
            </c:ext>
          </c:extLst>
        </c:ser>
        <c:ser>
          <c:idx val="1"/>
          <c:order val="1"/>
          <c:tx>
            <c:v>Inc. Range de Baixa (Low Range Unc.)</c:v>
          </c:tx>
          <c:spPr>
            <a:ln w="25400" cap="rnd">
              <a:solidFill>
                <a:srgbClr val="FF0000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Ref>
              <c:f>Gráfico1!$E$2:$E$41</c:f>
              <c:numCache>
                <c:formatCode>General</c:formatCode>
                <c:ptCount val="40"/>
                <c:pt idx="0">
                  <c:v>60</c:v>
                </c:pt>
                <c:pt idx="1">
                  <c:v>58.833136443283045</c:v>
                </c:pt>
                <c:pt idx="2">
                  <c:v>57.666272886566091</c:v>
                </c:pt>
                <c:pt idx="3">
                  <c:v>56.499409329849136</c:v>
                </c:pt>
                <c:pt idx="4">
                  <c:v>55.332545773132182</c:v>
                </c:pt>
                <c:pt idx="5">
                  <c:v>51.248523324622845</c:v>
                </c:pt>
                <c:pt idx="6">
                  <c:v>48.331364432830455</c:v>
                </c:pt>
                <c:pt idx="7">
                  <c:v>45.414205541038072</c:v>
                </c:pt>
                <c:pt idx="8">
                  <c:v>42.497046649245689</c:v>
                </c:pt>
                <c:pt idx="9">
                  <c:v>39.579887757453307</c:v>
                </c:pt>
                <c:pt idx="10">
                  <c:v>36.662728865660917</c:v>
                </c:pt>
                <c:pt idx="11">
                  <c:v>33.745569973868534</c:v>
                </c:pt>
                <c:pt idx="12">
                  <c:v>30.828411082076148</c:v>
                </c:pt>
                <c:pt idx="13">
                  <c:v>27.911252190283761</c:v>
                </c:pt>
                <c:pt idx="14">
                  <c:v>24.994093298491379</c:v>
                </c:pt>
                <c:pt idx="15">
                  <c:v>22.076934406698989</c:v>
                </c:pt>
                <c:pt idx="16">
                  <c:v>19.159775514906606</c:v>
                </c:pt>
                <c:pt idx="17">
                  <c:v>16.242616623114223</c:v>
                </c:pt>
                <c:pt idx="18">
                  <c:v>13.325457731321833</c:v>
                </c:pt>
                <c:pt idx="19">
                  <c:v>10.408298839529451</c:v>
                </c:pt>
                <c:pt idx="20">
                  <c:v>7.4911399477370679</c:v>
                </c:pt>
                <c:pt idx="21">
                  <c:v>6.0325605018408694</c:v>
                </c:pt>
                <c:pt idx="22">
                  <c:v>4.5739810559446852</c:v>
                </c:pt>
                <c:pt idx="23">
                  <c:v>3.4071174992277307</c:v>
                </c:pt>
                <c:pt idx="24">
                  <c:v>3.1154016100484867</c:v>
                </c:pt>
                <c:pt idx="25">
                  <c:v>2.8236857208692498</c:v>
                </c:pt>
                <c:pt idx="26">
                  <c:v>2.531969831690013</c:v>
                </c:pt>
                <c:pt idx="27">
                  <c:v>2.2227509891600192</c:v>
                </c:pt>
                <c:pt idx="28">
                  <c:v>2.0652244090031715</c:v>
                </c:pt>
                <c:pt idx="29">
                  <c:v>2.0477214556524217</c:v>
                </c:pt>
                <c:pt idx="30">
                  <c:v>2.0302185023016577</c:v>
                </c:pt>
                <c:pt idx="31">
                  <c:v>2.0127155489509079</c:v>
                </c:pt>
                <c:pt idx="32">
                  <c:v>1.9076978288463806</c:v>
                </c:pt>
                <c:pt idx="33">
                  <c:v>1.8901948754956308</c:v>
                </c:pt>
                <c:pt idx="34">
                  <c:v>1.8026801087417965</c:v>
                </c:pt>
                <c:pt idx="35">
                  <c:v>1.7151653419880262</c:v>
                </c:pt>
                <c:pt idx="36">
                  <c:v>1.6976623886372764</c:v>
                </c:pt>
                <c:pt idx="37">
                  <c:v>1.6801594352865123</c:v>
                </c:pt>
                <c:pt idx="38">
                  <c:v>1.6626564819357625</c:v>
                </c:pt>
                <c:pt idx="39">
                  <c:v>1.656822164152292</c:v>
                </c:pt>
              </c:numCache>
            </c:numRef>
          </c:xVal>
          <c:yVal>
            <c:numRef>
              <c:f>Gráfico1!$J$2:$J$41</c:f>
              <c:numCache>
                <c:formatCode>General</c:formatCode>
                <c:ptCount val="40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261-4E0A-BCDA-8C34FA97F2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6721504"/>
        <c:axId val="1"/>
      </c:scatterChart>
      <c:valAx>
        <c:axId val="168672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Pressão</a:t>
                </a:r>
                <a:r>
                  <a:rPr lang="pt-BR" baseline="0"/>
                  <a:t> Diferencial</a:t>
                </a:r>
                <a:r>
                  <a:rPr lang="pt-BR"/>
                  <a:t> (Diferential Pressure), [kPa]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2.1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Incerteza expandida (Exp. Uncertainty) [%]  Grau de confiança 95 % </a:t>
                </a:r>
              </a:p>
              <a:p>
                <a:pPr>
                  <a:defRPr/>
                </a:pPr>
                <a:r>
                  <a:rPr lang="pt-BR"/>
                  <a:t>(95 % confidence level)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6721504"/>
        <c:crosses val="autoZero"/>
        <c:crossBetween val="midCat"/>
        <c:majorUnit val="0.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735727837536339"/>
          <c:y val="0.164983139819387"/>
          <c:w val="0.6704331658646081"/>
          <c:h val="0.65287939854975774"/>
        </c:manualLayout>
      </c:layout>
      <c:scatterChart>
        <c:scatterStyle val="smoothMarker"/>
        <c:varyColors val="0"/>
        <c:ser>
          <c:idx val="0"/>
          <c:order val="0"/>
          <c:tx>
            <c:v>Incerteza (Uncertainty)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square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45"/>
              <c:pt idx="0">
                <c:v>12.9870129870129</c:v>
              </c:pt>
              <c:pt idx="1">
                <c:v>3258.8126159554699</c:v>
              </c:pt>
              <c:pt idx="2">
                <c:v>6504.6382189239303</c:v>
              </c:pt>
              <c:pt idx="3">
                <c:v>9750.4638218923901</c:v>
              </c:pt>
              <c:pt idx="4">
                <c:v>12996.289424860801</c:v>
              </c:pt>
              <c:pt idx="5">
                <c:v>16242.115027829301</c:v>
              </c:pt>
              <c:pt idx="6">
                <c:v>19487.940630797701</c:v>
              </c:pt>
              <c:pt idx="7">
                <c:v>22733.7662337662</c:v>
              </c:pt>
              <c:pt idx="8">
                <c:v>25979.591836734598</c:v>
              </c:pt>
              <c:pt idx="9">
                <c:v>29225.417439703098</c:v>
              </c:pt>
              <c:pt idx="10">
                <c:v>32471.243042671598</c:v>
              </c:pt>
              <c:pt idx="11">
                <c:v>35717.06864564</c:v>
              </c:pt>
              <c:pt idx="12">
                <c:v>38962.8942486085</c:v>
              </c:pt>
              <c:pt idx="13">
                <c:v>42208.719851576898</c:v>
              </c:pt>
              <c:pt idx="14">
                <c:v>45454.545454545398</c:v>
              </c:pt>
              <c:pt idx="15">
                <c:v>45454.545454545398</c:v>
              </c:pt>
              <c:pt idx="16">
                <c:v>45454.545454545398</c:v>
              </c:pt>
              <c:pt idx="17">
                <c:v>45454.545454545398</c:v>
              </c:pt>
              <c:pt idx="18">
                <c:v>45454.545454545398</c:v>
              </c:pt>
              <c:pt idx="19">
                <c:v>45454.545454545398</c:v>
              </c:pt>
              <c:pt idx="20">
                <c:v>45454.545454545398</c:v>
              </c:pt>
              <c:pt idx="21">
                <c:v>45454.545454545398</c:v>
              </c:pt>
              <c:pt idx="22">
                <c:v>45454.545454545398</c:v>
              </c:pt>
              <c:pt idx="23">
                <c:v>45454.545454545398</c:v>
              </c:pt>
              <c:pt idx="24">
                <c:v>45454.545454545398</c:v>
              </c:pt>
              <c:pt idx="25">
                <c:v>45454.545454545398</c:v>
              </c:pt>
              <c:pt idx="26">
                <c:v>45454.545454545398</c:v>
              </c:pt>
              <c:pt idx="27">
                <c:v>45454.545454545398</c:v>
              </c:pt>
              <c:pt idx="28">
                <c:v>45454.545454545398</c:v>
              </c:pt>
              <c:pt idx="29">
                <c:v>45454.545454545398</c:v>
              </c:pt>
              <c:pt idx="30">
                <c:v>45454.545454545398</c:v>
              </c:pt>
              <c:pt idx="31">
                <c:v>45454.545454545398</c:v>
              </c:pt>
              <c:pt idx="32">
                <c:v>45454.545454545398</c:v>
              </c:pt>
              <c:pt idx="33">
                <c:v>45454.545454545398</c:v>
              </c:pt>
              <c:pt idx="34">
                <c:v>45454.545454545398</c:v>
              </c:pt>
              <c:pt idx="35">
                <c:v>45454.545454545398</c:v>
              </c:pt>
              <c:pt idx="36">
                <c:v>45454.545454545398</c:v>
              </c:pt>
              <c:pt idx="37">
                <c:v>45454.545454545398</c:v>
              </c:pt>
              <c:pt idx="38">
                <c:v>45454.545454545398</c:v>
              </c:pt>
              <c:pt idx="39">
                <c:v>45454.545454545398</c:v>
              </c:pt>
              <c:pt idx="40">
                <c:v>45454.545454545398</c:v>
              </c:pt>
              <c:pt idx="41">
                <c:v>45454.545454545398</c:v>
              </c:pt>
              <c:pt idx="42">
                <c:v>45454.545454545398</c:v>
              </c:pt>
              <c:pt idx="43">
                <c:v>45454.545454545398</c:v>
              </c:pt>
              <c:pt idx="44">
                <c:v>45454.545454545398</c:v>
              </c:pt>
            </c:numLit>
          </c:xVal>
          <c:yVal>
            <c:numLit>
              <c:formatCode>General</c:formatCode>
              <c:ptCount val="45"/>
              <c:pt idx="0">
                <c:v>838871.59720162197</c:v>
              </c:pt>
              <c:pt idx="1">
                <c:v>11.0866197030034</c:v>
              </c:pt>
              <c:pt idx="2">
                <c:v>2.9120826298628901</c:v>
              </c:pt>
              <c:pt idx="3">
                <c:v>1.53042864147046</c:v>
              </c:pt>
              <c:pt idx="4">
                <c:v>1.1443897745765299</c:v>
              </c:pt>
              <c:pt idx="5">
                <c:v>1.0138014494077201</c:v>
              </c:pt>
              <c:pt idx="6">
                <c:v>0.96270654435064695</c:v>
              </c:pt>
              <c:pt idx="7">
                <c:v>0.94007073247429895</c:v>
              </c:pt>
              <c:pt idx="8">
                <c:v>0.92901510561594502</c:v>
              </c:pt>
              <c:pt idx="9">
                <c:v>0.92323241853287097</c:v>
              </c:pt>
              <c:pt idx="10">
                <c:v>0.92010218708430502</c:v>
              </c:pt>
              <c:pt idx="11">
                <c:v>0.91843772942865898</c:v>
              </c:pt>
              <c:pt idx="12">
                <c:v>0.91766852550774602</c:v>
              </c:pt>
              <c:pt idx="13">
                <c:v>0.91750672254739896</c:v>
              </c:pt>
              <c:pt idx="14">
                <c:v>0.91780753087279698</c:v>
              </c:pt>
              <c:pt idx="15">
                <c:v>0.91780753087279698</c:v>
              </c:pt>
              <c:pt idx="16">
                <c:v>0.91780753087279698</c:v>
              </c:pt>
              <c:pt idx="17">
                <c:v>0.91780753087279698</c:v>
              </c:pt>
              <c:pt idx="18">
                <c:v>0.91780753087279698</c:v>
              </c:pt>
              <c:pt idx="19">
                <c:v>0.91780753087279698</c:v>
              </c:pt>
              <c:pt idx="20">
                <c:v>0.91780753087279698</c:v>
              </c:pt>
              <c:pt idx="21">
                <c:v>0.91780753087279698</c:v>
              </c:pt>
              <c:pt idx="22">
                <c:v>0.91780753087279698</c:v>
              </c:pt>
              <c:pt idx="23">
                <c:v>0.91780753087279698</c:v>
              </c:pt>
              <c:pt idx="24">
                <c:v>0.91780753087279698</c:v>
              </c:pt>
              <c:pt idx="25">
                <c:v>0.91780753087279698</c:v>
              </c:pt>
              <c:pt idx="26">
                <c:v>0.91780753087279698</c:v>
              </c:pt>
              <c:pt idx="27">
                <c:v>0.91780753087279698</c:v>
              </c:pt>
              <c:pt idx="28">
                <c:v>0.91780753087279698</c:v>
              </c:pt>
              <c:pt idx="29">
                <c:v>0.91780753087279698</c:v>
              </c:pt>
              <c:pt idx="30">
                <c:v>0.91780753087279698</c:v>
              </c:pt>
              <c:pt idx="31">
                <c:v>0.91780753087279698</c:v>
              </c:pt>
              <c:pt idx="32">
                <c:v>0.91780753087279698</c:v>
              </c:pt>
              <c:pt idx="33">
                <c:v>0.91780753087279698</c:v>
              </c:pt>
              <c:pt idx="34">
                <c:v>0.91780753087279698</c:v>
              </c:pt>
              <c:pt idx="35">
                <c:v>0.91780753087279698</c:v>
              </c:pt>
              <c:pt idx="36">
                <c:v>0.91780753087279698</c:v>
              </c:pt>
              <c:pt idx="37">
                <c:v>0.91780753087279698</c:v>
              </c:pt>
              <c:pt idx="38">
                <c:v>0.91780753087279698</c:v>
              </c:pt>
              <c:pt idx="39">
                <c:v>0.91780753087279698</c:v>
              </c:pt>
              <c:pt idx="40">
                <c:v>0.91780753087279698</c:v>
              </c:pt>
              <c:pt idx="41">
                <c:v>0.91780753087279698</c:v>
              </c:pt>
              <c:pt idx="42">
                <c:v>0.91780753087279698</c:v>
              </c:pt>
              <c:pt idx="43">
                <c:v>0.91780753087279698</c:v>
              </c:pt>
              <c:pt idx="44">
                <c:v>0.91780753087279698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C39-4F78-BDE4-92F341362804}"/>
            </c:ext>
          </c:extLst>
        </c:ser>
        <c:ser>
          <c:idx val="1"/>
          <c:order val="1"/>
          <c:tx>
            <c:v>Inc. Range de Baixa (Low Range Unc.)</c:v>
          </c:tx>
          <c:marker>
            <c:symbol val="circle"/>
            <c:size val="7"/>
          </c:marker>
          <c:xVal>
            <c:strLit>
              <c:ptCount val="45"/>
              <c:pt idx="0">
                <c:v>USED (Q)</c:v>
              </c:pt>
              <c:pt idx="1">
                <c:v>USED (Q)</c:v>
              </c:pt>
              <c:pt idx="2">
                <c:v>USED (Q)</c:v>
              </c:pt>
              <c:pt idx="3">
                <c:v>USED (Q)</c:v>
              </c:pt>
              <c:pt idx="4">
                <c:v>USED (Q)</c:v>
              </c:pt>
              <c:pt idx="5">
                <c:v>USED (Q)</c:v>
              </c:pt>
              <c:pt idx="6">
                <c:v>USED (Q)</c:v>
              </c:pt>
              <c:pt idx="7">
                <c:v>USED (Q)</c:v>
              </c:pt>
              <c:pt idx="8">
                <c:v>USED (Q)</c:v>
              </c:pt>
              <c:pt idx="9">
                <c:v>USED (Q)</c:v>
              </c:pt>
              <c:pt idx="10">
                <c:v>USED (Q)</c:v>
              </c:pt>
              <c:pt idx="11">
                <c:v>USED (Q)</c:v>
              </c:pt>
              <c:pt idx="12">
                <c:v>USED (Q)</c:v>
              </c:pt>
              <c:pt idx="13">
                <c:v>USED (Q)</c:v>
              </c:pt>
              <c:pt idx="14">
                <c:v>USED (Q)</c:v>
              </c:pt>
              <c:pt idx="15">
                <c:v>USED (Q)</c:v>
              </c:pt>
              <c:pt idx="16">
                <c:v>USED (Q)</c:v>
              </c:pt>
              <c:pt idx="17">
                <c:v>USED (Q)</c:v>
              </c:pt>
              <c:pt idx="18">
                <c:v>USED (Q)</c:v>
              </c:pt>
              <c:pt idx="19">
                <c:v>USED (Q)</c:v>
              </c:pt>
              <c:pt idx="20">
                <c:v>USED (Q)</c:v>
              </c:pt>
              <c:pt idx="21">
                <c:v>USED (Q)</c:v>
              </c:pt>
              <c:pt idx="22">
                <c:v>USED (Q)</c:v>
              </c:pt>
              <c:pt idx="23">
                <c:v>USED (Q)</c:v>
              </c:pt>
              <c:pt idx="24">
                <c:v>USED (Q)</c:v>
              </c:pt>
              <c:pt idx="25">
                <c:v>USED (Q)</c:v>
              </c:pt>
              <c:pt idx="26">
                <c:v>USED (Q)</c:v>
              </c:pt>
              <c:pt idx="27">
                <c:v>USED (Q)</c:v>
              </c:pt>
              <c:pt idx="28">
                <c:v>USED (Q)</c:v>
              </c:pt>
              <c:pt idx="29">
                <c:v>USED (Q)</c:v>
              </c:pt>
              <c:pt idx="30">
                <c:v>USED (Q)</c:v>
              </c:pt>
              <c:pt idx="31">
                <c:v>USED (Q)</c:v>
              </c:pt>
              <c:pt idx="32">
                <c:v>USED (Q)</c:v>
              </c:pt>
              <c:pt idx="33">
                <c:v>USED (Q)</c:v>
              </c:pt>
              <c:pt idx="34">
                <c:v>USED (Q)</c:v>
              </c:pt>
              <c:pt idx="35">
                <c:v>USED (Q)</c:v>
              </c:pt>
              <c:pt idx="36">
                <c:v>USED (Q)</c:v>
              </c:pt>
              <c:pt idx="37">
                <c:v>USED (Q)</c:v>
              </c:pt>
              <c:pt idx="38">
                <c:v>USED (Q)</c:v>
              </c:pt>
              <c:pt idx="39">
                <c:v>USED (Q)</c:v>
              </c:pt>
              <c:pt idx="40">
                <c:v>USED (Q)</c:v>
              </c:pt>
              <c:pt idx="41">
                <c:v>USED (Q)</c:v>
              </c:pt>
              <c:pt idx="42">
                <c:v>USED (Q)</c:v>
              </c:pt>
              <c:pt idx="43">
                <c:v>USED (Q)</c:v>
              </c:pt>
              <c:pt idx="44">
                <c:v>USED (Q)</c:v>
              </c:pt>
            </c:strLit>
          </c:xVal>
          <c:yVal>
            <c:numLit>
              <c:formatCode>General</c:formatCode>
              <c:ptCount val="4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0C39-4F78-BDE4-92F341362804}"/>
            </c:ext>
          </c:extLst>
        </c:ser>
        <c:ser>
          <c:idx val="2"/>
          <c:order val="2"/>
          <c:tx>
            <c:v>Apropriação (Allocation)</c:v>
          </c:tx>
          <c:spPr>
            <a:ln>
              <a:solidFill>
                <a:schemeClr val="accent6"/>
              </a:solidFill>
            </a:ln>
          </c:spPr>
          <c:marker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strLit>
              <c:ptCount val="45"/>
              <c:pt idx="0">
                <c:v>12,99</c:v>
              </c:pt>
              <c:pt idx="1">
                <c:v>USED (Q)</c:v>
              </c:pt>
              <c:pt idx="2">
                <c:v>USED (Q)</c:v>
              </c:pt>
              <c:pt idx="3">
                <c:v>USED (Q)</c:v>
              </c:pt>
              <c:pt idx="4">
                <c:v>USED (Q)</c:v>
              </c:pt>
              <c:pt idx="5">
                <c:v>USED (Q)</c:v>
              </c:pt>
              <c:pt idx="6">
                <c:v>USED (Q)</c:v>
              </c:pt>
              <c:pt idx="7">
                <c:v>USED (Q)</c:v>
              </c:pt>
              <c:pt idx="8">
                <c:v>USED (Q)</c:v>
              </c:pt>
              <c:pt idx="9">
                <c:v>USED (Q)</c:v>
              </c:pt>
              <c:pt idx="10">
                <c:v>USED (Q)</c:v>
              </c:pt>
              <c:pt idx="11">
                <c:v>USED (Q)</c:v>
              </c:pt>
              <c:pt idx="12">
                <c:v>USED (Q)</c:v>
              </c:pt>
              <c:pt idx="13">
                <c:v>USED (Q)</c:v>
              </c:pt>
              <c:pt idx="14">
                <c:v>USED (Q)</c:v>
              </c:pt>
              <c:pt idx="15">
                <c:v>USED (Q)</c:v>
              </c:pt>
              <c:pt idx="16">
                <c:v>USED (Q)</c:v>
              </c:pt>
              <c:pt idx="17">
                <c:v>USED (Q)</c:v>
              </c:pt>
              <c:pt idx="18">
                <c:v>USED (Q)</c:v>
              </c:pt>
              <c:pt idx="19">
                <c:v>USED (Q)</c:v>
              </c:pt>
              <c:pt idx="20">
                <c:v>USED (Q)</c:v>
              </c:pt>
              <c:pt idx="21">
                <c:v>USED (Q)</c:v>
              </c:pt>
              <c:pt idx="22">
                <c:v>USED (Q)</c:v>
              </c:pt>
              <c:pt idx="23">
                <c:v>USED (Q)</c:v>
              </c:pt>
              <c:pt idx="24">
                <c:v>USED (Q)</c:v>
              </c:pt>
              <c:pt idx="25">
                <c:v>USED (Q)</c:v>
              </c:pt>
              <c:pt idx="26">
                <c:v>USED (Q)</c:v>
              </c:pt>
              <c:pt idx="27">
                <c:v>USED (Q)</c:v>
              </c:pt>
              <c:pt idx="28">
                <c:v>USED (Q)</c:v>
              </c:pt>
              <c:pt idx="29">
                <c:v>USED (Q)</c:v>
              </c:pt>
              <c:pt idx="30">
                <c:v>USED (Q)</c:v>
              </c:pt>
              <c:pt idx="31">
                <c:v>USED (Q)</c:v>
              </c:pt>
              <c:pt idx="32">
                <c:v>USED (Q)</c:v>
              </c:pt>
              <c:pt idx="33">
                <c:v>USED (Q)</c:v>
              </c:pt>
              <c:pt idx="34">
                <c:v>USED (Q)</c:v>
              </c:pt>
              <c:pt idx="35">
                <c:v>USED (Q)</c:v>
              </c:pt>
              <c:pt idx="36">
                <c:v>USED (Q)</c:v>
              </c:pt>
              <c:pt idx="37">
                <c:v>USED (Q)</c:v>
              </c:pt>
              <c:pt idx="38">
                <c:v>USED (Q)</c:v>
              </c:pt>
              <c:pt idx="39">
                <c:v>USED (Q)</c:v>
              </c:pt>
              <c:pt idx="40">
                <c:v>USED (Q)</c:v>
              </c:pt>
              <c:pt idx="41">
                <c:v>USED (Q)</c:v>
              </c:pt>
              <c:pt idx="42">
                <c:v>USED (Q)</c:v>
              </c:pt>
              <c:pt idx="43">
                <c:v>USED (Q)</c:v>
              </c:pt>
              <c:pt idx="44">
                <c:v>USED (Q)</c:v>
              </c:pt>
            </c:strLit>
          </c:xVal>
          <c:yVal>
            <c:numLit>
              <c:formatCode>General</c:formatCode>
              <c:ptCount val="45"/>
              <c:pt idx="0">
                <c:v>2</c:v>
              </c:pt>
              <c:pt idx="1">
                <c:v>2</c:v>
              </c:pt>
              <c:pt idx="2">
                <c:v>2</c:v>
              </c:pt>
              <c:pt idx="3">
                <c:v>2</c:v>
              </c:pt>
              <c:pt idx="4">
                <c:v>2</c:v>
              </c:pt>
              <c:pt idx="5">
                <c:v>2</c:v>
              </c:pt>
              <c:pt idx="6">
                <c:v>2</c:v>
              </c:pt>
              <c:pt idx="7">
                <c:v>2</c:v>
              </c:pt>
              <c:pt idx="8">
                <c:v>2</c:v>
              </c:pt>
              <c:pt idx="9">
                <c:v>2</c:v>
              </c:pt>
              <c:pt idx="10">
                <c:v>2</c:v>
              </c:pt>
              <c:pt idx="11">
                <c:v>2</c:v>
              </c:pt>
              <c:pt idx="12">
                <c:v>2</c:v>
              </c:pt>
              <c:pt idx="13">
                <c:v>2</c:v>
              </c:pt>
              <c:pt idx="14">
                <c:v>2</c:v>
              </c:pt>
              <c:pt idx="15">
                <c:v>2</c:v>
              </c:pt>
              <c:pt idx="16">
                <c:v>2</c:v>
              </c:pt>
              <c:pt idx="17">
                <c:v>2</c:v>
              </c:pt>
              <c:pt idx="18">
                <c:v>2</c:v>
              </c:pt>
              <c:pt idx="19">
                <c:v>2</c:v>
              </c:pt>
              <c:pt idx="20">
                <c:v>2</c:v>
              </c:pt>
              <c:pt idx="21">
                <c:v>2</c:v>
              </c:pt>
              <c:pt idx="22">
                <c:v>2</c:v>
              </c:pt>
              <c:pt idx="23">
                <c:v>2</c:v>
              </c:pt>
              <c:pt idx="24">
                <c:v>2</c:v>
              </c:pt>
              <c:pt idx="25">
                <c:v>2</c:v>
              </c:pt>
              <c:pt idx="26">
                <c:v>2</c:v>
              </c:pt>
              <c:pt idx="27">
                <c:v>2</c:v>
              </c:pt>
              <c:pt idx="28">
                <c:v>2</c:v>
              </c:pt>
              <c:pt idx="29">
                <c:v>2</c:v>
              </c:pt>
              <c:pt idx="30">
                <c:v>2</c:v>
              </c:pt>
              <c:pt idx="31">
                <c:v>2</c:v>
              </c:pt>
              <c:pt idx="32">
                <c:v>2</c:v>
              </c:pt>
              <c:pt idx="33">
                <c:v>2</c:v>
              </c:pt>
              <c:pt idx="34">
                <c:v>2</c:v>
              </c:pt>
              <c:pt idx="35">
                <c:v>2</c:v>
              </c:pt>
              <c:pt idx="36">
                <c:v>2</c:v>
              </c:pt>
              <c:pt idx="37">
                <c:v>2</c:v>
              </c:pt>
              <c:pt idx="38">
                <c:v>2</c:v>
              </c:pt>
              <c:pt idx="39">
                <c:v>2</c:v>
              </c:pt>
              <c:pt idx="40">
                <c:v>2</c:v>
              </c:pt>
              <c:pt idx="41">
                <c:v>2</c:v>
              </c:pt>
              <c:pt idx="42">
                <c:v>2</c:v>
              </c:pt>
              <c:pt idx="43">
                <c:v>2</c:v>
              </c:pt>
              <c:pt idx="44">
                <c:v>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0C39-4F78-BDE4-92F341362804}"/>
            </c:ext>
          </c:extLst>
        </c:ser>
        <c:ser>
          <c:idx val="3"/>
          <c:order val="3"/>
          <c:tx>
            <c:v>Fiscal</c:v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pPr>
              <a:ln>
                <a:solidFill>
                  <a:schemeClr val="tx2">
                    <a:lumMod val="75000"/>
                  </a:schemeClr>
                </a:solidFill>
              </a:ln>
            </c:spPr>
          </c:marker>
          <c:xVal>
            <c:strLit>
              <c:ptCount val="45"/>
              <c:pt idx="0">
                <c:v>12,99</c:v>
              </c:pt>
              <c:pt idx="1">
                <c:v>USED (Q)</c:v>
              </c:pt>
              <c:pt idx="2">
                <c:v>USED (Q)</c:v>
              </c:pt>
              <c:pt idx="3">
                <c:v>USED (Q)</c:v>
              </c:pt>
              <c:pt idx="4">
                <c:v>USED (Q)</c:v>
              </c:pt>
              <c:pt idx="5">
                <c:v>USED (Q)</c:v>
              </c:pt>
              <c:pt idx="6">
                <c:v>USED (Q)</c:v>
              </c:pt>
              <c:pt idx="7">
                <c:v>USED (Q)</c:v>
              </c:pt>
              <c:pt idx="8">
                <c:v>USED (Q)</c:v>
              </c:pt>
              <c:pt idx="9">
                <c:v>USED (Q)</c:v>
              </c:pt>
              <c:pt idx="10">
                <c:v>USED (Q)</c:v>
              </c:pt>
              <c:pt idx="11">
                <c:v>USED (Q)</c:v>
              </c:pt>
              <c:pt idx="12">
                <c:v>USED (Q)</c:v>
              </c:pt>
              <c:pt idx="13">
                <c:v>USED (Q)</c:v>
              </c:pt>
              <c:pt idx="14">
                <c:v>USED (Q)</c:v>
              </c:pt>
              <c:pt idx="15">
                <c:v>USED (Q)</c:v>
              </c:pt>
              <c:pt idx="16">
                <c:v>USED (Q)</c:v>
              </c:pt>
              <c:pt idx="17">
                <c:v>USED (Q)</c:v>
              </c:pt>
              <c:pt idx="18">
                <c:v>USED (Q)</c:v>
              </c:pt>
              <c:pt idx="19">
                <c:v>USED (Q)</c:v>
              </c:pt>
              <c:pt idx="20">
                <c:v>USED (Q)</c:v>
              </c:pt>
              <c:pt idx="21">
                <c:v>USED (Q)</c:v>
              </c:pt>
              <c:pt idx="22">
                <c:v>USED (Q)</c:v>
              </c:pt>
              <c:pt idx="23">
                <c:v>USED (Q)</c:v>
              </c:pt>
              <c:pt idx="24">
                <c:v>USED (Q)</c:v>
              </c:pt>
              <c:pt idx="25">
                <c:v>USED (Q)</c:v>
              </c:pt>
              <c:pt idx="26">
                <c:v>USED (Q)</c:v>
              </c:pt>
              <c:pt idx="27">
                <c:v>USED (Q)</c:v>
              </c:pt>
              <c:pt idx="28">
                <c:v>USED (Q)</c:v>
              </c:pt>
              <c:pt idx="29">
                <c:v>USED (Q)</c:v>
              </c:pt>
              <c:pt idx="30">
                <c:v>USED (Q)</c:v>
              </c:pt>
              <c:pt idx="31">
                <c:v>USED (Q)</c:v>
              </c:pt>
              <c:pt idx="32">
                <c:v>USED (Q)</c:v>
              </c:pt>
              <c:pt idx="33">
                <c:v>USED (Q)</c:v>
              </c:pt>
              <c:pt idx="34">
                <c:v>USED (Q)</c:v>
              </c:pt>
              <c:pt idx="35">
                <c:v>USED (Q)</c:v>
              </c:pt>
              <c:pt idx="36">
                <c:v>USED (Q)</c:v>
              </c:pt>
              <c:pt idx="37">
                <c:v>USED (Q)</c:v>
              </c:pt>
              <c:pt idx="38">
                <c:v>USED (Q)</c:v>
              </c:pt>
              <c:pt idx="39">
                <c:v>USED (Q)</c:v>
              </c:pt>
              <c:pt idx="40">
                <c:v>USED (Q)</c:v>
              </c:pt>
              <c:pt idx="41">
                <c:v>USED (Q)</c:v>
              </c:pt>
              <c:pt idx="42">
                <c:v>USED (Q)</c:v>
              </c:pt>
              <c:pt idx="43">
                <c:v>USED (Q)</c:v>
              </c:pt>
              <c:pt idx="44">
                <c:v>USED (Q)</c:v>
              </c:pt>
            </c:strLit>
          </c:xVal>
          <c:yVal>
            <c:numLit>
              <c:formatCode>General</c:formatCode>
              <c:ptCount val="45"/>
              <c:pt idx="0">
                <c:v>1.5</c:v>
              </c:pt>
              <c:pt idx="1">
                <c:v>1.5</c:v>
              </c:pt>
              <c:pt idx="2">
                <c:v>1.5</c:v>
              </c:pt>
              <c:pt idx="3">
                <c:v>1.5</c:v>
              </c:pt>
              <c:pt idx="4">
                <c:v>1.5</c:v>
              </c:pt>
              <c:pt idx="5">
                <c:v>1.5</c:v>
              </c:pt>
              <c:pt idx="6">
                <c:v>1.5</c:v>
              </c:pt>
              <c:pt idx="7">
                <c:v>1.5</c:v>
              </c:pt>
              <c:pt idx="8">
                <c:v>1.5</c:v>
              </c:pt>
              <c:pt idx="9">
                <c:v>1.5</c:v>
              </c:pt>
              <c:pt idx="10">
                <c:v>1.5</c:v>
              </c:pt>
              <c:pt idx="11">
                <c:v>1.5</c:v>
              </c:pt>
              <c:pt idx="12">
                <c:v>1.5</c:v>
              </c:pt>
              <c:pt idx="13">
                <c:v>1.5</c:v>
              </c:pt>
              <c:pt idx="14">
                <c:v>1.5</c:v>
              </c:pt>
              <c:pt idx="15">
                <c:v>1.5</c:v>
              </c:pt>
              <c:pt idx="16">
                <c:v>1.5</c:v>
              </c:pt>
              <c:pt idx="17">
                <c:v>1.5</c:v>
              </c:pt>
              <c:pt idx="18">
                <c:v>1.5</c:v>
              </c:pt>
              <c:pt idx="19">
                <c:v>1.5</c:v>
              </c:pt>
              <c:pt idx="20">
                <c:v>1.5</c:v>
              </c:pt>
              <c:pt idx="21">
                <c:v>1.5</c:v>
              </c:pt>
              <c:pt idx="22">
                <c:v>1.5</c:v>
              </c:pt>
              <c:pt idx="23">
                <c:v>1.5</c:v>
              </c:pt>
              <c:pt idx="24">
                <c:v>1.5</c:v>
              </c:pt>
              <c:pt idx="25">
                <c:v>1.5</c:v>
              </c:pt>
              <c:pt idx="26">
                <c:v>1.5</c:v>
              </c:pt>
              <c:pt idx="27">
                <c:v>1.5</c:v>
              </c:pt>
              <c:pt idx="28">
                <c:v>1.5</c:v>
              </c:pt>
              <c:pt idx="29">
                <c:v>1.5</c:v>
              </c:pt>
              <c:pt idx="30">
                <c:v>1.5</c:v>
              </c:pt>
              <c:pt idx="31">
                <c:v>1.5</c:v>
              </c:pt>
              <c:pt idx="32">
                <c:v>1.5</c:v>
              </c:pt>
              <c:pt idx="33">
                <c:v>1.5</c:v>
              </c:pt>
              <c:pt idx="34">
                <c:v>1.5</c:v>
              </c:pt>
              <c:pt idx="35">
                <c:v>1.5</c:v>
              </c:pt>
              <c:pt idx="36">
                <c:v>1.5</c:v>
              </c:pt>
              <c:pt idx="37">
                <c:v>1.5</c:v>
              </c:pt>
              <c:pt idx="38">
                <c:v>1.5</c:v>
              </c:pt>
              <c:pt idx="39">
                <c:v>1.5</c:v>
              </c:pt>
              <c:pt idx="40">
                <c:v>1.5</c:v>
              </c:pt>
              <c:pt idx="41">
                <c:v>1.5</c:v>
              </c:pt>
              <c:pt idx="42">
                <c:v>1.5</c:v>
              </c:pt>
              <c:pt idx="43">
                <c:v>1.5</c:v>
              </c:pt>
              <c:pt idx="44">
                <c:v>1.5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0C39-4F78-BDE4-92F341362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6727744"/>
        <c:axId val="1"/>
      </c:scatterChart>
      <c:valAx>
        <c:axId val="1686727744"/>
        <c:scaling>
          <c:orientation val="minMax"/>
        </c:scaling>
        <c:delete val="0"/>
        <c:axPos val="b"/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/>
                  <a:t>Vazão Vol. cond. ref. (NET Volume Flowrate), [m3/h]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2.5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pt-BR" sz="11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Incerteza expandida (Exp. Uncertainty) [%]  Grau de confiança 95 % </a:t>
                </a:r>
              </a:p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pt-BR" sz="11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(95 % confidence level)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1686727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3957256118579793"/>
          <c:y val="0.31199466228337619"/>
          <c:w val="0.13974491554636337"/>
          <c:h val="0.30368903382026741"/>
        </c:manualLayout>
      </c:layout>
      <c:overlay val="0"/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chart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/Relationships>
</file>

<file path=xl/chart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B92C569-FD45-482F-A25C-A68BD2F99E8D}">
  <sheetPr codeName="Gráfico1"/>
  <sheetViews>
    <sheetView zoomScale="112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500-000000000000}">
  <sheetPr codeName="Chart2"/>
  <sheetViews>
    <sheetView workbookViewId="0"/>
  </sheetViews>
  <pageMargins left="0.74803149606299213" right="0.74803149606299213" top="0.98425196850393704" bottom="0.98425196850393704" header="0.51181102362204722" footer="0.51181102362204722"/>
  <pageSetup paperSize="9" orientation="landscape" r:id="rId1"/>
  <headerFooter alignWithMargins="0">
    <oddFooter>&amp;CPag. 6 / 7</oddFooter>
  </headerFooter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E6A5595-78D5-44D8-8257-17EA7EB0879A}">
  <sheetPr codeName="Chart4"/>
  <sheetViews>
    <sheetView workbookViewId="0"/>
  </sheetViews>
  <pageMargins left="0.74803149606299213" right="0.74803149606299213" top="0.98425196850393704" bottom="0.98425196850393704" header="0.51181102362204722" footer="0.51181102362204722"/>
  <pageSetup paperSize="9" orientation="landscape" r:id="rId1"/>
  <headerFooter alignWithMargins="0">
    <oddFooter>&amp;CPag. 6 / 7</oddFooter>
  </headerFooter>
  <drawing r:id="rId2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600-000000000000}">
  <sheetPr codeName="Chart3"/>
  <sheetViews>
    <sheetView workbookViewId="0"/>
  </sheetViews>
  <pageMargins left="0.74803149606299213" right="0.74803149606299213" top="0.98425196850393704" bottom="0.98425196850393704" header="0.51181102362204722" footer="0.51181102362204722"/>
  <pageSetup paperSize="9" orientation="landscape" r:id="rId1"/>
  <headerFooter alignWithMargins="0">
    <oddFooter>&amp;CPag. 7 / 7</oddFooter>
  </headerFooter>
  <drawing r:id="rId2"/>
</chartsheet>
</file>

<file path=xl/ctrlProps/ctrlProp1.xml><?xml version="1.0" encoding="utf-8"?>
<formControlPr xmlns="http://schemas.microsoft.com/office/spreadsheetml/2009/9/main" objectType="Radio" checked="Checked" firstButton="1" fmlaLink="$G$7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checked="Checked" firstButton="1" fmlaLink="$G$7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checked="Checked" firstButton="1" fmlaLink="$G$7" lockText="1" noThreeD="1"/>
</file>

<file path=xl/ctrlProps/ctrlProp6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2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7" Type="http://schemas.openxmlformats.org/officeDocument/2006/relationships/image" Target="../media/image11.png"/><Relationship Id="rId2" Type="http://schemas.openxmlformats.org/officeDocument/2006/relationships/image" Target="../media/image3.png"/><Relationship Id="rId1" Type="http://schemas.openxmlformats.org/officeDocument/2006/relationships/image" Target="../media/image7.png"/><Relationship Id="rId6" Type="http://schemas.openxmlformats.org/officeDocument/2006/relationships/image" Target="../media/image10.png"/><Relationship Id="rId5" Type="http://schemas.openxmlformats.org/officeDocument/2006/relationships/image" Target="../media/image9.png"/><Relationship Id="rId4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3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2.tif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3" Type="http://schemas.openxmlformats.org/officeDocument/2006/relationships/image" Target="../media/image21.emf"/><Relationship Id="rId7" Type="http://schemas.openxmlformats.org/officeDocument/2006/relationships/image" Target="../media/image17.emf"/><Relationship Id="rId2" Type="http://schemas.openxmlformats.org/officeDocument/2006/relationships/image" Target="../media/image22.emf"/><Relationship Id="rId1" Type="http://schemas.openxmlformats.org/officeDocument/2006/relationships/image" Target="../media/image23.emf"/><Relationship Id="rId6" Type="http://schemas.openxmlformats.org/officeDocument/2006/relationships/image" Target="../media/image18.emf"/><Relationship Id="rId11" Type="http://schemas.openxmlformats.org/officeDocument/2006/relationships/image" Target="../media/image13.emf"/><Relationship Id="rId5" Type="http://schemas.openxmlformats.org/officeDocument/2006/relationships/image" Target="../media/image19.emf"/><Relationship Id="rId10" Type="http://schemas.openxmlformats.org/officeDocument/2006/relationships/image" Target="../media/image14.emf"/><Relationship Id="rId4" Type="http://schemas.openxmlformats.org/officeDocument/2006/relationships/image" Target="../media/image20.emf"/><Relationship Id="rId9" Type="http://schemas.openxmlformats.org/officeDocument/2006/relationships/image" Target="../media/image15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317500</xdr:colOff>
          <xdr:row>29</xdr:row>
          <xdr:rowOff>0</xdr:rowOff>
        </xdr:from>
        <xdr:to>
          <xdr:col>24</xdr:col>
          <xdr:colOff>107950</xdr:colOff>
          <xdr:row>29</xdr:row>
          <xdr:rowOff>342900</xdr:rowOff>
        </xdr:to>
        <xdr:sp macro="" textlink="">
          <xdr:nvSpPr>
            <xdr:cNvPr id="266182" name="CheckBox13" hidden="1">
              <a:extLst>
                <a:ext uri="{63B3BB69-23CF-44E3-9099-C40C66FF867C}">
                  <a14:compatExt spid="_x0000_s266182"/>
                </a:ext>
                <a:ext uri="{FF2B5EF4-FFF2-40B4-BE49-F238E27FC236}">
                  <a16:creationId xmlns:a16="http://schemas.microsoft.com/office/drawing/2014/main" id="{00000000-0008-0000-0000-0000C60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51954</xdr:colOff>
      <xdr:row>90</xdr:row>
      <xdr:rowOff>99331</xdr:rowOff>
    </xdr:from>
    <xdr:to>
      <xdr:col>9</xdr:col>
      <xdr:colOff>22413</xdr:colOff>
      <xdr:row>98</xdr:row>
      <xdr:rowOff>11206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F5AF5FC-FE2D-4F77-DC11-0F5FDC2C52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9</xdr:col>
      <xdr:colOff>208679</xdr:colOff>
      <xdr:row>1</xdr:row>
      <xdr:rowOff>34987</xdr:rowOff>
    </xdr:from>
    <xdr:ext cx="1276468" cy="577756"/>
    <xdr:pic>
      <xdr:nvPicPr>
        <xdr:cNvPr id="14" name="Imagem 13" descr="Ícone&#10;&#10;Descrição gerada automaticamente">
          <a:extLst>
            <a:ext uri="{FF2B5EF4-FFF2-40B4-BE49-F238E27FC236}">
              <a16:creationId xmlns:a16="http://schemas.microsoft.com/office/drawing/2014/main" id="{F5547E87-37CD-473A-A8B7-B5F50578F7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320061" y="303928"/>
          <a:ext cx="1276468" cy="577756"/>
        </a:xfrm>
        <a:prstGeom prst="rect">
          <a:avLst/>
        </a:prstGeom>
      </xdr:spPr>
    </xdr:pic>
    <xdr:clientData/>
  </xdr:oneCellAnchor>
  <xdr:oneCellAnchor>
    <xdr:from>
      <xdr:col>8</xdr:col>
      <xdr:colOff>1587801</xdr:colOff>
      <xdr:row>71</xdr:row>
      <xdr:rowOff>227088</xdr:rowOff>
    </xdr:from>
    <xdr:ext cx="1276468" cy="577756"/>
    <xdr:pic>
      <xdr:nvPicPr>
        <xdr:cNvPr id="5" name="Imagem 4" descr="Ícone&#10;&#10;Descrição gerada automaticamente">
          <a:extLst>
            <a:ext uri="{FF2B5EF4-FFF2-40B4-BE49-F238E27FC236}">
              <a16:creationId xmlns:a16="http://schemas.microsoft.com/office/drawing/2014/main" id="{2C075405-6101-4E05-BF96-F85B633E01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051919" y="36892735"/>
          <a:ext cx="1276468" cy="577756"/>
        </a:xfrm>
        <a:prstGeom prst="rect">
          <a:avLst/>
        </a:prstGeom>
      </xdr:spPr>
    </xdr:pic>
    <xdr:clientData/>
  </xdr:oneCellAnchor>
  <xdr:absoluteAnchor>
    <xdr:pos x="10522325" y="61123777"/>
    <xdr:ext cx="8884168" cy="5939118"/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37E0398-FCA3-4973-9DC0-DB3BB46216E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0015720" y="88860870"/>
    <xdr:ext cx="8569412" cy="5939118"/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5F8B6B3B-52A0-4C58-9074-781DA9C69E33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oneCellAnchor>
    <xdr:from>
      <xdr:col>8</xdr:col>
      <xdr:colOff>1587801</xdr:colOff>
      <xdr:row>116</xdr:row>
      <xdr:rowOff>227088</xdr:rowOff>
    </xdr:from>
    <xdr:ext cx="1276468" cy="577756"/>
    <xdr:pic>
      <xdr:nvPicPr>
        <xdr:cNvPr id="10" name="Imagem 9" descr="Ícone&#10;&#10;Descrição gerada automaticamente">
          <a:extLst>
            <a:ext uri="{FF2B5EF4-FFF2-40B4-BE49-F238E27FC236}">
              <a16:creationId xmlns:a16="http://schemas.microsoft.com/office/drawing/2014/main" id="{29A63CE8-03BD-4065-BB28-079E7AAE31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139528" y="36595270"/>
          <a:ext cx="1276468" cy="577756"/>
        </a:xfrm>
        <a:prstGeom prst="rect">
          <a:avLst/>
        </a:prstGeom>
      </xdr:spPr>
    </xdr:pic>
    <xdr:clientData/>
  </xdr:oneCellAnchor>
  <xdr:oneCellAnchor>
    <xdr:from>
      <xdr:col>9</xdr:col>
      <xdr:colOff>208679</xdr:colOff>
      <xdr:row>37</xdr:row>
      <xdr:rowOff>34987</xdr:rowOff>
    </xdr:from>
    <xdr:ext cx="1276468" cy="577756"/>
    <xdr:pic>
      <xdr:nvPicPr>
        <xdr:cNvPr id="20" name="Imagem 19" descr="Ícone&#10;&#10;Descrição gerada automaticamente">
          <a:extLst>
            <a:ext uri="{FF2B5EF4-FFF2-40B4-BE49-F238E27FC236}">
              <a16:creationId xmlns:a16="http://schemas.microsoft.com/office/drawing/2014/main" id="{3A1AE03B-0225-4DB7-A88A-B4C2AA5DF0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938043" y="294760"/>
          <a:ext cx="1276468" cy="577756"/>
        </a:xfrm>
        <a:prstGeom prst="rect">
          <a:avLst/>
        </a:prstGeom>
      </xdr:spPr>
    </xdr:pic>
    <xdr:clientData/>
  </xdr:oneCellAnchor>
  <xdr:oneCellAnchor>
    <xdr:from>
      <xdr:col>13</xdr:col>
      <xdr:colOff>2417042</xdr:colOff>
      <xdr:row>201</xdr:row>
      <xdr:rowOff>95250</xdr:rowOff>
    </xdr:from>
    <xdr:ext cx="1830042" cy="506889"/>
    <xdr:pic>
      <xdr:nvPicPr>
        <xdr:cNvPr id="21" name="Imagem 3">
          <a:extLst>
            <a:ext uri="{FF2B5EF4-FFF2-40B4-BE49-F238E27FC236}">
              <a16:creationId xmlns:a16="http://schemas.microsoft.com/office/drawing/2014/main" id="{6965ADAB-267D-4F39-81EB-F321E6E480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276792" y="71342250"/>
          <a:ext cx="1830042" cy="5068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12</xdr:col>
      <xdr:colOff>1073110</xdr:colOff>
      <xdr:row>204</xdr:row>
      <xdr:rowOff>176893</xdr:rowOff>
    </xdr:from>
    <xdr:ext cx="1836392" cy="503714"/>
    <xdr:pic>
      <xdr:nvPicPr>
        <xdr:cNvPr id="22" name="Imagem 3">
          <a:extLst>
            <a:ext uri="{FF2B5EF4-FFF2-40B4-BE49-F238E27FC236}">
              <a16:creationId xmlns:a16="http://schemas.microsoft.com/office/drawing/2014/main" id="{D89A5C57-4662-4ED0-B91E-B30E1A3F4C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667396" y="72240322"/>
          <a:ext cx="1836392" cy="503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13</xdr:col>
      <xdr:colOff>1138765</xdr:colOff>
      <xdr:row>170</xdr:row>
      <xdr:rowOff>204107</xdr:rowOff>
    </xdr:from>
    <xdr:ext cx="1276468" cy="577756"/>
    <xdr:pic>
      <xdr:nvPicPr>
        <xdr:cNvPr id="23" name="Imagem 22" descr="Ícone&#10;&#10;Descrição gerada automaticamente">
          <a:extLst>
            <a:ext uri="{FF2B5EF4-FFF2-40B4-BE49-F238E27FC236}">
              <a16:creationId xmlns:a16="http://schemas.microsoft.com/office/drawing/2014/main" id="{5A376B73-1074-41B4-A957-98001D3227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998515" y="70866000"/>
          <a:ext cx="1276468" cy="577756"/>
        </a:xfrm>
        <a:prstGeom prst="rect">
          <a:avLst/>
        </a:prstGeom>
      </xdr:spPr>
    </xdr:pic>
    <xdr:clientData/>
  </xdr:oneCellAnchor>
  <xdr:twoCellAnchor editAs="oneCell">
    <xdr:from>
      <xdr:col>1</xdr:col>
      <xdr:colOff>56030</xdr:colOff>
      <xdr:row>0</xdr:row>
      <xdr:rowOff>56030</xdr:rowOff>
    </xdr:from>
    <xdr:to>
      <xdr:col>1</xdr:col>
      <xdr:colOff>2619121</xdr:colOff>
      <xdr:row>2</xdr:row>
      <xdr:rowOff>254684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279E267B-4898-3F58-02FD-5F7119E49E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295" y="56030"/>
          <a:ext cx="2563091" cy="736536"/>
        </a:xfrm>
        <a:prstGeom prst="rect">
          <a:avLst/>
        </a:prstGeom>
      </xdr:spPr>
    </xdr:pic>
    <xdr:clientData/>
  </xdr:twoCellAnchor>
  <xdr:twoCellAnchor editAs="oneCell">
    <xdr:from>
      <xdr:col>1</xdr:col>
      <xdr:colOff>56030</xdr:colOff>
      <xdr:row>36</xdr:row>
      <xdr:rowOff>56030</xdr:rowOff>
    </xdr:from>
    <xdr:to>
      <xdr:col>1</xdr:col>
      <xdr:colOff>2619121</xdr:colOff>
      <xdr:row>38</xdr:row>
      <xdr:rowOff>165037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6B65FC73-33A3-411D-8F0D-A9312AD31F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295" y="16730383"/>
          <a:ext cx="2563091" cy="736536"/>
        </a:xfrm>
        <a:prstGeom prst="rect">
          <a:avLst/>
        </a:prstGeom>
      </xdr:spPr>
    </xdr:pic>
    <xdr:clientData/>
  </xdr:twoCellAnchor>
  <xdr:twoCellAnchor editAs="oneCell">
    <xdr:from>
      <xdr:col>1</xdr:col>
      <xdr:colOff>56030</xdr:colOff>
      <xdr:row>71</xdr:row>
      <xdr:rowOff>56030</xdr:rowOff>
    </xdr:from>
    <xdr:to>
      <xdr:col>1</xdr:col>
      <xdr:colOff>2619121</xdr:colOff>
      <xdr:row>73</xdr:row>
      <xdr:rowOff>254684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E80F5491-AB99-46A2-87AC-147BB506E4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295" y="34839089"/>
          <a:ext cx="2563091" cy="736536"/>
        </a:xfrm>
        <a:prstGeom prst="rect">
          <a:avLst/>
        </a:prstGeom>
      </xdr:spPr>
    </xdr:pic>
    <xdr:clientData/>
  </xdr:twoCellAnchor>
  <xdr:twoCellAnchor editAs="oneCell">
    <xdr:from>
      <xdr:col>1</xdr:col>
      <xdr:colOff>56030</xdr:colOff>
      <xdr:row>116</xdr:row>
      <xdr:rowOff>56030</xdr:rowOff>
    </xdr:from>
    <xdr:to>
      <xdr:col>1</xdr:col>
      <xdr:colOff>2619121</xdr:colOff>
      <xdr:row>118</xdr:row>
      <xdr:rowOff>254683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170822FB-CCF5-4E13-94EF-F533EAF4EB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295" y="56802618"/>
          <a:ext cx="2563091" cy="7365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488950</xdr:colOff>
          <xdr:row>17</xdr:row>
          <xdr:rowOff>50800</xdr:rowOff>
        </xdr:from>
        <xdr:to>
          <xdr:col>21</xdr:col>
          <xdr:colOff>565150</xdr:colOff>
          <xdr:row>19</xdr:row>
          <xdr:rowOff>31750</xdr:rowOff>
        </xdr:to>
        <xdr:sp macro="" textlink="">
          <xdr:nvSpPr>
            <xdr:cNvPr id="264843" name="CheckBox3" hidden="1">
              <a:extLst>
                <a:ext uri="{63B3BB69-23CF-44E3-9099-C40C66FF867C}">
                  <a14:compatExt spid="_x0000_s264843"/>
                </a:ext>
                <a:ext uri="{FF2B5EF4-FFF2-40B4-BE49-F238E27FC236}">
                  <a16:creationId xmlns:a16="http://schemas.microsoft.com/office/drawing/2014/main" id="{00000000-0008-0000-0100-00008B0A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103065</xdr:colOff>
      <xdr:row>0</xdr:row>
      <xdr:rowOff>67408</xdr:rowOff>
    </xdr:from>
    <xdr:to>
      <xdr:col>2</xdr:col>
      <xdr:colOff>135352</xdr:colOff>
      <xdr:row>2</xdr:row>
      <xdr:rowOff>95175</xdr:rowOff>
    </xdr:to>
    <xdr:pic>
      <xdr:nvPicPr>
        <xdr:cNvPr id="272696" name="Imagem 3">
          <a:extLst>
            <a:ext uri="{FF2B5EF4-FFF2-40B4-BE49-F238E27FC236}">
              <a16:creationId xmlns:a16="http://schemas.microsoft.com/office/drawing/2014/main" id="{00000000-0008-0000-0100-00003829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7623" y="67408"/>
          <a:ext cx="1709859" cy="47470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14</xdr:col>
      <xdr:colOff>14654</xdr:colOff>
      <xdr:row>0</xdr:row>
      <xdr:rowOff>21981</xdr:rowOff>
    </xdr:from>
    <xdr:to>
      <xdr:col>15</xdr:col>
      <xdr:colOff>360356</xdr:colOff>
      <xdr:row>2</xdr:row>
      <xdr:rowOff>40535</xdr:rowOff>
    </xdr:to>
    <xdr:pic>
      <xdr:nvPicPr>
        <xdr:cNvPr id="2" name="Imagem 1" descr="Ícone&#10;&#10;Descrição gerada automaticament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93673" y="21981"/>
          <a:ext cx="1041760" cy="465496"/>
        </a:xfrm>
        <a:prstGeom prst="rect">
          <a:avLst/>
        </a:prstGeom>
      </xdr:spPr>
    </xdr:pic>
    <xdr:clientData/>
  </xdr:twoCellAnchor>
  <xdr:twoCellAnchor editAs="oneCell">
    <xdr:from>
      <xdr:col>13</xdr:col>
      <xdr:colOff>29308</xdr:colOff>
      <xdr:row>0</xdr:row>
      <xdr:rowOff>95250</xdr:rowOff>
    </xdr:from>
    <xdr:to>
      <xdr:col>15</xdr:col>
      <xdr:colOff>330756</xdr:colOff>
      <xdr:row>2</xdr:row>
      <xdr:rowOff>200056</xdr:rowOff>
    </xdr:to>
    <xdr:pic>
      <xdr:nvPicPr>
        <xdr:cNvPr id="3" name="Imagem 2" descr="Ícone&#10;&#10;Descrição gerada automaticamente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330712" y="95250"/>
          <a:ext cx="1261275" cy="551748"/>
        </a:xfrm>
        <a:prstGeom prst="rect">
          <a:avLst/>
        </a:prstGeom>
      </xdr:spPr>
    </xdr:pic>
    <xdr:clientData/>
  </xdr:twoCellAnchor>
  <xdr:twoCellAnchor editAs="oneCell">
    <xdr:from>
      <xdr:col>17</xdr:col>
      <xdr:colOff>212481</xdr:colOff>
      <xdr:row>0</xdr:row>
      <xdr:rowOff>87924</xdr:rowOff>
    </xdr:from>
    <xdr:to>
      <xdr:col>31</xdr:col>
      <xdr:colOff>49826</xdr:colOff>
      <xdr:row>15</xdr:row>
      <xdr:rowOff>181525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CE20A1CD-1884-1169-95EC-36621F4410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45212" y="87924"/>
          <a:ext cx="7743095" cy="31919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466725</xdr:colOff>
      <xdr:row>0</xdr:row>
      <xdr:rowOff>57150</xdr:rowOff>
    </xdr:from>
    <xdr:to>
      <xdr:col>15</xdr:col>
      <xdr:colOff>304800</xdr:colOff>
      <xdr:row>3</xdr:row>
      <xdr:rowOff>0</xdr:rowOff>
    </xdr:to>
    <xdr:pic>
      <xdr:nvPicPr>
        <xdr:cNvPr id="273705" name="Picture 9" descr="DOG - ODS Logo.tif">
          <a:extLst>
            <a:ext uri="{FF2B5EF4-FFF2-40B4-BE49-F238E27FC236}">
              <a16:creationId xmlns:a16="http://schemas.microsoft.com/office/drawing/2014/main" id="{00000000-0008-0000-0200-0000292D04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57150"/>
          <a:ext cx="1228725" cy="552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76200</xdr:colOff>
      <xdr:row>0</xdr:row>
      <xdr:rowOff>47625</xdr:rowOff>
    </xdr:from>
    <xdr:to>
      <xdr:col>4</xdr:col>
      <xdr:colOff>38100</xdr:colOff>
      <xdr:row>3</xdr:row>
      <xdr:rowOff>133350</xdr:rowOff>
    </xdr:to>
    <xdr:pic>
      <xdr:nvPicPr>
        <xdr:cNvPr id="273706" name="Imagem 3">
          <a:extLst>
            <a:ext uri="{FF2B5EF4-FFF2-40B4-BE49-F238E27FC236}">
              <a16:creationId xmlns:a16="http://schemas.microsoft.com/office/drawing/2014/main" id="{00000000-0008-0000-0200-00002A2D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47625"/>
          <a:ext cx="2457450" cy="695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13</xdr:col>
      <xdr:colOff>447261</xdr:colOff>
      <xdr:row>0</xdr:row>
      <xdr:rowOff>57978</xdr:rowOff>
    </xdr:from>
    <xdr:to>
      <xdr:col>15</xdr:col>
      <xdr:colOff>324678</xdr:colOff>
      <xdr:row>3</xdr:row>
      <xdr:rowOff>10120</xdr:rowOff>
    </xdr:to>
    <xdr:pic>
      <xdr:nvPicPr>
        <xdr:cNvPr id="2" name="Imagem 1" descr="Ícone&#10;&#10;Descrição gerada automaticamen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564218" y="57978"/>
          <a:ext cx="1268895" cy="56698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333375</xdr:colOff>
      <xdr:row>3</xdr:row>
      <xdr:rowOff>600075</xdr:rowOff>
    </xdr:from>
    <xdr:to>
      <xdr:col>2</xdr:col>
      <xdr:colOff>0</xdr:colOff>
      <xdr:row>3</xdr:row>
      <xdr:rowOff>933450</xdr:rowOff>
    </xdr:to>
    <xdr:sp macro="" textlink="">
      <xdr:nvSpPr>
        <xdr:cNvPr id="270832" name="Text Box 28">
          <a:extLst>
            <a:ext uri="{FF2B5EF4-FFF2-40B4-BE49-F238E27FC236}">
              <a16:creationId xmlns:a16="http://schemas.microsoft.com/office/drawing/2014/main" id="{00000000-0008-0000-0300-0000F0210400}"/>
            </a:ext>
          </a:extLst>
        </xdr:cNvPr>
        <xdr:cNvSpPr txBox="1">
          <a:spLocks noChangeArrowheads="1"/>
        </xdr:cNvSpPr>
      </xdr:nvSpPr>
      <xdr:spPr bwMode="auto">
        <a:xfrm>
          <a:off x="457200" y="771525"/>
          <a:ext cx="15144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13</xdr:col>
      <xdr:colOff>447675</xdr:colOff>
      <xdr:row>0</xdr:row>
      <xdr:rowOff>66675</xdr:rowOff>
    </xdr:from>
    <xdr:to>
      <xdr:col>15</xdr:col>
      <xdr:colOff>241300</xdr:colOff>
      <xdr:row>3</xdr:row>
      <xdr:rowOff>0</xdr:rowOff>
    </xdr:to>
    <xdr:pic>
      <xdr:nvPicPr>
        <xdr:cNvPr id="270833" name="Picture 9" descr="DOG - ODS Logo.tif">
          <a:extLst>
            <a:ext uri="{FF2B5EF4-FFF2-40B4-BE49-F238E27FC236}">
              <a16:creationId xmlns:a16="http://schemas.microsoft.com/office/drawing/2014/main" id="{00000000-0008-0000-0300-0000F12104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66675"/>
          <a:ext cx="1228725" cy="542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57150</xdr:colOff>
      <xdr:row>0</xdr:row>
      <xdr:rowOff>57150</xdr:rowOff>
    </xdr:from>
    <xdr:to>
      <xdr:col>3</xdr:col>
      <xdr:colOff>88900</xdr:colOff>
      <xdr:row>3</xdr:row>
      <xdr:rowOff>114300</xdr:rowOff>
    </xdr:to>
    <xdr:pic>
      <xdr:nvPicPr>
        <xdr:cNvPr id="270834" name="Imagem 3">
          <a:extLst>
            <a:ext uri="{FF2B5EF4-FFF2-40B4-BE49-F238E27FC236}">
              <a16:creationId xmlns:a16="http://schemas.microsoft.com/office/drawing/2014/main" id="{00000000-0008-0000-0300-0000F221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57150"/>
          <a:ext cx="2381250" cy="666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13</xdr:col>
      <xdr:colOff>430694</xdr:colOff>
      <xdr:row>0</xdr:row>
      <xdr:rowOff>66261</xdr:rowOff>
    </xdr:from>
    <xdr:to>
      <xdr:col>15</xdr:col>
      <xdr:colOff>261590</xdr:colOff>
      <xdr:row>3</xdr:row>
      <xdr:rowOff>15228</xdr:rowOff>
    </xdr:to>
    <xdr:pic>
      <xdr:nvPicPr>
        <xdr:cNvPr id="2" name="Imagem 1" descr="Ícone&#10;&#10;Descrição gerada automaticament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713303" y="66261"/>
          <a:ext cx="1268895" cy="566988"/>
        </a:xfrm>
        <a:prstGeom prst="rect">
          <a:avLst/>
        </a:prstGeom>
      </xdr:spPr>
    </xdr:pic>
    <xdr:clientData/>
  </xdr:twoCellAnchor>
  <xdr:twoCellAnchor editAs="oneCell">
    <xdr:from>
      <xdr:col>17</xdr:col>
      <xdr:colOff>266700</xdr:colOff>
      <xdr:row>75</xdr:row>
      <xdr:rowOff>66675</xdr:rowOff>
    </xdr:from>
    <xdr:to>
      <xdr:col>19</xdr:col>
      <xdr:colOff>1549859</xdr:colOff>
      <xdr:row>80</xdr:row>
      <xdr:rowOff>6443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6F986301-1D8F-46EF-8214-4DF3DD24D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925175" y="10401300"/>
          <a:ext cx="3292934" cy="673193"/>
        </a:xfrm>
        <a:prstGeom prst="rect">
          <a:avLst/>
        </a:prstGeom>
      </xdr:spPr>
    </xdr:pic>
    <xdr:clientData/>
  </xdr:twoCellAnchor>
  <xdr:twoCellAnchor editAs="oneCell">
    <xdr:from>
      <xdr:col>17</xdr:col>
      <xdr:colOff>257175</xdr:colOff>
      <xdr:row>79</xdr:row>
      <xdr:rowOff>161925</xdr:rowOff>
    </xdr:from>
    <xdr:to>
      <xdr:col>19</xdr:col>
      <xdr:colOff>1305352</xdr:colOff>
      <xdr:row>86</xdr:row>
      <xdr:rowOff>108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374C5BB6-A968-483B-9024-8C6953641F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915650" y="11144250"/>
          <a:ext cx="3057952" cy="771633"/>
        </a:xfrm>
        <a:prstGeom prst="rect">
          <a:avLst/>
        </a:prstGeom>
      </xdr:spPr>
    </xdr:pic>
    <xdr:clientData/>
  </xdr:twoCellAnchor>
  <xdr:twoCellAnchor editAs="oneCell">
    <xdr:from>
      <xdr:col>17</xdr:col>
      <xdr:colOff>257175</xdr:colOff>
      <xdr:row>84</xdr:row>
      <xdr:rowOff>114300</xdr:rowOff>
    </xdr:from>
    <xdr:to>
      <xdr:col>20</xdr:col>
      <xdr:colOff>102076</xdr:colOff>
      <xdr:row>119</xdr:row>
      <xdr:rowOff>57268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440591A7-AA8A-4606-8462-7092B5E1A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915650" y="11991975"/>
          <a:ext cx="3416776" cy="847843"/>
        </a:xfrm>
        <a:prstGeom prst="rect">
          <a:avLst/>
        </a:prstGeom>
      </xdr:spPr>
    </xdr:pic>
    <xdr:clientData/>
  </xdr:twoCellAnchor>
  <xdr:twoCellAnchor editAs="oneCell">
    <xdr:from>
      <xdr:col>17</xdr:col>
      <xdr:colOff>257175</xdr:colOff>
      <xdr:row>89</xdr:row>
      <xdr:rowOff>133350</xdr:rowOff>
    </xdr:from>
    <xdr:to>
      <xdr:col>19</xdr:col>
      <xdr:colOff>1438720</xdr:colOff>
      <xdr:row>122</xdr:row>
      <xdr:rowOff>58092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EA4F0403-D581-426B-A50F-C5DA9E2C7C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915650" y="12934950"/>
          <a:ext cx="3191320" cy="80973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</xdr:colOff>
      <xdr:row>0</xdr:row>
      <xdr:rowOff>57150</xdr:rowOff>
    </xdr:from>
    <xdr:to>
      <xdr:col>3</xdr:col>
      <xdr:colOff>342900</xdr:colOff>
      <xdr:row>3</xdr:row>
      <xdr:rowOff>210185</xdr:rowOff>
    </xdr:to>
    <xdr:pic>
      <xdr:nvPicPr>
        <xdr:cNvPr id="274727" name="Imagem 3">
          <a:extLst>
            <a:ext uri="{FF2B5EF4-FFF2-40B4-BE49-F238E27FC236}">
              <a16:creationId xmlns:a16="http://schemas.microsoft.com/office/drawing/2014/main" id="{00000000-0008-0000-0400-00002731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57150"/>
          <a:ext cx="2381250" cy="666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16</xdr:col>
      <xdr:colOff>836543</xdr:colOff>
      <xdr:row>0</xdr:row>
      <xdr:rowOff>91109</xdr:rowOff>
    </xdr:from>
    <xdr:to>
      <xdr:col>18</xdr:col>
      <xdr:colOff>441296</xdr:colOff>
      <xdr:row>3</xdr:row>
      <xdr:rowOff>131820</xdr:rowOff>
    </xdr:to>
    <xdr:pic>
      <xdr:nvPicPr>
        <xdr:cNvPr id="2" name="Imagem 1" descr="Ícone&#10;&#10;Descrição gerada automaticament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83217" y="91109"/>
          <a:ext cx="1268895" cy="56698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0</xdr:row>
      <xdr:rowOff>63500</xdr:rowOff>
    </xdr:from>
    <xdr:to>
      <xdr:col>1</xdr:col>
      <xdr:colOff>905062</xdr:colOff>
      <xdr:row>2</xdr:row>
      <xdr:rowOff>130175</xdr:rowOff>
    </xdr:to>
    <xdr:pic>
      <xdr:nvPicPr>
        <xdr:cNvPr id="3" name="Imagem 3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63500"/>
          <a:ext cx="1921062" cy="463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361950</xdr:colOff>
      <xdr:row>0</xdr:row>
      <xdr:rowOff>19050</xdr:rowOff>
    </xdr:from>
    <xdr:to>
      <xdr:col>8</xdr:col>
      <xdr:colOff>1057275</xdr:colOff>
      <xdr:row>3</xdr:row>
      <xdr:rowOff>48880</xdr:rowOff>
    </xdr:to>
    <xdr:pic>
      <xdr:nvPicPr>
        <xdr:cNvPr id="4" name="Imagem 3" descr="Ícone&#10;&#10;Descrição gerada automaticamente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10325" y="19050"/>
          <a:ext cx="1409700" cy="62990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35558" cy="6004152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EE2D9CD-D8A6-B015-49E8-F76634B2263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0.22672</cdr:x>
      <cdr:y>0.04561</cdr:y>
    </cdr:from>
    <cdr:to>
      <cdr:x>0.81486</cdr:x>
      <cdr:y>0.15984</cdr:y>
    </cdr:to>
    <cdr:sp macro="" textlink="">
      <cdr:nvSpPr>
        <cdr:cNvPr id="12293" name="Text Box 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085976" y="256333"/>
          <a:ext cx="5410200" cy="6419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18288" tIns="22860" rIns="0" bIns="0" anchor="t" upright="1">
          <a:no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pt-BR" sz="1600" b="1" i="0" u="none" strike="noStrike" baseline="0">
              <a:solidFill>
                <a:srgbClr val="000000"/>
              </a:solidFill>
              <a:latin typeface="+mn-lt"/>
              <a:cs typeface="Arial"/>
            </a:rPr>
            <a:t>Gráfico da incerteza do sistema de medição - Placa de orifício</a:t>
          </a:r>
        </a:p>
        <a:p xmlns:a="http://schemas.openxmlformats.org/drawingml/2006/main">
          <a:pPr algn="ctr" rtl="0">
            <a:defRPr sz="1000"/>
          </a:pPr>
          <a:r>
            <a:rPr lang="pt-BR" sz="1600" b="1" i="0" u="none" strike="noStrike" baseline="0">
              <a:solidFill>
                <a:srgbClr val="000000"/>
              </a:solidFill>
              <a:latin typeface="+mn-lt"/>
              <a:cs typeface="Arial"/>
            </a:rPr>
            <a:t>Orifice Plate metering system uncertainty graphic</a:t>
          </a:r>
        </a:p>
      </cdr:txBody>
    </cdr:sp>
  </cdr:relSizeAnchor>
  <cdr:relSizeAnchor xmlns:cdr="http://schemas.openxmlformats.org/drawingml/2006/chartDrawing">
    <cdr:from>
      <cdr:x>0.00552</cdr:x>
      <cdr:y>0.00898</cdr:y>
    </cdr:from>
    <cdr:to>
      <cdr:x>0.21774</cdr:x>
      <cdr:y>0.10606</cdr:y>
    </cdr:to>
    <cdr:pic>
      <cdr:nvPicPr>
        <cdr:cNvPr id="5" name="Imagem 4">
          <a:extLst xmlns:a="http://schemas.openxmlformats.org/drawingml/2006/main">
            <a:ext uri="{FF2B5EF4-FFF2-40B4-BE49-F238E27FC236}">
              <a16:creationId xmlns:a16="http://schemas.microsoft.com/office/drawing/2014/main" id="{9C0E1C0C-6211-4006-9CE1-C67FE0096D3B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/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50800" y="50800"/>
          <a:ext cx="1954696" cy="54927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</cdr:pic>
  </cdr:relSizeAnchor>
  <cdr:relSizeAnchor xmlns:cdr="http://schemas.openxmlformats.org/drawingml/2006/chartDrawing">
    <cdr:from>
      <cdr:x>0.84936</cdr:x>
      <cdr:y>0.02413</cdr:y>
    </cdr:from>
    <cdr:to>
      <cdr:x>0.98713</cdr:x>
      <cdr:y>0.12434</cdr:y>
    </cdr:to>
    <cdr:pic>
      <cdr:nvPicPr>
        <cdr:cNvPr id="2" name="Imagem 1" descr="Ícone&#10;&#10;Descrição gerada automaticamente">
          <a:extLst xmlns:a="http://schemas.openxmlformats.org/drawingml/2006/main">
            <a:ext uri="{FF2B5EF4-FFF2-40B4-BE49-F238E27FC236}">
              <a16:creationId xmlns:a16="http://schemas.microsoft.com/office/drawing/2014/main" id="{00000000-0008-0000-0000-00000200000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>
          <a:off x="7823200" y="136525"/>
          <a:ext cx="1268895" cy="566988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210675" cy="5657850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0.22672</cdr:x>
      <cdr:y>0.04561</cdr:y>
    </cdr:from>
    <cdr:to>
      <cdr:x>0.81486</cdr:x>
      <cdr:y>0.15984</cdr:y>
    </cdr:to>
    <cdr:sp macro="" textlink="">
      <cdr:nvSpPr>
        <cdr:cNvPr id="12293" name="Text Box 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085976" y="256333"/>
          <a:ext cx="5410200" cy="6419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18288" tIns="22860" rIns="0" bIns="0" anchor="t" upright="1">
          <a:no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pt-BR" sz="1600" b="1" i="0" u="none" strike="noStrike" baseline="0">
              <a:solidFill>
                <a:srgbClr val="000000"/>
              </a:solidFill>
              <a:latin typeface="+mn-lt"/>
              <a:cs typeface="Arial"/>
            </a:rPr>
            <a:t>Gráfico da incerteza do sistema de medição - Placa de orifício</a:t>
          </a:r>
        </a:p>
        <a:p xmlns:a="http://schemas.openxmlformats.org/drawingml/2006/main">
          <a:pPr algn="ctr" rtl="0">
            <a:defRPr sz="1000"/>
          </a:pPr>
          <a:r>
            <a:rPr lang="pt-BR" sz="1600" b="1" i="0" u="none" strike="noStrike" baseline="0">
              <a:solidFill>
                <a:srgbClr val="000000"/>
              </a:solidFill>
              <a:latin typeface="+mn-lt"/>
              <a:cs typeface="Arial"/>
            </a:rPr>
            <a:t>Orifice Plate metering system uncertainty graphic</a:t>
          </a:r>
        </a:p>
      </cdr:txBody>
    </cdr:sp>
  </cdr:relSizeAnchor>
  <cdr:relSizeAnchor xmlns:cdr="http://schemas.openxmlformats.org/drawingml/2006/chartDrawing">
    <cdr:from>
      <cdr:x>0.00552</cdr:x>
      <cdr:y>0.00898</cdr:y>
    </cdr:from>
    <cdr:to>
      <cdr:x>0.21774</cdr:x>
      <cdr:y>0.10606</cdr:y>
    </cdr:to>
    <cdr:pic>
      <cdr:nvPicPr>
        <cdr:cNvPr id="5" name="Imagem 4">
          <a:extLst xmlns:a="http://schemas.openxmlformats.org/drawingml/2006/main">
            <a:ext uri="{FF2B5EF4-FFF2-40B4-BE49-F238E27FC236}">
              <a16:creationId xmlns:a16="http://schemas.microsoft.com/office/drawing/2014/main" id="{9C0E1C0C-6211-4006-9CE1-C67FE0096D3B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/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50800" y="50800"/>
          <a:ext cx="1954696" cy="54927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</cdr:pic>
  </cdr:relSizeAnchor>
  <cdr:relSizeAnchor xmlns:cdr="http://schemas.openxmlformats.org/drawingml/2006/chartDrawing">
    <cdr:from>
      <cdr:x>0.84936</cdr:x>
      <cdr:y>0.02413</cdr:y>
    </cdr:from>
    <cdr:to>
      <cdr:x>0.98713</cdr:x>
      <cdr:y>0.12434</cdr:y>
    </cdr:to>
    <cdr:pic>
      <cdr:nvPicPr>
        <cdr:cNvPr id="2" name="Imagem 1" descr="Ícone&#10;&#10;Descrição gerada automaticamente">
          <a:extLst xmlns:a="http://schemas.openxmlformats.org/drawingml/2006/main">
            <a:ext uri="{FF2B5EF4-FFF2-40B4-BE49-F238E27FC236}">
              <a16:creationId xmlns:a16="http://schemas.microsoft.com/office/drawing/2014/main" id="{00000000-0008-0000-0000-00000200000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>
          <a:off x="7823200" y="136525"/>
          <a:ext cx="1268895" cy="566988"/>
        </a:xfrm>
        <a:prstGeom xmlns:a="http://schemas.openxmlformats.org/drawingml/2006/main" prst="rect">
          <a:avLst/>
        </a:prstGeom>
      </cdr:spPr>
    </cdr:pic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210675" cy="5657850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A37C699-6945-F58A-5214-792D1813025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0.22672</cdr:x>
      <cdr:y>0.04561</cdr:y>
    </cdr:from>
    <cdr:to>
      <cdr:x>0.81486</cdr:x>
      <cdr:y>0.15984</cdr:y>
    </cdr:to>
    <cdr:sp macro="" textlink="">
      <cdr:nvSpPr>
        <cdr:cNvPr id="12293" name="Text Box 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085976" y="256333"/>
          <a:ext cx="5410200" cy="6419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18288" tIns="22860" rIns="0" bIns="0" anchor="t" upright="1">
          <a:no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pt-BR" sz="1600" b="1" i="0" u="none" strike="noStrike" baseline="0">
              <a:solidFill>
                <a:srgbClr val="000000"/>
              </a:solidFill>
              <a:latin typeface="+mn-lt"/>
              <a:cs typeface="Arial"/>
            </a:rPr>
            <a:t>Gráfico da incerteza do sistema de medição - Placa de orifício</a:t>
          </a:r>
        </a:p>
        <a:p xmlns:a="http://schemas.openxmlformats.org/drawingml/2006/main">
          <a:pPr algn="ctr" rtl="0">
            <a:defRPr sz="1000"/>
          </a:pPr>
          <a:r>
            <a:rPr lang="pt-BR" sz="1600" b="1" i="0" u="none" strike="noStrike" baseline="0">
              <a:solidFill>
                <a:srgbClr val="000000"/>
              </a:solidFill>
              <a:latin typeface="+mn-lt"/>
              <a:cs typeface="Arial"/>
            </a:rPr>
            <a:t>Orifice Plate metering system uncertainty graphic</a:t>
          </a:r>
        </a:p>
      </cdr:txBody>
    </cdr:sp>
  </cdr:relSizeAnchor>
  <cdr:relSizeAnchor xmlns:cdr="http://schemas.openxmlformats.org/drawingml/2006/chartDrawing">
    <cdr:from>
      <cdr:x>0.00552</cdr:x>
      <cdr:y>0.00898</cdr:y>
    </cdr:from>
    <cdr:to>
      <cdr:x>0.21774</cdr:x>
      <cdr:y>0.10606</cdr:y>
    </cdr:to>
    <cdr:pic>
      <cdr:nvPicPr>
        <cdr:cNvPr id="5" name="Imagem 4">
          <a:extLst xmlns:a="http://schemas.openxmlformats.org/drawingml/2006/main">
            <a:ext uri="{FF2B5EF4-FFF2-40B4-BE49-F238E27FC236}">
              <a16:creationId xmlns:a16="http://schemas.microsoft.com/office/drawing/2014/main" id="{9C0E1C0C-6211-4006-9CE1-C67FE0096D3B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/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50800" y="50800"/>
          <a:ext cx="1954696" cy="54927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</cdr:pic>
  </cdr:relSizeAnchor>
  <cdr:relSizeAnchor xmlns:cdr="http://schemas.openxmlformats.org/drawingml/2006/chartDrawing">
    <cdr:from>
      <cdr:x>0.84936</cdr:x>
      <cdr:y>0.02413</cdr:y>
    </cdr:from>
    <cdr:to>
      <cdr:x>0.98713</cdr:x>
      <cdr:y>0.12434</cdr:y>
    </cdr:to>
    <cdr:pic>
      <cdr:nvPicPr>
        <cdr:cNvPr id="2" name="Imagem 1" descr="Ícone&#10;&#10;Descrição gerada automaticamente">
          <a:extLst xmlns:a="http://schemas.openxmlformats.org/drawingml/2006/main">
            <a:ext uri="{FF2B5EF4-FFF2-40B4-BE49-F238E27FC236}">
              <a16:creationId xmlns:a16="http://schemas.microsoft.com/office/drawing/2014/main" id="{00000000-0008-0000-0000-00000200000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>
          <a:off x="7823200" y="136525"/>
          <a:ext cx="1268895" cy="566988"/>
        </a:xfrm>
        <a:prstGeom xmlns:a="http://schemas.openxmlformats.org/drawingml/2006/main" prst="rect">
          <a:avLst/>
        </a:prstGeom>
      </cdr:spPr>
    </cdr:pic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10675" cy="5657850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0.22672</cdr:x>
      <cdr:y>0.04561</cdr:y>
    </cdr:from>
    <cdr:to>
      <cdr:x>0.81486</cdr:x>
      <cdr:y>0.15984</cdr:y>
    </cdr:to>
    <cdr:sp macro="" textlink="">
      <cdr:nvSpPr>
        <cdr:cNvPr id="12293" name="Text Box 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085976" y="256333"/>
          <a:ext cx="5410200" cy="6419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18288" tIns="22860" rIns="0" bIns="0" anchor="t" upright="1">
          <a:no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pt-BR" sz="1600" b="1" i="0" u="none" strike="noStrike" baseline="0">
              <a:solidFill>
                <a:srgbClr val="000000"/>
              </a:solidFill>
              <a:latin typeface="+mn-lt"/>
              <a:cs typeface="Arial"/>
            </a:rPr>
            <a:t>Gráfico da incerteza do sistema de medição - Placa de orifício</a:t>
          </a:r>
        </a:p>
        <a:p xmlns:a="http://schemas.openxmlformats.org/drawingml/2006/main">
          <a:pPr algn="ctr" rtl="0">
            <a:defRPr sz="1000"/>
          </a:pPr>
          <a:r>
            <a:rPr lang="pt-BR" sz="1600" b="1" i="0" u="none" strike="noStrike" baseline="0">
              <a:solidFill>
                <a:srgbClr val="000000"/>
              </a:solidFill>
              <a:latin typeface="+mn-lt"/>
              <a:cs typeface="Arial"/>
            </a:rPr>
            <a:t>Orifice Plate metering system uncertainty graphic</a:t>
          </a:r>
        </a:p>
      </cdr:txBody>
    </cdr:sp>
  </cdr:relSizeAnchor>
  <cdr:relSizeAnchor xmlns:cdr="http://schemas.openxmlformats.org/drawingml/2006/chartDrawing">
    <cdr:from>
      <cdr:x>0.85109</cdr:x>
      <cdr:y>0.00508</cdr:y>
    </cdr:from>
    <cdr:to>
      <cdr:x>0.98566</cdr:x>
      <cdr:y>0.10279</cdr:y>
    </cdr:to>
    <cdr:pic>
      <cdr:nvPicPr>
        <cdr:cNvPr id="16" name="Picture 15" descr="DOG - ODS Logo.tif">
          <a:extLst xmlns:a="http://schemas.openxmlformats.org/drawingml/2006/main">
            <a:ext uri="{FF2B5EF4-FFF2-40B4-BE49-F238E27FC236}">
              <a16:creationId xmlns:a16="http://schemas.microsoft.com/office/drawing/2014/main" id="{58952759-434E-493D-88BC-216B2119DBB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7839075" y="28575"/>
          <a:ext cx="1239525" cy="54908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0.00552</cdr:x>
      <cdr:y>0.00898</cdr:y>
    </cdr:from>
    <cdr:to>
      <cdr:x>0.21774</cdr:x>
      <cdr:y>0.10606</cdr:y>
    </cdr:to>
    <cdr:pic>
      <cdr:nvPicPr>
        <cdr:cNvPr id="5" name="Imagem 4">
          <a:extLst xmlns:a="http://schemas.openxmlformats.org/drawingml/2006/main">
            <a:ext uri="{FF2B5EF4-FFF2-40B4-BE49-F238E27FC236}">
              <a16:creationId xmlns:a16="http://schemas.microsoft.com/office/drawing/2014/main" id="{9FA925C9-80AF-4902-8BE0-419B62A1692D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2"/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50800" y="50800"/>
          <a:ext cx="1954696" cy="54927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</cdr:pic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46</xdr:row>
          <xdr:rowOff>127000</xdr:rowOff>
        </xdr:from>
        <xdr:to>
          <xdr:col>7</xdr:col>
          <xdr:colOff>438150</xdr:colOff>
          <xdr:row>48</xdr:row>
          <xdr:rowOff>76200</xdr:rowOff>
        </xdr:to>
        <xdr:sp macro="" textlink="">
          <xdr:nvSpPr>
            <xdr:cNvPr id="11300" name="CommandButton2" hidden="1">
              <a:extLst>
                <a:ext uri="{63B3BB69-23CF-44E3-9099-C40C66FF867C}">
                  <a14:compatExt spid="_x0000_s11300"/>
                </a:ext>
                <a:ext uri="{FF2B5EF4-FFF2-40B4-BE49-F238E27FC236}">
                  <a16:creationId xmlns:a16="http://schemas.microsoft.com/office/drawing/2014/main" id="{00000000-0008-0000-0C00-00002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393700</xdr:colOff>
          <xdr:row>17</xdr:row>
          <xdr:rowOff>31750</xdr:rowOff>
        </xdr:from>
        <xdr:to>
          <xdr:col>45</xdr:col>
          <xdr:colOff>450850</xdr:colOff>
          <xdr:row>18</xdr:row>
          <xdr:rowOff>133350</xdr:rowOff>
        </xdr:to>
        <xdr:sp macro="" textlink="">
          <xdr:nvSpPr>
            <xdr:cNvPr id="11302" name="OptionButton1" hidden="1">
              <a:extLst>
                <a:ext uri="{63B3BB69-23CF-44E3-9099-C40C66FF867C}">
                  <a14:compatExt spid="_x0000_s11302"/>
                </a:ext>
                <a:ext uri="{FF2B5EF4-FFF2-40B4-BE49-F238E27FC236}">
                  <a16:creationId xmlns:a16="http://schemas.microsoft.com/office/drawing/2014/main" id="{00000000-0008-0000-0C00-00002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450850</xdr:colOff>
          <xdr:row>18</xdr:row>
          <xdr:rowOff>152400</xdr:rowOff>
        </xdr:from>
        <xdr:to>
          <xdr:col>45</xdr:col>
          <xdr:colOff>508000</xdr:colOff>
          <xdr:row>20</xdr:row>
          <xdr:rowOff>95250</xdr:rowOff>
        </xdr:to>
        <xdr:sp macro="" textlink="">
          <xdr:nvSpPr>
            <xdr:cNvPr id="11303" name="OptionButton2" hidden="1">
              <a:extLst>
                <a:ext uri="{63B3BB69-23CF-44E3-9099-C40C66FF867C}">
                  <a14:compatExt spid="_x0000_s11303"/>
                </a:ext>
                <a:ext uri="{FF2B5EF4-FFF2-40B4-BE49-F238E27FC236}">
                  <a16:creationId xmlns:a16="http://schemas.microsoft.com/office/drawing/2014/main" id="{00000000-0008-0000-0C00-00002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412750</xdr:colOff>
          <xdr:row>21</xdr:row>
          <xdr:rowOff>38100</xdr:rowOff>
        </xdr:from>
        <xdr:to>
          <xdr:col>45</xdr:col>
          <xdr:colOff>469900</xdr:colOff>
          <xdr:row>22</xdr:row>
          <xdr:rowOff>146050</xdr:rowOff>
        </xdr:to>
        <xdr:sp macro="" textlink="">
          <xdr:nvSpPr>
            <xdr:cNvPr id="11304" name="OptionButton3" hidden="1">
              <a:extLst>
                <a:ext uri="{63B3BB69-23CF-44E3-9099-C40C66FF867C}">
                  <a14:compatExt spid="_x0000_s11304"/>
                </a:ext>
                <a:ext uri="{FF2B5EF4-FFF2-40B4-BE49-F238E27FC236}">
                  <a16:creationId xmlns:a16="http://schemas.microsoft.com/office/drawing/2014/main" id="{00000000-0008-0000-0C00-00002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107950</xdr:colOff>
          <xdr:row>26</xdr:row>
          <xdr:rowOff>31750</xdr:rowOff>
        </xdr:from>
        <xdr:to>
          <xdr:col>6</xdr:col>
          <xdr:colOff>565150</xdr:colOff>
          <xdr:row>27</xdr:row>
          <xdr:rowOff>57150</xdr:rowOff>
        </xdr:to>
        <xdr:sp macro="" textlink="">
          <xdr:nvSpPr>
            <xdr:cNvPr id="11339" name="ListBox1" hidden="1">
              <a:extLst>
                <a:ext uri="{63B3BB69-23CF-44E3-9099-C40C66FF867C}">
                  <a14:compatExt spid="_x0000_s11339"/>
                </a:ext>
                <a:ext uri="{FF2B5EF4-FFF2-40B4-BE49-F238E27FC236}">
                  <a16:creationId xmlns:a16="http://schemas.microsoft.com/office/drawing/2014/main" id="{00000000-0008-0000-0C00-00004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39</xdr:row>
          <xdr:rowOff>107950</xdr:rowOff>
        </xdr:from>
        <xdr:to>
          <xdr:col>7</xdr:col>
          <xdr:colOff>438150</xdr:colOff>
          <xdr:row>41</xdr:row>
          <xdr:rowOff>57150</xdr:rowOff>
        </xdr:to>
        <xdr:sp macro="" textlink="">
          <xdr:nvSpPr>
            <xdr:cNvPr id="11340" name="CommandButton1" hidden="1">
              <a:extLst>
                <a:ext uri="{63B3BB69-23CF-44E3-9099-C40C66FF867C}">
                  <a14:compatExt spid="_x0000_s11340"/>
                </a:ext>
                <a:ext uri="{FF2B5EF4-FFF2-40B4-BE49-F238E27FC236}">
                  <a16:creationId xmlns:a16="http://schemas.microsoft.com/office/drawing/2014/main" id="{00000000-0008-0000-0C00-00004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69850</xdr:colOff>
          <xdr:row>36</xdr:row>
          <xdr:rowOff>342900</xdr:rowOff>
        </xdr:from>
        <xdr:to>
          <xdr:col>7</xdr:col>
          <xdr:colOff>31750</xdr:colOff>
          <xdr:row>38</xdr:row>
          <xdr:rowOff>57150</xdr:rowOff>
        </xdr:to>
        <xdr:sp macro="" textlink="">
          <xdr:nvSpPr>
            <xdr:cNvPr id="11341" name="CheckBox1" hidden="1">
              <a:extLst>
                <a:ext uri="{63B3BB69-23CF-44E3-9099-C40C66FF867C}">
                  <a14:compatExt spid="_x0000_s11341"/>
                </a:ext>
                <a:ext uri="{FF2B5EF4-FFF2-40B4-BE49-F238E27FC236}">
                  <a16:creationId xmlns:a16="http://schemas.microsoft.com/office/drawing/2014/main" id="{00000000-0008-0000-0C00-00004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25</xdr:row>
          <xdr:rowOff>31750</xdr:rowOff>
        </xdr:from>
        <xdr:to>
          <xdr:col>7</xdr:col>
          <xdr:colOff>266700</xdr:colOff>
          <xdr:row>28</xdr:row>
          <xdr:rowOff>31750</xdr:rowOff>
        </xdr:to>
        <xdr:sp macro="" textlink="">
          <xdr:nvSpPr>
            <xdr:cNvPr id="11347" name="CommandButton12" hidden="1">
              <a:extLst>
                <a:ext uri="{63B3BB69-23CF-44E3-9099-C40C66FF867C}">
                  <a14:compatExt spid="_x0000_s11347"/>
                </a:ext>
                <a:ext uri="{FF2B5EF4-FFF2-40B4-BE49-F238E27FC236}">
                  <a16:creationId xmlns:a16="http://schemas.microsoft.com/office/drawing/2014/main" id="{00000000-0008-0000-0C00-00005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203200</xdr:colOff>
          <xdr:row>36</xdr:row>
          <xdr:rowOff>336550</xdr:rowOff>
        </xdr:from>
        <xdr:to>
          <xdr:col>15</xdr:col>
          <xdr:colOff>323850</xdr:colOff>
          <xdr:row>38</xdr:row>
          <xdr:rowOff>50800</xdr:rowOff>
        </xdr:to>
        <xdr:sp macro="" textlink="">
          <xdr:nvSpPr>
            <xdr:cNvPr id="11394" name="CheckBox3" hidden="1">
              <a:extLst>
                <a:ext uri="{63B3BB69-23CF-44E3-9099-C40C66FF867C}">
                  <a14:compatExt spid="_x0000_s11394"/>
                </a:ext>
                <a:ext uri="{FF2B5EF4-FFF2-40B4-BE49-F238E27FC236}">
                  <a16:creationId xmlns:a16="http://schemas.microsoft.com/office/drawing/2014/main" id="{00000000-0008-0000-0C00-00008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381000</xdr:colOff>
          <xdr:row>39</xdr:row>
          <xdr:rowOff>107950</xdr:rowOff>
        </xdr:from>
        <xdr:to>
          <xdr:col>15</xdr:col>
          <xdr:colOff>450850</xdr:colOff>
          <xdr:row>41</xdr:row>
          <xdr:rowOff>57150</xdr:rowOff>
        </xdr:to>
        <xdr:sp macro="" textlink="">
          <xdr:nvSpPr>
            <xdr:cNvPr id="11395" name="CommandButton3" hidden="1">
              <a:extLst>
                <a:ext uri="{63B3BB69-23CF-44E3-9099-C40C66FF867C}">
                  <a14:compatExt spid="_x0000_s11395"/>
                </a:ext>
                <a:ext uri="{FF2B5EF4-FFF2-40B4-BE49-F238E27FC236}">
                  <a16:creationId xmlns:a16="http://schemas.microsoft.com/office/drawing/2014/main" id="{00000000-0008-0000-0C00-00008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488950</xdr:colOff>
          <xdr:row>46</xdr:row>
          <xdr:rowOff>127000</xdr:rowOff>
        </xdr:from>
        <xdr:to>
          <xdr:col>15</xdr:col>
          <xdr:colOff>552450</xdr:colOff>
          <xdr:row>48</xdr:row>
          <xdr:rowOff>76200</xdr:rowOff>
        </xdr:to>
        <xdr:sp macro="" textlink="">
          <xdr:nvSpPr>
            <xdr:cNvPr id="11397" name="CommandButton4" hidden="1">
              <a:extLst>
                <a:ext uri="{63B3BB69-23CF-44E3-9099-C40C66FF867C}">
                  <a14:compatExt spid="_x0000_s11397"/>
                </a:ext>
                <a:ext uri="{FF2B5EF4-FFF2-40B4-BE49-F238E27FC236}">
                  <a16:creationId xmlns:a16="http://schemas.microsoft.com/office/drawing/2014/main" id="{00000000-0008-0000-0C00-00008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586740</xdr:colOff>
      <xdr:row>46</xdr:row>
      <xdr:rowOff>97155</xdr:rowOff>
    </xdr:from>
    <xdr:to>
      <xdr:col>3</xdr:col>
      <xdr:colOff>495300</xdr:colOff>
      <xdr:row>49</xdr:row>
      <xdr:rowOff>36195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59133E16-9ACD-F63C-8626-7C622695BC58}"/>
            </a:ext>
          </a:extLst>
        </xdr:cNvPr>
        <xdr:cNvSpPr/>
      </xdr:nvSpPr>
      <xdr:spPr bwMode="auto">
        <a:xfrm>
          <a:off x="1844040" y="4554855"/>
          <a:ext cx="1242060" cy="45339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1028700</xdr:colOff>
      <xdr:row>42</xdr:row>
      <xdr:rowOff>163830</xdr:rowOff>
    </xdr:from>
    <xdr:to>
      <xdr:col>4</xdr:col>
      <xdr:colOff>407670</xdr:colOff>
      <xdr:row>44</xdr:row>
      <xdr:rowOff>125730</xdr:rowOff>
    </xdr:to>
    <xdr:sp macro="[0]!Calc1" textlink="">
      <xdr:nvSpPr>
        <xdr:cNvPr id="2" name="Retângulo 1">
          <a:extLst>
            <a:ext uri="{FF2B5EF4-FFF2-40B4-BE49-F238E27FC236}">
              <a16:creationId xmlns:a16="http://schemas.microsoft.com/office/drawing/2014/main" id="{4353FB71-24EB-AE59-CDDA-F09AE28910B1}"/>
            </a:ext>
          </a:extLst>
        </xdr:cNvPr>
        <xdr:cNvSpPr/>
      </xdr:nvSpPr>
      <xdr:spPr bwMode="auto">
        <a:xfrm>
          <a:off x="3619500" y="3935730"/>
          <a:ext cx="922020" cy="304800"/>
        </a:xfrm>
        <a:prstGeom prst="rect">
          <a:avLst/>
        </a:prstGeom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r>
            <a:rPr lang="pt-BR" sz="1100"/>
            <a:t>   Calc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603250</xdr:colOff>
          <xdr:row>46</xdr:row>
          <xdr:rowOff>127000</xdr:rowOff>
        </xdr:from>
        <xdr:to>
          <xdr:col>3</xdr:col>
          <xdr:colOff>336550</xdr:colOff>
          <xdr:row>48</xdr:row>
          <xdr:rowOff>0</xdr:rowOff>
        </xdr:to>
        <xdr:sp macro="" textlink="">
          <xdr:nvSpPr>
            <xdr:cNvPr id="274436" name="Option Button 4" hidden="1">
              <a:extLst>
                <a:ext uri="{63B3BB69-23CF-44E3-9099-C40C66FF867C}">
                  <a14:compatExt spid="_x0000_s274436"/>
                </a:ext>
                <a:ext uri="{FF2B5EF4-FFF2-40B4-BE49-F238E27FC236}">
                  <a16:creationId xmlns:a16="http://schemas.microsoft.com/office/drawing/2014/main" id="{00000000-0008-0000-0E00-000004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Calc Unc x Q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603250</xdr:colOff>
          <xdr:row>47</xdr:row>
          <xdr:rowOff>152400</xdr:rowOff>
        </xdr:from>
        <xdr:to>
          <xdr:col>3</xdr:col>
          <xdr:colOff>336550</xdr:colOff>
          <xdr:row>49</xdr:row>
          <xdr:rowOff>31750</xdr:rowOff>
        </xdr:to>
        <xdr:sp macro="" textlink="">
          <xdr:nvSpPr>
            <xdr:cNvPr id="274437" name="Option Button 5" hidden="1">
              <a:extLst>
                <a:ext uri="{63B3BB69-23CF-44E3-9099-C40C66FF867C}">
                  <a14:compatExt spid="_x0000_s274437"/>
                </a:ext>
                <a:ext uri="{FF2B5EF4-FFF2-40B4-BE49-F238E27FC236}">
                  <a16:creationId xmlns:a16="http://schemas.microsoft.com/office/drawing/2014/main" id="{00000000-0008-0000-0E00-000005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Calc DP x Q</a:t>
              </a:r>
            </a:p>
          </xdr:txBody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586740</xdr:colOff>
      <xdr:row>46</xdr:row>
      <xdr:rowOff>97155</xdr:rowOff>
    </xdr:from>
    <xdr:to>
      <xdr:col>3</xdr:col>
      <xdr:colOff>495300</xdr:colOff>
      <xdr:row>49</xdr:row>
      <xdr:rowOff>36195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E1F85713-50B5-45B3-A6B6-9EC2515B9CDC}"/>
            </a:ext>
          </a:extLst>
        </xdr:cNvPr>
        <xdr:cNvSpPr/>
      </xdr:nvSpPr>
      <xdr:spPr bwMode="auto">
        <a:xfrm>
          <a:off x="2196465" y="7631430"/>
          <a:ext cx="1203960" cy="42481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1028700</xdr:colOff>
      <xdr:row>42</xdr:row>
      <xdr:rowOff>163830</xdr:rowOff>
    </xdr:from>
    <xdr:to>
      <xdr:col>4</xdr:col>
      <xdr:colOff>407670</xdr:colOff>
      <xdr:row>44</xdr:row>
      <xdr:rowOff>125730</xdr:rowOff>
    </xdr:to>
    <xdr:sp macro="[0]!Calc2" textlink="">
      <xdr:nvSpPr>
        <xdr:cNvPr id="3" name="Retângulo 2">
          <a:extLst>
            <a:ext uri="{FF2B5EF4-FFF2-40B4-BE49-F238E27FC236}">
              <a16:creationId xmlns:a16="http://schemas.microsoft.com/office/drawing/2014/main" id="{1268B4E5-EB05-4E95-9AB6-A9E7E020373E}"/>
            </a:ext>
          </a:extLst>
        </xdr:cNvPr>
        <xdr:cNvSpPr/>
      </xdr:nvSpPr>
      <xdr:spPr bwMode="auto">
        <a:xfrm>
          <a:off x="3933825" y="7050405"/>
          <a:ext cx="883920" cy="285750"/>
        </a:xfrm>
        <a:prstGeom prst="rect">
          <a:avLst/>
        </a:prstGeom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r>
            <a:rPr lang="pt-BR" sz="1100"/>
            <a:t>   Calc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603250</xdr:colOff>
          <xdr:row>46</xdr:row>
          <xdr:rowOff>127000</xdr:rowOff>
        </xdr:from>
        <xdr:to>
          <xdr:col>3</xdr:col>
          <xdr:colOff>336550</xdr:colOff>
          <xdr:row>48</xdr:row>
          <xdr:rowOff>0</xdr:rowOff>
        </xdr:to>
        <xdr:sp macro="" textlink="">
          <xdr:nvSpPr>
            <xdr:cNvPr id="281601" name="Option Button 1" hidden="1">
              <a:extLst>
                <a:ext uri="{63B3BB69-23CF-44E3-9099-C40C66FF867C}">
                  <a14:compatExt spid="_x0000_s281601"/>
                </a:ext>
                <a:ext uri="{FF2B5EF4-FFF2-40B4-BE49-F238E27FC236}">
                  <a16:creationId xmlns:a16="http://schemas.microsoft.com/office/drawing/2014/main" id="{00000000-0008-0000-0F00-0000014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Calc Unc x Q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603250</xdr:colOff>
          <xdr:row>47</xdr:row>
          <xdr:rowOff>152400</xdr:rowOff>
        </xdr:from>
        <xdr:to>
          <xdr:col>3</xdr:col>
          <xdr:colOff>336550</xdr:colOff>
          <xdr:row>49</xdr:row>
          <xdr:rowOff>31750</xdr:rowOff>
        </xdr:to>
        <xdr:sp macro="" textlink="">
          <xdr:nvSpPr>
            <xdr:cNvPr id="281602" name="Option Button 2" hidden="1">
              <a:extLst>
                <a:ext uri="{63B3BB69-23CF-44E3-9099-C40C66FF867C}">
                  <a14:compatExt spid="_x0000_s281602"/>
                </a:ext>
                <a:ext uri="{FF2B5EF4-FFF2-40B4-BE49-F238E27FC236}">
                  <a16:creationId xmlns:a16="http://schemas.microsoft.com/office/drawing/2014/main" id="{00000000-0008-0000-0F00-0000024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Calc DP x Q</a:t>
              </a:r>
            </a:p>
          </xdr:txBody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586740</xdr:colOff>
      <xdr:row>46</xdr:row>
      <xdr:rowOff>97155</xdr:rowOff>
    </xdr:from>
    <xdr:to>
      <xdr:col>3</xdr:col>
      <xdr:colOff>495300</xdr:colOff>
      <xdr:row>49</xdr:row>
      <xdr:rowOff>36195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CDA2E440-4EB4-43CE-B6E3-D810412A05A6}"/>
            </a:ext>
          </a:extLst>
        </xdr:cNvPr>
        <xdr:cNvSpPr/>
      </xdr:nvSpPr>
      <xdr:spPr bwMode="auto">
        <a:xfrm>
          <a:off x="2196465" y="7631430"/>
          <a:ext cx="1203960" cy="42481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1028700</xdr:colOff>
      <xdr:row>42</xdr:row>
      <xdr:rowOff>163830</xdr:rowOff>
    </xdr:from>
    <xdr:to>
      <xdr:col>4</xdr:col>
      <xdr:colOff>407670</xdr:colOff>
      <xdr:row>44</xdr:row>
      <xdr:rowOff>125730</xdr:rowOff>
    </xdr:to>
    <xdr:sp macro="[0]!Calc3" textlink="">
      <xdr:nvSpPr>
        <xdr:cNvPr id="3" name="Retângulo 2">
          <a:extLst>
            <a:ext uri="{FF2B5EF4-FFF2-40B4-BE49-F238E27FC236}">
              <a16:creationId xmlns:a16="http://schemas.microsoft.com/office/drawing/2014/main" id="{7874069F-F224-45B5-9243-A1CD8914108C}"/>
            </a:ext>
          </a:extLst>
        </xdr:cNvPr>
        <xdr:cNvSpPr/>
      </xdr:nvSpPr>
      <xdr:spPr bwMode="auto">
        <a:xfrm>
          <a:off x="3933825" y="7050405"/>
          <a:ext cx="883920" cy="285750"/>
        </a:xfrm>
        <a:prstGeom prst="rect">
          <a:avLst/>
        </a:prstGeom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r>
            <a:rPr lang="pt-BR" sz="1100"/>
            <a:t>   Calc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603250</xdr:colOff>
          <xdr:row>46</xdr:row>
          <xdr:rowOff>127000</xdr:rowOff>
        </xdr:from>
        <xdr:to>
          <xdr:col>3</xdr:col>
          <xdr:colOff>336550</xdr:colOff>
          <xdr:row>48</xdr:row>
          <xdr:rowOff>0</xdr:rowOff>
        </xdr:to>
        <xdr:sp macro="" textlink="">
          <xdr:nvSpPr>
            <xdr:cNvPr id="282625" name="Option Button 1" hidden="1">
              <a:extLst>
                <a:ext uri="{63B3BB69-23CF-44E3-9099-C40C66FF867C}">
                  <a14:compatExt spid="_x0000_s282625"/>
                </a:ext>
                <a:ext uri="{FF2B5EF4-FFF2-40B4-BE49-F238E27FC236}">
                  <a16:creationId xmlns:a16="http://schemas.microsoft.com/office/drawing/2014/main" id="{00000000-0008-0000-1000-0000015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Calc Unc x Q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603250</xdr:colOff>
          <xdr:row>47</xdr:row>
          <xdr:rowOff>152400</xdr:rowOff>
        </xdr:from>
        <xdr:to>
          <xdr:col>3</xdr:col>
          <xdr:colOff>336550</xdr:colOff>
          <xdr:row>49</xdr:row>
          <xdr:rowOff>31750</xdr:rowOff>
        </xdr:to>
        <xdr:sp macro="" textlink="">
          <xdr:nvSpPr>
            <xdr:cNvPr id="282626" name="Option Button 2" hidden="1">
              <a:extLst>
                <a:ext uri="{63B3BB69-23CF-44E3-9099-C40C66FF867C}">
                  <a14:compatExt spid="_x0000_s282626"/>
                </a:ext>
                <a:ext uri="{FF2B5EF4-FFF2-40B4-BE49-F238E27FC236}">
                  <a16:creationId xmlns:a16="http://schemas.microsoft.com/office/drawing/2014/main" id="{00000000-0008-0000-1000-0000025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Calc DP x Q</a:t>
              </a:r>
            </a:p>
          </xdr:txBody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222250</xdr:colOff>
          <xdr:row>42</xdr:row>
          <xdr:rowOff>114300</xdr:rowOff>
        </xdr:from>
        <xdr:to>
          <xdr:col>8</xdr:col>
          <xdr:colOff>342900</xdr:colOff>
          <xdr:row>44</xdr:row>
          <xdr:rowOff>69850</xdr:rowOff>
        </xdr:to>
        <xdr:sp macro="" textlink="">
          <xdr:nvSpPr>
            <xdr:cNvPr id="258054" name="TextBox1" hidden="1">
              <a:extLst>
                <a:ext uri="{63B3BB69-23CF-44E3-9099-C40C66FF867C}">
                  <a14:compatExt spid="_x0000_s258054"/>
                </a:ext>
                <a:ext uri="{FF2B5EF4-FFF2-40B4-BE49-F238E27FC236}">
                  <a16:creationId xmlns:a16="http://schemas.microsoft.com/office/drawing/2014/main" id="{00000000-0008-0000-1100-000006F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aio Campos" id="{9F6B6D7B-E5BA-49D9-8D98-7B878D0EE68C}" userId="S::caio.campos@kloeckner.com::f62e0212-396f-4787-96ab-2d590d269b61" providerId="AD"/>
  <person displayName="Nathan Santos" id="{6980B937-8564-4AD2-8B54-D1CACCEDCE97}" userId="S::nathan.santos@kloeckner.com::fa1c0973-e440-4f33-9a54-38bfe6fbc72f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L18" dT="2025-07-15T14:32:46.68" personId="{6980B937-8564-4AD2-8B54-D1CACCEDCE97}" id="{3A7749BB-8FFD-44DE-B97E-B19EB34E1358}">
    <text>Atualizar com base nos dados da cromatografia.</text>
  </threadedComment>
  <threadedComment ref="O18" dT="2025-07-15T14:32:57.06" personId="{6980B937-8564-4AD2-8B54-D1CACCEDCE97}" id="{479D6231-612D-4200-A3DB-D82D19E81595}">
    <text>Atualizar com base nos dados da cromatografia.(Incerteza do fator de compressibilidade)</text>
  </threadedComment>
  <threadedComment ref="L20" dT="2025-07-15T14:32:51.30" personId="{6980B937-8564-4AD2-8B54-D1CACCEDCE97}" id="{363B8C36-C0C1-4B3A-88B1-C9A69050B268}">
    <text>Atualizar com base nos dados da cromatografia.</text>
  </threadedComment>
  <threadedComment ref="M20" dT="2025-07-04T17:40:01.18" personId="{9F6B6D7B-E5BA-49D9-8D98-7B878D0EE68C}" id="{4A60DDA6-C858-442A-8D7C-27D60ECA43BC}">
    <text>Confirmar essa unidade de medida.</text>
  </threadedComment>
  <threadedComment ref="O20" dT="2025-07-15T14:33:04.15" personId="{6980B937-8564-4AD2-8B54-D1CACCEDCE97}" id="{76B52D44-D3EF-4525-B786-71FD402E7704}">
    <text>Atualizar com base nos dados da cromatografia.(Incerteza da Massa Molar)</text>
  </threadedComment>
  <threadedComment ref="L24" dT="2025-07-15T14:33:12.28" personId="{6980B937-8564-4AD2-8B54-D1CACCEDCE97}" id="{EED14471-7011-4AED-9D1D-C75C4ADCBD93}">
    <text>Atualizar com base nos dados da cromatografia.</text>
  </threadedComment>
  <threadedComment ref="O24" dT="2025-07-15T14:33:20.59" personId="{6980B937-8564-4AD2-8B54-D1CACCEDCE97}" id="{03A6F2EC-894C-444A-AB1E-A8A73D10AB66}">
    <text>Atualizar com base nos dados da cromatografia.(Incerteza da densidade)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image" Target="../media/image5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1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21.emf"/><Relationship Id="rId7" Type="http://schemas.openxmlformats.org/officeDocument/2006/relationships/image" Target="../media/image14.emf"/><Relationship Id="rId12" Type="http://schemas.openxmlformats.org/officeDocument/2006/relationships/control" Target="../activeX/activeX7.xml"/><Relationship Id="rId17" Type="http://schemas.openxmlformats.org/officeDocument/2006/relationships/image" Target="../media/image19.emf"/><Relationship Id="rId25" Type="http://schemas.openxmlformats.org/officeDocument/2006/relationships/image" Target="../media/image23.emf"/><Relationship Id="rId2" Type="http://schemas.openxmlformats.org/officeDocument/2006/relationships/drawing" Target="../drawings/drawing15.xml"/><Relationship Id="rId16" Type="http://schemas.openxmlformats.org/officeDocument/2006/relationships/control" Target="../activeX/activeX9.xml"/><Relationship Id="rId20" Type="http://schemas.openxmlformats.org/officeDocument/2006/relationships/control" Target="../activeX/activeX11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.xml"/><Relationship Id="rId11" Type="http://schemas.openxmlformats.org/officeDocument/2006/relationships/image" Target="../media/image16.emf"/><Relationship Id="rId24" Type="http://schemas.openxmlformats.org/officeDocument/2006/relationships/control" Target="../activeX/activeX13.xml"/><Relationship Id="rId5" Type="http://schemas.openxmlformats.org/officeDocument/2006/relationships/image" Target="../media/image13.emf"/><Relationship Id="rId15" Type="http://schemas.openxmlformats.org/officeDocument/2006/relationships/image" Target="../media/image18.emf"/><Relationship Id="rId23" Type="http://schemas.openxmlformats.org/officeDocument/2006/relationships/image" Target="../media/image22.emf"/><Relationship Id="rId10" Type="http://schemas.openxmlformats.org/officeDocument/2006/relationships/control" Target="../activeX/activeX6.xml"/><Relationship Id="rId19" Type="http://schemas.openxmlformats.org/officeDocument/2006/relationships/image" Target="../media/image20.emf"/><Relationship Id="rId4" Type="http://schemas.openxmlformats.org/officeDocument/2006/relationships/control" Target="../activeX/activeX3.xml"/><Relationship Id="rId9" Type="http://schemas.openxmlformats.org/officeDocument/2006/relationships/image" Target="../media/image15.emf"/><Relationship Id="rId14" Type="http://schemas.openxmlformats.org/officeDocument/2006/relationships/control" Target="../activeX/activeX8.xml"/><Relationship Id="rId22" Type="http://schemas.openxmlformats.org/officeDocument/2006/relationships/control" Target="../activeX/activeX1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7.xml"/><Relationship Id="rId4" Type="http://schemas.openxmlformats.org/officeDocument/2006/relationships/ctrlProp" Target="../ctrlProps/ctrlProp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8.xml"/><Relationship Id="rId4" Type="http://schemas.openxmlformats.org/officeDocument/2006/relationships/ctrlProp" Target="../ctrlProps/ctrlProp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9.xml"/><Relationship Id="rId4" Type="http://schemas.openxmlformats.org/officeDocument/2006/relationships/image" Target="../media/image24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3">
    <pageSetUpPr autoPageBreaks="0" fitToPage="1"/>
  </sheetPr>
  <dimension ref="A1:R279"/>
  <sheetViews>
    <sheetView showGridLines="0" tabSelected="1" view="pageBreakPreview" topLeftCell="A147" zoomScale="85" zoomScaleNormal="100" zoomScaleSheetLayoutView="85" workbookViewId="0">
      <selection activeCell="C226" sqref="C226"/>
    </sheetView>
  </sheetViews>
  <sheetFormatPr defaultColWidth="9.1796875" defaultRowHeight="21" x14ac:dyDescent="0.5"/>
  <cols>
    <col min="1" max="1" width="1.81640625" style="348" customWidth="1"/>
    <col min="2" max="2" width="46.81640625" style="420" bestFit="1" customWidth="1"/>
    <col min="3" max="3" width="33.81640625" style="348" bestFit="1" customWidth="1"/>
    <col min="4" max="4" width="24.81640625" style="348" bestFit="1" customWidth="1"/>
    <col min="5" max="5" width="26.26953125" style="348" customWidth="1"/>
    <col min="6" max="6" width="38.81640625" style="348" bestFit="1" customWidth="1"/>
    <col min="7" max="7" width="34.1796875" style="348" bestFit="1" customWidth="1"/>
    <col min="8" max="8" width="28.453125" style="348" customWidth="1"/>
    <col min="9" max="9" width="38.7265625" style="348" customWidth="1"/>
    <col min="10" max="10" width="24.7265625" style="348" customWidth="1"/>
    <col min="11" max="12" width="2.7265625" style="348" customWidth="1"/>
    <col min="13" max="13" width="19" style="348" customWidth="1"/>
    <col min="14" max="14" width="51.453125" style="348" customWidth="1"/>
    <col min="15" max="15" width="22.54296875" style="348" bestFit="1" customWidth="1"/>
    <col min="16" max="16" width="16.54296875" style="348" customWidth="1"/>
    <col min="17" max="17" width="22.54296875" style="348" bestFit="1" customWidth="1"/>
    <col min="18" max="18" width="5.54296875" style="348" customWidth="1"/>
    <col min="19" max="19" width="2.453125" style="348" customWidth="1"/>
    <col min="20" max="21" width="9.1796875" style="348"/>
    <col min="22" max="22" width="2.54296875" style="348" customWidth="1"/>
    <col min="23" max="23" width="11" style="348" customWidth="1"/>
    <col min="24" max="16384" width="9.1796875" style="348"/>
  </cols>
  <sheetData>
    <row r="1" spans="2:18" ht="21" customHeight="1" x14ac:dyDescent="0.5">
      <c r="B1" s="508" t="s">
        <v>472</v>
      </c>
      <c r="C1" s="509"/>
      <c r="D1" s="509"/>
      <c r="E1" s="509"/>
      <c r="F1" s="509"/>
      <c r="G1" s="509"/>
      <c r="H1" s="509"/>
      <c r="I1" s="509"/>
      <c r="J1" s="509"/>
      <c r="K1" s="510"/>
      <c r="L1" s="409"/>
      <c r="M1" s="409"/>
      <c r="N1" s="409"/>
      <c r="O1" s="409"/>
      <c r="P1" s="409"/>
      <c r="Q1" s="409"/>
      <c r="R1" s="409"/>
    </row>
    <row r="2" spans="2:18" ht="21" customHeight="1" x14ac:dyDescent="0.5">
      <c r="B2" s="511"/>
      <c r="C2" s="512"/>
      <c r="D2" s="512"/>
      <c r="E2" s="512"/>
      <c r="F2" s="512"/>
      <c r="G2" s="512"/>
      <c r="H2" s="512"/>
      <c r="I2" s="512"/>
      <c r="J2" s="512"/>
      <c r="K2" s="513"/>
      <c r="L2" s="409"/>
      <c r="M2" s="409"/>
      <c r="N2" s="409"/>
      <c r="O2" s="409"/>
      <c r="P2" s="409"/>
      <c r="Q2" s="409"/>
      <c r="R2" s="409"/>
    </row>
    <row r="3" spans="2:18" ht="21" customHeight="1" x14ac:dyDescent="0.5">
      <c r="B3" s="511"/>
      <c r="C3" s="512"/>
      <c r="D3" s="512"/>
      <c r="E3" s="512"/>
      <c r="F3" s="512"/>
      <c r="G3" s="512"/>
      <c r="H3" s="512"/>
      <c r="I3" s="512"/>
      <c r="J3" s="512"/>
      <c r="K3" s="513"/>
      <c r="L3" s="409"/>
      <c r="M3" s="409"/>
      <c r="N3" s="409"/>
      <c r="O3" s="409"/>
      <c r="P3" s="409"/>
      <c r="Q3" s="409"/>
      <c r="R3" s="409"/>
    </row>
    <row r="4" spans="2:18" ht="21" customHeight="1" x14ac:dyDescent="0.5">
      <c r="B4" s="514"/>
      <c r="C4" s="515"/>
      <c r="D4" s="515"/>
      <c r="E4" s="515"/>
      <c r="F4" s="515"/>
      <c r="G4" s="515"/>
      <c r="H4" s="515"/>
      <c r="I4" s="515"/>
      <c r="J4" s="515"/>
      <c r="K4" s="516"/>
      <c r="L4" s="409"/>
      <c r="M4" s="409"/>
      <c r="N4" s="409"/>
      <c r="O4" s="409"/>
      <c r="P4" s="409"/>
      <c r="Q4" s="409"/>
      <c r="R4" s="409"/>
    </row>
    <row r="5" spans="2:18" x14ac:dyDescent="0.5">
      <c r="K5" s="431"/>
    </row>
    <row r="6" spans="2:18" x14ac:dyDescent="0.5">
      <c r="B6" s="421"/>
      <c r="C6" s="361"/>
      <c r="D6" s="361"/>
      <c r="E6" s="349"/>
      <c r="F6" s="349"/>
      <c r="G6" s="349"/>
      <c r="H6" s="349"/>
      <c r="I6" s="349"/>
      <c r="J6" s="349"/>
      <c r="K6" s="350"/>
      <c r="L6" s="412"/>
      <c r="M6" s="412"/>
      <c r="N6" s="412"/>
      <c r="O6" s="412"/>
      <c r="P6" s="412"/>
      <c r="Q6" s="412"/>
      <c r="R6" s="412"/>
    </row>
    <row r="7" spans="2:18" ht="50.15" customHeight="1" x14ac:dyDescent="0.5">
      <c r="B7" s="505" t="s">
        <v>277</v>
      </c>
      <c r="C7" s="505"/>
      <c r="D7" s="409"/>
      <c r="E7" s="409"/>
      <c r="F7" s="409"/>
      <c r="G7" s="409"/>
      <c r="H7" s="409"/>
      <c r="I7" s="412"/>
      <c r="J7" s="412"/>
      <c r="K7" s="363"/>
      <c r="L7" s="412"/>
      <c r="M7" s="412"/>
      <c r="N7" s="412"/>
      <c r="O7" s="412"/>
      <c r="P7" s="412"/>
      <c r="Q7" s="412"/>
      <c r="R7" s="412"/>
    </row>
    <row r="8" spans="2:18" ht="50.15" customHeight="1" x14ac:dyDescent="0.5">
      <c r="B8" s="407" t="s">
        <v>386</v>
      </c>
      <c r="C8" s="405" t="s">
        <v>291</v>
      </c>
      <c r="F8" s="352"/>
      <c r="G8" s="432"/>
      <c r="H8" s="432"/>
      <c r="I8" s="432"/>
      <c r="J8" s="432"/>
      <c r="K8" s="351"/>
      <c r="L8" s="432"/>
      <c r="M8" s="432"/>
      <c r="N8" s="432"/>
      <c r="O8" s="432"/>
      <c r="P8" s="432"/>
      <c r="Q8" s="432"/>
      <c r="R8" s="432"/>
    </row>
    <row r="9" spans="2:18" s="352" customFormat="1" ht="50.15" customHeight="1" x14ac:dyDescent="0.25">
      <c r="B9" s="407" t="s">
        <v>385</v>
      </c>
      <c r="C9" s="406" t="s">
        <v>445</v>
      </c>
      <c r="K9" s="353"/>
    </row>
    <row r="10" spans="2:18" s="352" customFormat="1" ht="50.15" customHeight="1" x14ac:dyDescent="0.25">
      <c r="B10" s="407" t="s">
        <v>387</v>
      </c>
      <c r="C10" s="406" t="s">
        <v>460</v>
      </c>
      <c r="K10" s="353"/>
    </row>
    <row r="11" spans="2:18" s="352" customFormat="1" ht="50.15" customHeight="1" x14ac:dyDescent="0.25">
      <c r="B11" s="407" t="s">
        <v>388</v>
      </c>
      <c r="C11" s="406" t="s">
        <v>461</v>
      </c>
      <c r="K11" s="353"/>
    </row>
    <row r="12" spans="2:18" s="352" customFormat="1" ht="50.15" customHeight="1" x14ac:dyDescent="0.25">
      <c r="B12" s="407" t="s">
        <v>389</v>
      </c>
      <c r="C12" s="406" t="s">
        <v>462</v>
      </c>
      <c r="K12" s="353"/>
    </row>
    <row r="13" spans="2:18" ht="50.15" customHeight="1" x14ac:dyDescent="0.5">
      <c r="B13" s="407" t="s">
        <v>390</v>
      </c>
      <c r="C13" s="410" t="s">
        <v>470</v>
      </c>
      <c r="F13" s="352"/>
      <c r="G13" s="352"/>
      <c r="H13" s="352"/>
      <c r="I13" s="352"/>
      <c r="J13" s="352"/>
      <c r="K13" s="353"/>
      <c r="L13" s="352"/>
      <c r="M13" s="352"/>
      <c r="N13" s="352"/>
    </row>
    <row r="14" spans="2:18" ht="50.15" customHeight="1" x14ac:dyDescent="0.5">
      <c r="B14" s="414"/>
      <c r="C14" s="352"/>
      <c r="D14" s="352"/>
      <c r="E14" s="352"/>
      <c r="F14" s="352"/>
      <c r="G14" s="352"/>
      <c r="H14" s="352"/>
      <c r="I14" s="352"/>
      <c r="J14" s="352"/>
      <c r="K14" s="353"/>
      <c r="L14" s="352"/>
      <c r="M14" s="352"/>
      <c r="N14" s="352"/>
    </row>
    <row r="15" spans="2:18" ht="50.15" customHeight="1" x14ac:dyDescent="0.5">
      <c r="B15" s="506" t="s">
        <v>159</v>
      </c>
      <c r="C15" s="506"/>
      <c r="D15" s="416"/>
      <c r="F15" s="503" t="s">
        <v>430</v>
      </c>
      <c r="G15" s="504"/>
      <c r="H15" s="416"/>
      <c r="I15" s="352"/>
      <c r="J15" s="352"/>
      <c r="K15" s="355"/>
    </row>
    <row r="16" spans="2:18" ht="50.15" customHeight="1" x14ac:dyDescent="0.5">
      <c r="B16" s="407" t="s">
        <v>382</v>
      </c>
      <c r="C16" s="453">
        <f>'Gas parameters'!F10</f>
        <v>17092</v>
      </c>
      <c r="D16" s="354" t="s">
        <v>244</v>
      </c>
      <c r="F16" s="407" t="s">
        <v>398</v>
      </c>
      <c r="G16" s="428">
        <f>'Gas parameters'!O10</f>
        <v>20</v>
      </c>
      <c r="H16" s="354" t="s">
        <v>19</v>
      </c>
      <c r="K16" s="355"/>
    </row>
    <row r="17" spans="2:17" ht="50.15" customHeight="1" x14ac:dyDescent="0.5">
      <c r="B17" s="407" t="s">
        <v>383</v>
      </c>
      <c r="C17" s="428">
        <f>'Gas parameters'!F12</f>
        <v>40.473999999999997</v>
      </c>
      <c r="D17" s="354" t="s">
        <v>19</v>
      </c>
      <c r="F17" s="407" t="s">
        <v>399</v>
      </c>
      <c r="G17" s="428">
        <f>'Gas parameters'!O12</f>
        <v>101.325</v>
      </c>
      <c r="H17" s="354" t="s">
        <v>244</v>
      </c>
      <c r="K17" s="355"/>
    </row>
    <row r="18" spans="2:17" ht="50.15" customHeight="1" x14ac:dyDescent="0.5">
      <c r="B18" s="407" t="s">
        <v>384</v>
      </c>
      <c r="C18" s="454">
        <f>'Gas parameters'!F14</f>
        <v>1.5900000000000001E-2</v>
      </c>
      <c r="D18" s="354" t="s">
        <v>249</v>
      </c>
      <c r="F18" s="407" t="s">
        <v>400</v>
      </c>
      <c r="G18" s="456">
        <f>'Gas parameters'!O14</f>
        <v>0.75860000000000005</v>
      </c>
      <c r="H18" s="354" t="s">
        <v>349</v>
      </c>
      <c r="K18" s="355"/>
    </row>
    <row r="19" spans="2:17" ht="50.15" customHeight="1" x14ac:dyDescent="0.5">
      <c r="B19" s="407" t="s">
        <v>377</v>
      </c>
      <c r="C19" s="428">
        <f>'Gas parameters'!F16</f>
        <v>1.7769999999999999</v>
      </c>
      <c r="D19" s="354" t="s">
        <v>433</v>
      </c>
      <c r="H19" s="352"/>
      <c r="I19" s="352"/>
      <c r="J19" s="352"/>
      <c r="K19" s="353"/>
      <c r="L19" s="352"/>
      <c r="M19" s="352"/>
      <c r="N19" s="352"/>
    </row>
    <row r="20" spans="2:17" ht="50.15" customHeight="1" x14ac:dyDescent="0.5">
      <c r="B20" s="407" t="s">
        <v>378</v>
      </c>
      <c r="C20" s="453">
        <f>'Gas parameters'!F18</f>
        <v>149.44264593384534</v>
      </c>
      <c r="D20" s="354" t="s">
        <v>349</v>
      </c>
      <c r="H20" s="352"/>
      <c r="I20" s="352"/>
      <c r="J20" s="352"/>
      <c r="K20" s="353"/>
      <c r="L20" s="352"/>
      <c r="M20" s="352"/>
      <c r="N20" s="352"/>
    </row>
    <row r="21" spans="2:17" ht="50.15" customHeight="1" x14ac:dyDescent="0.5">
      <c r="B21" s="407" t="s">
        <v>379</v>
      </c>
      <c r="C21" s="428">
        <f>'Gas parameters'!F20</f>
        <v>60</v>
      </c>
      <c r="D21" s="354" t="s">
        <v>244</v>
      </c>
      <c r="H21" s="352"/>
      <c r="I21" s="352"/>
      <c r="J21" s="352"/>
      <c r="K21" s="353"/>
      <c r="L21" s="352"/>
      <c r="M21" s="352"/>
      <c r="N21" s="352"/>
    </row>
    <row r="22" spans="2:17" ht="50.15" hidden="1" customHeight="1" x14ac:dyDescent="0.5">
      <c r="B22" s="407" t="s">
        <v>380</v>
      </c>
      <c r="C22" s="428">
        <f>'Gas parameters'!F22</f>
        <v>0</v>
      </c>
      <c r="D22" s="354" t="s">
        <v>244</v>
      </c>
      <c r="H22" s="352"/>
      <c r="I22" s="352"/>
      <c r="J22" s="352"/>
      <c r="K22" s="353"/>
      <c r="L22" s="352"/>
      <c r="M22" s="352"/>
      <c r="N22" s="352"/>
    </row>
    <row r="23" spans="2:17" ht="50.15" hidden="1" customHeight="1" x14ac:dyDescent="0.5">
      <c r="B23" s="407" t="s">
        <v>381</v>
      </c>
      <c r="C23" s="428">
        <f>'Gas parameters'!F24</f>
        <v>0</v>
      </c>
      <c r="D23" s="354" t="s">
        <v>244</v>
      </c>
      <c r="H23" s="352"/>
      <c r="I23" s="352"/>
      <c r="J23" s="352"/>
      <c r="K23" s="353"/>
      <c r="L23" s="352"/>
      <c r="M23" s="352"/>
      <c r="N23" s="352"/>
    </row>
    <row r="24" spans="2:17" ht="50.15" customHeight="1" x14ac:dyDescent="0.5">
      <c r="B24" s="414"/>
      <c r="C24" s="352"/>
      <c r="D24" s="352"/>
      <c r="E24" s="352"/>
      <c r="F24" s="415"/>
      <c r="G24" s="354"/>
      <c r="H24" s="352"/>
      <c r="I24" s="352"/>
      <c r="J24" s="352"/>
      <c r="K24" s="353"/>
      <c r="L24" s="352"/>
      <c r="M24" s="352"/>
      <c r="N24" s="352"/>
    </row>
    <row r="25" spans="2:17" ht="50.15" customHeight="1" x14ac:dyDescent="0.5">
      <c r="B25" s="407" t="s">
        <v>276</v>
      </c>
      <c r="C25" s="457" t="s">
        <v>274</v>
      </c>
      <c r="D25" s="457" t="s">
        <v>443</v>
      </c>
      <c r="E25" s="408" t="s">
        <v>278</v>
      </c>
      <c r="F25" s="408" t="s">
        <v>285</v>
      </c>
      <c r="G25" s="408" t="s">
        <v>376</v>
      </c>
      <c r="H25" s="457" t="s">
        <v>279</v>
      </c>
      <c r="I25" s="457" t="str">
        <f>'Equipment List'!F13</f>
        <v>Cert. de Calibração (Calibration certif.)</v>
      </c>
      <c r="J25" s="475"/>
      <c r="K25" s="355"/>
      <c r="N25" s="434"/>
      <c r="O25" s="434"/>
      <c r="P25" s="434"/>
      <c r="Q25" s="434"/>
    </row>
    <row r="26" spans="2:17" ht="50.15" customHeight="1" x14ac:dyDescent="0.5">
      <c r="B26" s="469" t="s">
        <v>391</v>
      </c>
      <c r="C26" s="495" t="str">
        <f>'Equipment List'!D14</f>
        <v>FX/FY-1231010B</v>
      </c>
      <c r="D26" s="495" t="str">
        <f>'Equipment List'!E14</f>
        <v>D043425</v>
      </c>
      <c r="E26" s="456">
        <f>'Meter run parameters'!E19</f>
        <v>0.06</v>
      </c>
      <c r="F26" s="459">
        <f>'Meter run parameters'!I19</f>
        <v>2.0099999999999998</v>
      </c>
      <c r="G26" s="460" t="s">
        <v>32</v>
      </c>
      <c r="H26" s="458" t="s">
        <v>6</v>
      </c>
      <c r="I26" s="458" t="str">
        <f>'Equipment List'!F14</f>
        <v>LCMM-TR-116/24 - REV.00</v>
      </c>
      <c r="J26" s="435"/>
      <c r="K26" s="355"/>
      <c r="N26" s="435"/>
      <c r="O26" s="435"/>
      <c r="P26" s="435"/>
      <c r="Q26" s="435"/>
    </row>
    <row r="27" spans="2:17" ht="50.15" customHeight="1" x14ac:dyDescent="0.5">
      <c r="B27" s="469" t="s">
        <v>392</v>
      </c>
      <c r="C27" s="495" t="str">
        <f>'Equipment List'!D15</f>
        <v>CS-PO-21.06-0032</v>
      </c>
      <c r="D27" s="495" t="str">
        <f>'Equipment List'!E15</f>
        <v>CS-PO-21.06-0039</v>
      </c>
      <c r="E27" s="456">
        <f>'Meter run parameters'!E49</f>
        <v>0.05</v>
      </c>
      <c r="F27" s="459">
        <f>'Meter run parameters'!I49</f>
        <v>2</v>
      </c>
      <c r="G27" s="460" t="s">
        <v>32</v>
      </c>
      <c r="H27" s="458" t="s">
        <v>6</v>
      </c>
      <c r="I27" s="458" t="str">
        <f>'Equipment List'!F15</f>
        <v>24-ODS-70-DIM-548</v>
      </c>
      <c r="J27" s="435"/>
      <c r="K27" s="355"/>
      <c r="N27" s="435"/>
      <c r="O27" s="435"/>
      <c r="P27" s="435"/>
      <c r="Q27" s="435"/>
    </row>
    <row r="28" spans="2:17" ht="50.15" customHeight="1" x14ac:dyDescent="0.5">
      <c r="B28" s="469" t="s">
        <v>447</v>
      </c>
      <c r="C28" s="495" t="str">
        <f>'Equipment List'!D16</f>
        <v>FIT‐1231010B ‐ TT</v>
      </c>
      <c r="D28" s="495" t="str">
        <f>'Equipment List'!E16</f>
        <v>24SHFF0112924</v>
      </c>
      <c r="E28" s="456">
        <f>'Gas parameters'!E113</f>
        <v>0.1</v>
      </c>
      <c r="F28" s="453">
        <f>'Gas parameters'!G113</f>
        <v>2</v>
      </c>
      <c r="G28" s="428">
        <f>'Gas parameters'!E115</f>
        <v>1.2E-2</v>
      </c>
      <c r="H28" s="428" t="s">
        <v>19</v>
      </c>
      <c r="I28" s="458" t="str">
        <f>'Equipment List'!F16</f>
        <v>26‐ODS‐70‐TEM‐002</v>
      </c>
      <c r="J28" s="435"/>
      <c r="K28" s="355"/>
      <c r="N28" s="435"/>
      <c r="O28" s="435"/>
      <c r="P28" s="435"/>
      <c r="Q28" s="435"/>
    </row>
    <row r="29" spans="2:17" ht="50.15" hidden="1" customHeight="1" x14ac:dyDescent="0.5">
      <c r="B29" s="469" t="s">
        <v>393</v>
      </c>
      <c r="C29" s="495">
        <f>'Equipment List'!D17</f>
        <v>0</v>
      </c>
      <c r="D29" s="495">
        <f>'Equipment List'!E17</f>
        <v>0</v>
      </c>
      <c r="E29" s="453">
        <f>'Gas parameters'!X112</f>
        <v>0.1</v>
      </c>
      <c r="F29" s="453">
        <f>'Gas parameters'!Y112</f>
        <v>2</v>
      </c>
      <c r="G29" s="453">
        <f>'Gas parameters'!Z112</f>
        <v>0.14699999999999999</v>
      </c>
      <c r="H29" s="428" t="s">
        <v>19</v>
      </c>
      <c r="I29" s="458">
        <f>'Equipment List'!F17</f>
        <v>0</v>
      </c>
      <c r="J29" s="435"/>
      <c r="K29" s="355"/>
      <c r="N29" s="435"/>
      <c r="O29" s="435"/>
      <c r="P29" s="435"/>
      <c r="Q29" s="435"/>
    </row>
    <row r="30" spans="2:17" ht="50.15" customHeight="1" x14ac:dyDescent="0.5">
      <c r="B30" s="469" t="s">
        <v>394</v>
      </c>
      <c r="C30" s="495" t="str">
        <f>'Equipment List'!D18</f>
        <v>FIT‐1231010B‐PT</v>
      </c>
      <c r="D30" s="495" t="str">
        <f>'Equipment List'!E18</f>
        <v>24SHFF0112924</v>
      </c>
      <c r="E30" s="453">
        <f>'Gas parameters'!E93</f>
        <v>7.26</v>
      </c>
      <c r="F30" s="453">
        <f>'Gas parameters'!G93</f>
        <v>2</v>
      </c>
      <c r="G30" s="453">
        <f>'Gas parameters'!E95</f>
        <v>10.34</v>
      </c>
      <c r="H30" s="428" t="s">
        <v>244</v>
      </c>
      <c r="I30" s="458" t="str">
        <f>'Equipment List'!F18</f>
        <v>26‐ODS‐70‐PRE‐004</v>
      </c>
      <c r="J30" s="435"/>
      <c r="K30" s="355"/>
      <c r="N30" s="435"/>
      <c r="O30" s="435"/>
      <c r="P30" s="435"/>
      <c r="Q30" s="435"/>
    </row>
    <row r="31" spans="2:17" ht="50.15" customHeight="1" x14ac:dyDescent="0.5">
      <c r="B31" s="469" t="s">
        <v>448</v>
      </c>
      <c r="C31" s="495" t="str">
        <f>'Equipment List'!D19</f>
        <v>FIT‐ 1231010B‐DPT</v>
      </c>
      <c r="D31" s="495" t="str">
        <f>'Equipment List'!E19</f>
        <v>24SHFF0112924</v>
      </c>
      <c r="E31" s="428">
        <f>'Gas parameters'!E33</f>
        <v>0.03</v>
      </c>
      <c r="F31" s="453">
        <f>'Gas parameters'!G33</f>
        <v>2.0099999999999998</v>
      </c>
      <c r="G31" s="456">
        <f>'Gas parameters'!E35</f>
        <v>2.76E-2</v>
      </c>
      <c r="H31" s="428" t="s">
        <v>244</v>
      </c>
      <c r="I31" s="458" t="str">
        <f>'Equipment List'!F19</f>
        <v>26‐ODS‐70‐PRE‐003</v>
      </c>
      <c r="J31" s="435"/>
      <c r="K31" s="355"/>
      <c r="N31" s="435"/>
      <c r="O31" s="435"/>
      <c r="P31" s="435"/>
      <c r="Q31" s="435"/>
    </row>
    <row r="32" spans="2:17" ht="50.15" hidden="1" customHeight="1" x14ac:dyDescent="0.5">
      <c r="B32" s="469" t="s">
        <v>395</v>
      </c>
      <c r="C32" s="495">
        <f>'Equipment List'!D20</f>
        <v>0</v>
      </c>
      <c r="D32" s="495">
        <f>'Equipment List'!E20</f>
        <v>0</v>
      </c>
      <c r="E32" s="428">
        <f>'Gas parameters'!E53</f>
        <v>0</v>
      </c>
      <c r="F32" s="453">
        <f>'Gas parameters'!G53</f>
        <v>0</v>
      </c>
      <c r="G32" s="456">
        <f>'Gas parameters'!E55</f>
        <v>0</v>
      </c>
      <c r="H32" s="428" t="s">
        <v>244</v>
      </c>
      <c r="I32" s="458">
        <f>'Equipment List'!F20</f>
        <v>0</v>
      </c>
      <c r="J32" s="435"/>
      <c r="K32" s="355"/>
      <c r="N32" s="435"/>
      <c r="O32" s="435"/>
      <c r="P32" s="435"/>
      <c r="Q32" s="435"/>
    </row>
    <row r="33" spans="1:18" ht="50.15" hidden="1" customHeight="1" x14ac:dyDescent="0.5">
      <c r="B33" s="469" t="s">
        <v>396</v>
      </c>
      <c r="C33" s="495">
        <f>'Equipment List'!D21</f>
        <v>0</v>
      </c>
      <c r="D33" s="495">
        <f>'Equipment List'!E21</f>
        <v>0</v>
      </c>
      <c r="E33" s="461">
        <f>'Gas parameters'!E73</f>
        <v>0</v>
      </c>
      <c r="F33" s="453">
        <f>'Gas parameters'!G73</f>
        <v>0</v>
      </c>
      <c r="G33" s="461">
        <f>'Gas parameters'!E75</f>
        <v>0</v>
      </c>
      <c r="H33" s="428" t="s">
        <v>244</v>
      </c>
      <c r="I33" s="458">
        <f>'Equipment List'!F21</f>
        <v>0</v>
      </c>
      <c r="J33" s="435"/>
      <c r="K33" s="355"/>
      <c r="N33" s="435"/>
      <c r="O33" s="435"/>
      <c r="P33" s="435"/>
      <c r="Q33" s="435"/>
    </row>
    <row r="34" spans="1:18" ht="50.15" customHeight="1" x14ac:dyDescent="0.5">
      <c r="B34" s="469" t="s">
        <v>397</v>
      </c>
      <c r="C34" s="495" t="str">
        <f>'Equipment List'!D22</f>
        <v>Gás Exportação (FIT1231006)</v>
      </c>
      <c r="D34" s="495" t="str">
        <f>'Equipment List'!E22</f>
        <v>-</v>
      </c>
      <c r="E34" s="460" t="s">
        <v>32</v>
      </c>
      <c r="F34" s="462" t="s">
        <v>32</v>
      </c>
      <c r="G34" s="462" t="s">
        <v>32</v>
      </c>
      <c r="H34" s="460" t="s">
        <v>32</v>
      </c>
      <c r="I34" s="458" t="str">
        <f>'Equipment List'!F22</f>
        <v>0370.26 Rev. 00</v>
      </c>
      <c r="J34" s="476"/>
      <c r="K34" s="360"/>
      <c r="N34" s="435"/>
      <c r="O34" s="435"/>
      <c r="P34" s="435"/>
      <c r="Q34" s="435"/>
    </row>
    <row r="35" spans="1:18" ht="25" customHeight="1" x14ac:dyDescent="0.5">
      <c r="B35" s="444"/>
      <c r="C35" s="445"/>
      <c r="D35" s="439"/>
      <c r="E35" s="446"/>
      <c r="F35" s="446"/>
      <c r="G35" s="439"/>
      <c r="H35" s="445"/>
      <c r="I35" s="435"/>
      <c r="J35" s="435"/>
      <c r="N35" s="435"/>
      <c r="O35" s="435"/>
      <c r="P35" s="435"/>
      <c r="Q35" s="435"/>
    </row>
    <row r="36" spans="1:18" ht="25" customHeight="1" x14ac:dyDescent="0.5">
      <c r="B36" s="444"/>
      <c r="C36" s="445"/>
      <c r="D36" s="439"/>
      <c r="E36" s="446"/>
      <c r="F36" s="446"/>
      <c r="G36" s="439"/>
      <c r="H36" s="445"/>
      <c r="I36" s="435"/>
      <c r="J36" s="435"/>
      <c r="N36" s="435"/>
      <c r="O36" s="435"/>
      <c r="P36" s="435"/>
      <c r="Q36" s="435"/>
    </row>
    <row r="37" spans="1:18" ht="25" customHeight="1" x14ac:dyDescent="0.5">
      <c r="B37" s="508" t="str">
        <f>B1</f>
        <v>Relatório de Cálculo de Incerteza - Nº FORTE-UCG-FE-1231010B-26-04
Uncertainty Calculation Report - Nº FORTE-UCG-FE-1231010B-26-04</v>
      </c>
      <c r="C37" s="509"/>
      <c r="D37" s="509"/>
      <c r="E37" s="509"/>
      <c r="F37" s="509"/>
      <c r="G37" s="509"/>
      <c r="H37" s="509"/>
      <c r="I37" s="509"/>
      <c r="J37" s="509"/>
      <c r="K37" s="510"/>
      <c r="N37" s="435"/>
      <c r="O37" s="435"/>
      <c r="P37" s="435"/>
      <c r="Q37" s="435"/>
    </row>
    <row r="38" spans="1:18" ht="25" customHeight="1" x14ac:dyDescent="0.5">
      <c r="B38" s="511"/>
      <c r="C38" s="512"/>
      <c r="D38" s="512"/>
      <c r="E38" s="512"/>
      <c r="F38" s="512"/>
      <c r="G38" s="512"/>
      <c r="H38" s="512"/>
      <c r="I38" s="512"/>
      <c r="J38" s="512"/>
      <c r="K38" s="513"/>
      <c r="N38" s="435"/>
      <c r="O38" s="435"/>
      <c r="P38" s="435"/>
      <c r="Q38" s="435"/>
    </row>
    <row r="39" spans="1:18" ht="25" customHeight="1" x14ac:dyDescent="0.5">
      <c r="B39" s="511"/>
      <c r="C39" s="512"/>
      <c r="D39" s="512"/>
      <c r="E39" s="512"/>
      <c r="F39" s="512"/>
      <c r="G39" s="512"/>
      <c r="H39" s="512"/>
      <c r="I39" s="512"/>
      <c r="J39" s="512"/>
      <c r="K39" s="513"/>
      <c r="N39" s="435"/>
      <c r="O39" s="435"/>
      <c r="P39" s="435"/>
      <c r="Q39" s="435"/>
    </row>
    <row r="40" spans="1:18" ht="25" customHeight="1" x14ac:dyDescent="0.5">
      <c r="B40" s="514"/>
      <c r="C40" s="515"/>
      <c r="D40" s="515"/>
      <c r="E40" s="515"/>
      <c r="F40" s="515"/>
      <c r="G40" s="515"/>
      <c r="H40" s="515"/>
      <c r="I40" s="515"/>
      <c r="J40" s="515"/>
      <c r="K40" s="516"/>
      <c r="N40" s="435"/>
      <c r="O40" s="435"/>
      <c r="P40" s="435"/>
      <c r="Q40" s="435"/>
    </row>
    <row r="41" spans="1:18" ht="50.15" customHeight="1" x14ac:dyDescent="0.5">
      <c r="B41" s="502" t="s">
        <v>397</v>
      </c>
      <c r="C41" s="502"/>
      <c r="D41" s="502"/>
      <c r="E41" s="502"/>
      <c r="F41" s="502"/>
      <c r="G41" s="502"/>
      <c r="H41" s="502"/>
      <c r="I41" s="502"/>
      <c r="J41" s="502"/>
      <c r="K41" s="502"/>
    </row>
    <row r="42" spans="1:18" ht="25" customHeight="1" x14ac:dyDescent="0.5">
      <c r="A42" s="403"/>
      <c r="B42" s="402"/>
      <c r="C42" s="403"/>
      <c r="D42" s="403"/>
      <c r="E42" s="403"/>
      <c r="F42" s="403"/>
      <c r="G42" s="403"/>
      <c r="H42" s="403"/>
      <c r="I42" s="403"/>
      <c r="J42" s="403"/>
      <c r="K42" s="433"/>
    </row>
    <row r="43" spans="1:18" ht="50.15" customHeight="1" x14ac:dyDescent="0.5">
      <c r="B43" s="506" t="s">
        <v>345</v>
      </c>
      <c r="C43" s="506"/>
      <c r="D43" s="506"/>
      <c r="E43" s="506"/>
      <c r="F43" s="507" t="str">
        <f>Chromatography!B16</f>
        <v>Propriedades do Gas - Condição Padrão (1)</v>
      </c>
      <c r="G43" s="507"/>
      <c r="H43" s="507"/>
      <c r="I43" s="507"/>
      <c r="J43" s="403"/>
      <c r="K43" s="355"/>
      <c r="O43" s="416"/>
      <c r="P43" s="416"/>
      <c r="Q43" s="416"/>
      <c r="R43" s="416"/>
    </row>
    <row r="44" spans="1:18" ht="50.15" customHeight="1" x14ac:dyDescent="0.5">
      <c r="B44" s="408" t="s">
        <v>288</v>
      </c>
      <c r="C44" s="429" t="s">
        <v>342</v>
      </c>
      <c r="D44" s="429" t="s">
        <v>343</v>
      </c>
      <c r="E44" s="429" t="s">
        <v>344</v>
      </c>
      <c r="F44" s="506" t="str">
        <f>Chromatography!C16</f>
        <v>Referência</v>
      </c>
      <c r="G44" s="506"/>
      <c r="H44" s="429" t="s">
        <v>343</v>
      </c>
      <c r="I44" s="429" t="s">
        <v>344</v>
      </c>
      <c r="J44" s="411"/>
      <c r="K44" s="355"/>
    </row>
    <row r="45" spans="1:18" ht="50.15" customHeight="1" x14ac:dyDescent="0.5">
      <c r="B45" s="408" t="str">
        <f>Chromatography!B2</f>
        <v>N2</v>
      </c>
      <c r="C45" s="429" t="str">
        <f>Chromatography!C2</f>
        <v>Nitrogênio</v>
      </c>
      <c r="D45" s="428">
        <f>Chromatography!D2</f>
        <v>0.24299999999999999</v>
      </c>
      <c r="E45" s="428">
        <f>Chromatography!E2</f>
        <v>1.6E-2</v>
      </c>
      <c r="F45" s="408" t="s">
        <v>401</v>
      </c>
      <c r="G45" s="430" t="str">
        <f>Chromatography!C17</f>
        <v>ISO 6976</v>
      </c>
      <c r="H45" s="428">
        <f>Chromatography!D17</f>
        <v>38580</v>
      </c>
      <c r="I45" s="428">
        <f>Chromatography!E17</f>
        <v>70</v>
      </c>
      <c r="J45" s="356"/>
      <c r="K45" s="355"/>
    </row>
    <row r="46" spans="1:18" ht="50.15" customHeight="1" x14ac:dyDescent="0.5">
      <c r="B46" s="408" t="str">
        <f>Chromatography!B3</f>
        <v>C1</v>
      </c>
      <c r="C46" s="429" t="str">
        <f>Chromatography!C3</f>
        <v>Metano</v>
      </c>
      <c r="D46" s="428">
        <f>Chromatography!D3</f>
        <v>91.63</v>
      </c>
      <c r="E46" s="428">
        <f>Chromatography!E3</f>
        <v>4.9000000000000002E-2</v>
      </c>
      <c r="F46" s="408" t="s">
        <v>402</v>
      </c>
      <c r="G46" s="430" t="str">
        <f>Chromatography!C18</f>
        <v>ISO 6976</v>
      </c>
      <c r="H46" s="428">
        <f>Chromatography!D18</f>
        <v>34837</v>
      </c>
      <c r="I46" s="428">
        <f>Chromatography!E18</f>
        <v>65</v>
      </c>
      <c r="J46" s="356"/>
      <c r="K46" s="355"/>
    </row>
    <row r="47" spans="1:18" ht="50.15" customHeight="1" x14ac:dyDescent="0.5">
      <c r="B47" s="408" t="str">
        <f>Chromatography!B4</f>
        <v>CO2</v>
      </c>
      <c r="C47" s="429" t="str">
        <f>Chromatography!C4</f>
        <v>Dióxido de Carbono</v>
      </c>
      <c r="D47" s="428">
        <f>Chromatography!D4</f>
        <v>2.8959999999999999</v>
      </c>
      <c r="E47" s="428">
        <f>Chromatography!E4</f>
        <v>3.1E-2</v>
      </c>
      <c r="F47" s="408" t="s">
        <v>403</v>
      </c>
      <c r="G47" s="430" t="str">
        <f>Chromatography!C19</f>
        <v>ISO 6976</v>
      </c>
      <c r="H47" s="428">
        <f>Chromatography!D19</f>
        <v>0.99770000000000003</v>
      </c>
      <c r="I47" s="428">
        <f>Chromatography!E19</f>
        <v>1E-4</v>
      </c>
      <c r="J47" s="356"/>
      <c r="K47" s="355"/>
    </row>
    <row r="48" spans="1:18" ht="50.15" customHeight="1" x14ac:dyDescent="0.5">
      <c r="B48" s="408" t="str">
        <f>Chromatography!B5</f>
        <v>C2</v>
      </c>
      <c r="C48" s="429" t="str">
        <f>Chromatography!C5</f>
        <v>Etano</v>
      </c>
      <c r="D48" s="428">
        <f>Chromatography!D5</f>
        <v>2.9870000000000001</v>
      </c>
      <c r="E48" s="428">
        <f>Chromatography!E5</f>
        <v>3.2000000000000001E-2</v>
      </c>
      <c r="F48" s="408" t="s">
        <v>404</v>
      </c>
      <c r="G48" s="430" t="str">
        <f>Chromatography!C20</f>
        <v>ISO 6976</v>
      </c>
      <c r="H48" s="428">
        <f>Chromatography!D20</f>
        <v>18.207000000000001</v>
      </c>
      <c r="I48" s="428">
        <f>Chromatography!E20</f>
        <v>4.2999999999999997E-2</v>
      </c>
      <c r="J48" s="356"/>
      <c r="K48" s="355"/>
    </row>
    <row r="49" spans="2:17" ht="50.15" customHeight="1" x14ac:dyDescent="0.5">
      <c r="B49" s="408" t="str">
        <f>Chromatography!B6</f>
        <v>C3</v>
      </c>
      <c r="C49" s="429" t="str">
        <f>Chromatography!C6</f>
        <v>Propano</v>
      </c>
      <c r="D49" s="428">
        <f>Chromatography!D6</f>
        <v>1.1379999999999999</v>
      </c>
      <c r="E49" s="428">
        <f>Chromatography!E6</f>
        <v>1.4999999999999999E-2</v>
      </c>
      <c r="F49" s="408" t="s">
        <v>405</v>
      </c>
      <c r="G49" s="430" t="str">
        <f>Chromatography!C21</f>
        <v>(2)</v>
      </c>
      <c r="H49" s="428">
        <f>Chromatography!D21</f>
        <v>1.09E-2</v>
      </c>
      <c r="I49" s="428">
        <f>Chromatography!E21</f>
        <v>4.0000000000000002E-4</v>
      </c>
      <c r="J49" s="356"/>
      <c r="K49" s="355"/>
    </row>
    <row r="50" spans="2:17" ht="50.15" customHeight="1" x14ac:dyDescent="0.5">
      <c r="B50" s="408" t="str">
        <f>Chromatography!B7</f>
        <v>iC4</v>
      </c>
      <c r="C50" s="429" t="str">
        <f>Chromatography!C7</f>
        <v>iso-Butano</v>
      </c>
      <c r="D50" s="428">
        <f>Chromatography!D7</f>
        <v>0.24</v>
      </c>
      <c r="E50" s="428">
        <f>Chromatography!E7</f>
        <v>2E-3</v>
      </c>
      <c r="F50" s="408" t="s">
        <v>406</v>
      </c>
      <c r="G50" s="430" t="str">
        <f>Chromatography!C22</f>
        <v>ISO 20765</v>
      </c>
      <c r="H50" s="428">
        <f>Chromatography!D22</f>
        <v>1.2896000000000001</v>
      </c>
      <c r="I50" s="428">
        <f>Chromatography!E22</f>
        <v>2.9999999999999997E-4</v>
      </c>
      <c r="J50" s="356"/>
      <c r="K50" s="355"/>
    </row>
    <row r="51" spans="2:17" ht="50.15" customHeight="1" x14ac:dyDescent="0.5">
      <c r="B51" s="408" t="str">
        <f>Chromatography!B8</f>
        <v>nC4</v>
      </c>
      <c r="C51" s="429" t="str">
        <f>Chromatography!C8</f>
        <v>n-Butano</v>
      </c>
      <c r="D51" s="428">
        <f>Chromatography!D8</f>
        <v>0.40799999999999997</v>
      </c>
      <c r="E51" s="428">
        <f>Chromatography!E8</f>
        <v>4.0000000000000001E-3</v>
      </c>
      <c r="F51" s="408" t="s">
        <v>407</v>
      </c>
      <c r="G51" s="430" t="str">
        <f>Chromatography!C23</f>
        <v>ISO 6976</v>
      </c>
      <c r="H51" s="428">
        <f>Chromatography!D23</f>
        <v>0.75860000000000005</v>
      </c>
      <c r="I51" s="428">
        <f>Chromatography!E23</f>
        <v>1.8E-3</v>
      </c>
      <c r="J51" s="356"/>
      <c r="K51" s="355"/>
      <c r="M51" s="352"/>
      <c r="N51" s="352"/>
      <c r="O51" s="352"/>
      <c r="P51" s="352"/>
      <c r="Q51" s="352"/>
    </row>
    <row r="52" spans="2:17" ht="50.15" customHeight="1" x14ac:dyDescent="0.5">
      <c r="B52" s="408" t="str">
        <f>Chromatography!B9</f>
        <v>iC5</v>
      </c>
      <c r="C52" s="429" t="str">
        <f>Chromatography!C9</f>
        <v>iso-Pentano</v>
      </c>
      <c r="D52" s="428">
        <f>Chromatography!D9</f>
        <v>0.109</v>
      </c>
      <c r="E52" s="428">
        <f>Chromatography!E9</f>
        <v>1E-3</v>
      </c>
      <c r="F52" s="408" t="s">
        <v>408</v>
      </c>
      <c r="G52" s="430" t="str">
        <f>Chromatography!C24</f>
        <v>ISO 6976</v>
      </c>
      <c r="H52" s="428">
        <f>Chromatography!D24</f>
        <v>0.62980000000000003</v>
      </c>
      <c r="I52" s="428">
        <f>Chromatography!E24</f>
        <v>1.5E-3</v>
      </c>
      <c r="J52" s="356"/>
      <c r="K52" s="355"/>
      <c r="M52" s="352"/>
      <c r="N52" s="352"/>
      <c r="O52" s="352"/>
      <c r="P52" s="352"/>
      <c r="Q52" s="352"/>
    </row>
    <row r="53" spans="2:17" ht="50.15" customHeight="1" x14ac:dyDescent="0.5">
      <c r="B53" s="408" t="str">
        <f>Chromatography!B10</f>
        <v>nC5</v>
      </c>
      <c r="C53" s="429" t="str">
        <f>Chromatography!C10</f>
        <v>n-Pentano</v>
      </c>
      <c r="D53" s="428">
        <f>Chromatography!D10</f>
        <v>0.13300000000000001</v>
      </c>
      <c r="E53" s="428">
        <f>Chromatography!E10</f>
        <v>2E-3</v>
      </c>
      <c r="G53" s="352"/>
      <c r="H53" s="352"/>
      <c r="I53" s="352"/>
      <c r="J53" s="352"/>
      <c r="K53" s="378"/>
      <c r="L53" s="352"/>
      <c r="M53" s="352"/>
      <c r="N53" s="352"/>
      <c r="O53" s="352"/>
      <c r="P53" s="352"/>
      <c r="Q53" s="352"/>
    </row>
    <row r="54" spans="2:17" ht="50.15" customHeight="1" x14ac:dyDescent="0.5">
      <c r="B54" s="408" t="str">
        <f>Chromatography!B11</f>
        <v>C6</v>
      </c>
      <c r="C54" s="429" t="str">
        <f>Chromatography!C11</f>
        <v>Hexano</v>
      </c>
      <c r="D54" s="428">
        <f>Chromatography!D11</f>
        <v>8.6999999999999994E-2</v>
      </c>
      <c r="E54" s="428">
        <f>Chromatography!E11</f>
        <v>2E-3</v>
      </c>
      <c r="G54" s="352"/>
      <c r="H54" s="352"/>
      <c r="I54" s="352"/>
      <c r="J54" s="352"/>
      <c r="K54" s="378"/>
      <c r="L54" s="352"/>
      <c r="M54" s="352"/>
      <c r="N54" s="352"/>
      <c r="O54" s="352"/>
      <c r="P54" s="352"/>
      <c r="Q54" s="352"/>
    </row>
    <row r="55" spans="2:17" ht="50.15" customHeight="1" x14ac:dyDescent="0.5">
      <c r="B55" s="408" t="str">
        <f>Chromatography!B12</f>
        <v>C7</v>
      </c>
      <c r="C55" s="429" t="str">
        <f>Chromatography!C12</f>
        <v>Heptano</v>
      </c>
      <c r="D55" s="428">
        <f>Chromatography!D12</f>
        <v>7.6999999999999999E-2</v>
      </c>
      <c r="E55" s="428">
        <f>Chromatography!E12</f>
        <v>5.0000000000000001E-3</v>
      </c>
      <c r="G55" s="352"/>
      <c r="H55" s="352"/>
      <c r="I55" s="352"/>
      <c r="J55" s="352"/>
      <c r="K55" s="378"/>
      <c r="L55" s="352"/>
      <c r="M55" s="352"/>
      <c r="N55" s="352"/>
      <c r="O55" s="352"/>
      <c r="P55" s="352"/>
      <c r="Q55" s="352"/>
    </row>
    <row r="56" spans="2:17" ht="50.15" customHeight="1" x14ac:dyDescent="0.5">
      <c r="B56" s="408" t="str">
        <f>Chromatography!B13</f>
        <v>C8</v>
      </c>
      <c r="C56" s="429" t="str">
        <f>Chromatography!C13</f>
        <v>Octano</v>
      </c>
      <c r="D56" s="428">
        <f>Chromatography!D13</f>
        <v>4.4999999999999998E-2</v>
      </c>
      <c r="E56" s="428">
        <f>Chromatography!E13</f>
        <v>3.0000000000000001E-3</v>
      </c>
      <c r="G56" s="352"/>
      <c r="H56" s="352"/>
      <c r="I56" s="352"/>
      <c r="J56" s="352"/>
      <c r="K56" s="378"/>
      <c r="L56" s="352"/>
      <c r="M56" s="352"/>
      <c r="N56" s="352"/>
      <c r="O56" s="352"/>
      <c r="P56" s="352"/>
      <c r="Q56" s="352"/>
    </row>
    <row r="57" spans="2:17" ht="50.15" customHeight="1" x14ac:dyDescent="0.5">
      <c r="B57" s="408" t="str">
        <f>Chromatography!B14</f>
        <v>C9+</v>
      </c>
      <c r="C57" s="429" t="str">
        <f>Chromatography!C14</f>
        <v>Nonano</v>
      </c>
      <c r="D57" s="428">
        <f>Chromatography!D14</f>
        <v>7.0000000000000001E-3</v>
      </c>
      <c r="E57" s="428">
        <f>Chromatography!E14</f>
        <v>3.0000000000000001E-3</v>
      </c>
      <c r="G57" s="352"/>
      <c r="H57" s="352"/>
      <c r="I57" s="352"/>
      <c r="J57" s="352"/>
      <c r="K57" s="378"/>
      <c r="L57" s="352"/>
      <c r="M57" s="352"/>
      <c r="N57" s="352"/>
      <c r="O57" s="352"/>
      <c r="P57" s="352"/>
      <c r="Q57" s="352"/>
    </row>
    <row r="58" spans="2:17" ht="50.15" customHeight="1" x14ac:dyDescent="0.5">
      <c r="B58" s="463"/>
      <c r="C58" s="356"/>
      <c r="D58" s="356"/>
      <c r="E58" s="356"/>
      <c r="G58" s="352"/>
      <c r="H58" s="352"/>
      <c r="I58" s="352"/>
      <c r="J58" s="352"/>
      <c r="K58" s="378"/>
      <c r="L58" s="352"/>
      <c r="M58" s="352"/>
      <c r="N58" s="352"/>
      <c r="O58" s="352"/>
      <c r="P58" s="352"/>
      <c r="Q58" s="352"/>
    </row>
    <row r="59" spans="2:17" ht="50.15" customHeight="1" x14ac:dyDescent="0.5">
      <c r="B59" s="507" t="str">
        <f>Chromatography!B26</f>
        <v>Propriedades do Gas - Condições de Amostragem</v>
      </c>
      <c r="C59" s="507"/>
      <c r="D59" s="507"/>
      <c r="E59" s="507"/>
      <c r="G59" s="352"/>
      <c r="H59" s="352"/>
      <c r="I59" s="352"/>
      <c r="J59" s="352"/>
      <c r="K59" s="378"/>
      <c r="L59" s="352"/>
      <c r="M59" s="352"/>
      <c r="N59" s="352"/>
      <c r="O59" s="352"/>
      <c r="P59" s="352"/>
      <c r="Q59" s="352"/>
    </row>
    <row r="60" spans="2:17" ht="50.15" customHeight="1" x14ac:dyDescent="0.5">
      <c r="B60" s="429" t="str">
        <f>Chromatography!C26</f>
        <v>Referência</v>
      </c>
      <c r="C60" s="455"/>
      <c r="D60" s="429" t="s">
        <v>343</v>
      </c>
      <c r="E60" s="429" t="s">
        <v>344</v>
      </c>
      <c r="G60" s="352"/>
      <c r="H60" s="352"/>
      <c r="I60" s="352"/>
      <c r="J60" s="352"/>
      <c r="K60" s="378"/>
      <c r="L60" s="352"/>
      <c r="M60" s="352"/>
      <c r="N60" s="352"/>
      <c r="O60" s="352"/>
      <c r="P60" s="352"/>
      <c r="Q60" s="352"/>
    </row>
    <row r="61" spans="2:17" ht="50.15" customHeight="1" x14ac:dyDescent="0.5">
      <c r="B61" s="404" t="s">
        <v>407</v>
      </c>
      <c r="C61" s="430" t="str">
        <f>Chromatography!C27</f>
        <v>ISO 20765</v>
      </c>
      <c r="D61" s="428">
        <f>Chromatography!D27</f>
        <v>107.9</v>
      </c>
      <c r="E61" s="428">
        <f>Chromatography!E27</f>
        <v>0.42</v>
      </c>
      <c r="G61" s="352"/>
      <c r="H61" s="352"/>
      <c r="I61" s="352"/>
      <c r="J61" s="352"/>
      <c r="K61" s="378"/>
      <c r="L61" s="352"/>
      <c r="M61" s="352"/>
      <c r="N61" s="352"/>
      <c r="O61" s="352"/>
      <c r="P61" s="352"/>
      <c r="Q61" s="352"/>
    </row>
    <row r="62" spans="2:17" ht="50.15" customHeight="1" x14ac:dyDescent="0.5">
      <c r="B62" s="404" t="s">
        <v>409</v>
      </c>
      <c r="C62" s="430" t="str">
        <f>Chromatography!C28</f>
        <v>ISO 6976</v>
      </c>
      <c r="D62" s="428">
        <f>Chromatography!D28</f>
        <v>0.82199999999999995</v>
      </c>
      <c r="E62" s="428">
        <f>Chromatography!E28</f>
        <v>2E-3</v>
      </c>
      <c r="G62" s="352"/>
      <c r="H62" s="352"/>
      <c r="I62" s="352"/>
      <c r="J62" s="352"/>
      <c r="K62" s="378"/>
      <c r="L62" s="352"/>
      <c r="M62" s="352"/>
      <c r="N62" s="352"/>
      <c r="O62" s="352"/>
      <c r="P62" s="352"/>
      <c r="Q62" s="352"/>
    </row>
    <row r="63" spans="2:17" ht="50.15" customHeight="1" x14ac:dyDescent="0.5">
      <c r="B63" s="404" t="s">
        <v>406</v>
      </c>
      <c r="C63" s="430" t="str">
        <f>Chromatography!C29</f>
        <v>ISO 20765</v>
      </c>
      <c r="D63" s="428">
        <f>Chromatography!D29</f>
        <v>1.7769999999999999</v>
      </c>
      <c r="E63" s="428">
        <f>Chromatography!E29</f>
        <v>3.0000000000000001E-3</v>
      </c>
      <c r="G63" s="352"/>
      <c r="H63" s="352"/>
      <c r="I63" s="352"/>
      <c r="J63" s="352"/>
      <c r="K63" s="378"/>
      <c r="L63" s="352"/>
      <c r="M63" s="352"/>
      <c r="N63" s="352"/>
      <c r="O63" s="352"/>
      <c r="P63" s="352"/>
      <c r="Q63" s="352"/>
    </row>
    <row r="64" spans="2:17" ht="50.15" customHeight="1" x14ac:dyDescent="0.5">
      <c r="B64" s="404" t="s">
        <v>410</v>
      </c>
      <c r="C64" s="430" t="str">
        <f>Chromatography!C30</f>
        <v>(2)</v>
      </c>
      <c r="D64" s="428">
        <f>Chromatography!D30</f>
        <v>1.5900000000000001E-2</v>
      </c>
      <c r="E64" s="428">
        <f>Chromatography!E30</f>
        <v>2.0000000000000002E-5</v>
      </c>
      <c r="G64" s="352"/>
      <c r="H64" s="352"/>
      <c r="I64" s="352"/>
      <c r="J64" s="352"/>
      <c r="K64" s="378"/>
      <c r="L64" s="352"/>
      <c r="M64" s="352"/>
      <c r="N64" s="352"/>
      <c r="O64" s="352"/>
      <c r="P64" s="352"/>
      <c r="Q64" s="352"/>
    </row>
    <row r="65" spans="2:18" ht="50.15" customHeight="1" x14ac:dyDescent="0.5">
      <c r="B65" s="404" t="s">
        <v>411</v>
      </c>
      <c r="C65" s="430" t="str">
        <f>Chromatography!C31</f>
        <v>ISO 20765</v>
      </c>
      <c r="D65" s="428">
        <f>Chromatography!D31</f>
        <v>0.80330000000000001</v>
      </c>
      <c r="E65" s="428">
        <f>Chromatography!E31</f>
        <v>1.1000000000000001E-3</v>
      </c>
      <c r="G65" s="352"/>
      <c r="H65" s="352"/>
      <c r="I65" s="352"/>
      <c r="J65" s="352"/>
      <c r="K65" s="378"/>
      <c r="L65" s="352"/>
      <c r="M65" s="352"/>
      <c r="N65" s="352"/>
      <c r="O65" s="352"/>
      <c r="P65" s="352"/>
      <c r="Q65" s="352"/>
    </row>
    <row r="66" spans="2:18" ht="50.15" customHeight="1" x14ac:dyDescent="0.5">
      <c r="B66" s="404" t="s">
        <v>412</v>
      </c>
      <c r="C66" s="430" t="str">
        <f>Chromatography!C32</f>
        <v>ISO 6976</v>
      </c>
      <c r="D66" s="428">
        <f>Chromatography!D32</f>
        <v>48614</v>
      </c>
      <c r="E66" s="428">
        <f>Chromatography!E32</f>
        <v>62</v>
      </c>
      <c r="G66" s="352"/>
      <c r="H66" s="352"/>
      <c r="I66" s="352"/>
      <c r="J66" s="352"/>
      <c r="K66" s="378"/>
      <c r="L66" s="352"/>
      <c r="M66" s="352"/>
      <c r="N66" s="352"/>
      <c r="O66" s="352"/>
      <c r="P66" s="352"/>
      <c r="Q66" s="352"/>
    </row>
    <row r="67" spans="2:18" ht="50.15" hidden="1" customHeight="1" x14ac:dyDescent="0.5">
      <c r="B67" s="463"/>
      <c r="C67" s="356"/>
      <c r="D67" s="356"/>
      <c r="E67" s="356"/>
      <c r="G67" s="352"/>
      <c r="H67" s="352"/>
      <c r="I67" s="352"/>
      <c r="J67" s="352"/>
      <c r="K67" s="378"/>
      <c r="L67" s="352"/>
      <c r="M67" s="352"/>
      <c r="N67" s="352"/>
      <c r="O67" s="352"/>
      <c r="P67" s="352"/>
      <c r="Q67" s="352"/>
    </row>
    <row r="68" spans="2:18" ht="50.15" hidden="1" customHeight="1" x14ac:dyDescent="0.5">
      <c r="B68" s="379"/>
      <c r="K68" s="378"/>
    </row>
    <row r="69" spans="2:18" ht="25" customHeight="1" x14ac:dyDescent="0.5">
      <c r="B69" s="422"/>
      <c r="C69" s="373"/>
      <c r="D69" s="359"/>
      <c r="E69" s="359"/>
      <c r="F69" s="359"/>
      <c r="G69" s="358"/>
      <c r="H69" s="358"/>
      <c r="I69" s="358"/>
      <c r="J69" s="358"/>
      <c r="K69" s="378"/>
    </row>
    <row r="70" spans="2:18" x14ac:dyDescent="0.5">
      <c r="B70" s="413"/>
      <c r="C70" s="354"/>
      <c r="D70" s="356"/>
      <c r="E70" s="356"/>
      <c r="F70" s="356"/>
      <c r="K70" s="377"/>
    </row>
    <row r="71" spans="2:18" x14ac:dyDescent="0.5">
      <c r="B71" s="413"/>
      <c r="C71" s="354"/>
      <c r="D71" s="356"/>
      <c r="E71" s="356"/>
      <c r="F71" s="356"/>
      <c r="K71" s="356"/>
    </row>
    <row r="72" spans="2:18" ht="21" customHeight="1" x14ac:dyDescent="0.5">
      <c r="B72" s="508" t="str">
        <f>B1</f>
        <v>Relatório de Cálculo de Incerteza - Nº FORTE-UCG-FE-1231010B-26-04
Uncertainty Calculation Report - Nº FORTE-UCG-FE-1231010B-26-04</v>
      </c>
      <c r="C72" s="509"/>
      <c r="D72" s="509"/>
      <c r="E72" s="509"/>
      <c r="F72" s="509"/>
      <c r="G72" s="509"/>
      <c r="H72" s="509"/>
      <c r="I72" s="509"/>
      <c r="J72" s="509"/>
      <c r="K72" s="510"/>
      <c r="L72" s="409"/>
      <c r="M72" s="409"/>
      <c r="N72" s="409"/>
      <c r="O72" s="409"/>
      <c r="P72" s="409"/>
      <c r="Q72" s="409"/>
      <c r="R72" s="409"/>
    </row>
    <row r="73" spans="2:18" ht="21" customHeight="1" x14ac:dyDescent="0.5">
      <c r="B73" s="511"/>
      <c r="C73" s="512"/>
      <c r="D73" s="512"/>
      <c r="E73" s="512"/>
      <c r="F73" s="512"/>
      <c r="G73" s="512"/>
      <c r="H73" s="512"/>
      <c r="I73" s="512"/>
      <c r="J73" s="512"/>
      <c r="K73" s="513"/>
      <c r="L73" s="409"/>
      <c r="M73" s="409"/>
      <c r="N73" s="409"/>
      <c r="O73" s="409"/>
      <c r="P73" s="409"/>
      <c r="Q73" s="409"/>
      <c r="R73" s="409"/>
    </row>
    <row r="74" spans="2:18" ht="21" customHeight="1" x14ac:dyDescent="0.5">
      <c r="B74" s="511"/>
      <c r="C74" s="512"/>
      <c r="D74" s="512"/>
      <c r="E74" s="512"/>
      <c r="F74" s="512"/>
      <c r="G74" s="512"/>
      <c r="H74" s="512"/>
      <c r="I74" s="512"/>
      <c r="J74" s="512"/>
      <c r="K74" s="513"/>
      <c r="L74" s="409"/>
      <c r="M74" s="409"/>
      <c r="N74" s="409"/>
      <c r="O74" s="409"/>
      <c r="P74" s="409"/>
      <c r="Q74" s="409"/>
      <c r="R74" s="409"/>
    </row>
    <row r="75" spans="2:18" ht="21" customHeight="1" x14ac:dyDescent="0.5">
      <c r="B75" s="514"/>
      <c r="C75" s="515"/>
      <c r="D75" s="515"/>
      <c r="E75" s="515"/>
      <c r="F75" s="515"/>
      <c r="G75" s="515"/>
      <c r="H75" s="515"/>
      <c r="I75" s="515"/>
      <c r="J75" s="515"/>
      <c r="K75" s="516"/>
      <c r="L75" s="409"/>
      <c r="M75" s="409"/>
      <c r="N75" s="409"/>
      <c r="O75" s="409"/>
      <c r="P75" s="409"/>
      <c r="Q75" s="409"/>
      <c r="R75" s="409"/>
    </row>
    <row r="76" spans="2:18" x14ac:dyDescent="0.5">
      <c r="B76" s="422"/>
      <c r="C76" s="354"/>
      <c r="D76" s="356"/>
      <c r="E76" s="356"/>
      <c r="F76" s="356"/>
      <c r="K76" s="378"/>
    </row>
    <row r="77" spans="2:18" ht="50.15" customHeight="1" x14ac:dyDescent="0.5">
      <c r="B77" s="527" t="s">
        <v>431</v>
      </c>
      <c r="C77" s="528"/>
      <c r="D77" s="528"/>
      <c r="E77" s="528"/>
      <c r="F77" s="528"/>
      <c r="G77" s="528"/>
      <c r="H77" s="528"/>
      <c r="I77" s="528"/>
      <c r="J77" s="528"/>
      <c r="K77" s="529"/>
      <c r="L77" s="409"/>
      <c r="M77" s="409"/>
      <c r="N77" s="409"/>
      <c r="O77" s="409"/>
      <c r="P77" s="409"/>
      <c r="Q77" s="409"/>
      <c r="R77" s="409"/>
    </row>
    <row r="78" spans="2:18" ht="25" customHeight="1" x14ac:dyDescent="0.5">
      <c r="B78" s="423"/>
      <c r="C78" s="436"/>
      <c r="D78" s="352"/>
      <c r="E78" s="352"/>
      <c r="K78" s="355"/>
      <c r="M78" s="352"/>
    </row>
    <row r="79" spans="2:18" ht="50.15" customHeight="1" x14ac:dyDescent="0.5">
      <c r="B79" s="404" t="s">
        <v>350</v>
      </c>
      <c r="C79" s="453">
        <f>'Metering station'!H11</f>
        <v>1757.9097806480299</v>
      </c>
      <c r="D79" s="354" t="s">
        <v>59</v>
      </c>
      <c r="F79" s="352"/>
      <c r="G79" s="352"/>
      <c r="H79" s="352"/>
      <c r="I79" s="352"/>
      <c r="J79" s="352"/>
      <c r="K79" s="353"/>
      <c r="L79" s="416"/>
      <c r="M79" s="416"/>
      <c r="O79" s="352"/>
      <c r="P79" s="352"/>
      <c r="Q79" s="352"/>
    </row>
    <row r="80" spans="2:18" ht="25" customHeight="1" x14ac:dyDescent="0.5">
      <c r="B80" s="380"/>
      <c r="C80" s="419"/>
      <c r="D80" s="354"/>
      <c r="F80" s="352"/>
      <c r="G80" s="352"/>
      <c r="H80" s="352"/>
      <c r="I80" s="352"/>
      <c r="J80" s="352"/>
      <c r="K80" s="353"/>
      <c r="L80" s="416"/>
      <c r="M80" s="416"/>
      <c r="O80" s="352"/>
      <c r="P80" s="352"/>
      <c r="Q80" s="352"/>
    </row>
    <row r="81" spans="2:17" ht="25" customHeight="1" x14ac:dyDescent="0.5">
      <c r="B81" s="507" t="s">
        <v>326</v>
      </c>
      <c r="C81" s="465" t="s">
        <v>287</v>
      </c>
      <c r="D81" s="465" t="s">
        <v>94</v>
      </c>
      <c r="E81" s="465" t="s">
        <v>93</v>
      </c>
      <c r="F81" s="465" t="s">
        <v>110</v>
      </c>
      <c r="G81" s="467" t="s">
        <v>427</v>
      </c>
      <c r="H81" s="465" t="s">
        <v>255</v>
      </c>
      <c r="I81" s="465" t="s">
        <v>259</v>
      </c>
      <c r="J81" s="411"/>
      <c r="K81" s="355"/>
      <c r="N81" s="416"/>
      <c r="O81" s="501"/>
      <c r="P81" s="501"/>
      <c r="Q81" s="501"/>
    </row>
    <row r="82" spans="2:17" ht="25" customHeight="1" x14ac:dyDescent="0.5">
      <c r="B82" s="507"/>
      <c r="C82" s="466" t="s">
        <v>288</v>
      </c>
      <c r="D82" s="466" t="s">
        <v>92</v>
      </c>
      <c r="E82" s="466" t="s">
        <v>91</v>
      </c>
      <c r="F82" s="466" t="s">
        <v>428</v>
      </c>
      <c r="G82" s="466" t="s">
        <v>103</v>
      </c>
      <c r="H82" s="466" t="s">
        <v>258</v>
      </c>
      <c r="I82" s="466" t="s">
        <v>260</v>
      </c>
      <c r="J82" s="356"/>
      <c r="K82" s="355"/>
      <c r="N82" s="352"/>
      <c r="O82" s="501"/>
      <c r="P82" s="501"/>
      <c r="Q82" s="501"/>
    </row>
    <row r="83" spans="2:17" ht="50.15" customHeight="1" x14ac:dyDescent="0.5">
      <c r="B83" s="468" t="s">
        <v>413</v>
      </c>
      <c r="C83" s="430" t="s">
        <v>74</v>
      </c>
      <c r="D83" s="428" t="s">
        <v>6</v>
      </c>
      <c r="E83" s="453">
        <f>'Meter run parameters'!F42</f>
        <v>37.99</v>
      </c>
      <c r="F83" s="461">
        <f>'Metering station'!M19</f>
        <v>2.4875621890547268E-2</v>
      </c>
      <c r="G83" s="453">
        <f>'Metering station'!P19</f>
        <v>92.428184859621652</v>
      </c>
      <c r="H83" s="453">
        <f>'Metering station'!R19</f>
        <v>5.2863600878965844</v>
      </c>
      <c r="I83" s="464">
        <f>H83/'Metering station'!$R$36</f>
        <v>3.0620826390065883E-2</v>
      </c>
      <c r="J83" s="438"/>
      <c r="K83" s="355"/>
      <c r="N83" s="352"/>
      <c r="O83" s="447"/>
      <c r="P83" s="447"/>
      <c r="Q83" s="416"/>
    </row>
    <row r="84" spans="2:17" ht="50.15" customHeight="1" x14ac:dyDescent="0.5">
      <c r="B84" s="468" t="s">
        <v>414</v>
      </c>
      <c r="C84" s="430" t="s">
        <v>286</v>
      </c>
      <c r="D84" s="428" t="s">
        <v>6</v>
      </c>
      <c r="E84" s="453">
        <f>'Meter run parameters'!F12</f>
        <v>87.76</v>
      </c>
      <c r="F84" s="461">
        <f>'Metering station'!M21</f>
        <v>0.03</v>
      </c>
      <c r="G84" s="453">
        <f>'Metering station'!P21</f>
        <v>92.428184859621652</v>
      </c>
      <c r="H84" s="453">
        <f>'Metering station'!R21</f>
        <v>7.6886724207999544</v>
      </c>
      <c r="I84" s="464">
        <f>H84/'Metering station'!$R$36</f>
        <v>4.4536032251461848E-2</v>
      </c>
      <c r="J84" s="438"/>
      <c r="K84" s="355"/>
      <c r="N84" s="352"/>
      <c r="O84" s="447"/>
      <c r="P84" s="447"/>
      <c r="Q84" s="416"/>
    </row>
    <row r="85" spans="2:17" ht="50.15" customHeight="1" x14ac:dyDescent="0.5">
      <c r="B85" s="468" t="s">
        <v>415</v>
      </c>
      <c r="C85" s="430" t="s">
        <v>75</v>
      </c>
      <c r="D85" s="460" t="s">
        <v>32</v>
      </c>
      <c r="E85" s="454">
        <f>'Coef Disc &amp; Expansao'!O37</f>
        <v>0.60134231064280963</v>
      </c>
      <c r="F85" s="461">
        <f>'Metering station'!M23</f>
        <v>1.7359257246236887E-3</v>
      </c>
      <c r="G85" s="453">
        <f>'Metering station'!P23</f>
        <v>2919.5906230708638</v>
      </c>
      <c r="H85" s="453">
        <f>'Metering station'!R23</f>
        <v>25.686574892274468</v>
      </c>
      <c r="I85" s="464">
        <f>H85/'Metering station'!$R$36</f>
        <v>0.14878747138935888</v>
      </c>
      <c r="J85" s="438"/>
      <c r="K85" s="355"/>
      <c r="N85" s="352"/>
      <c r="O85" s="447"/>
      <c r="P85" s="447"/>
      <c r="Q85" s="416"/>
    </row>
    <row r="86" spans="2:17" ht="50.15" customHeight="1" x14ac:dyDescent="0.5">
      <c r="B86" s="468" t="s">
        <v>416</v>
      </c>
      <c r="C86" s="430" t="s">
        <v>346</v>
      </c>
      <c r="D86" s="428" t="s">
        <v>244</v>
      </c>
      <c r="E86" s="456">
        <f>'Gas parameters'!O83</f>
        <v>1.656822164152292</v>
      </c>
      <c r="F86" s="461">
        <f>'Metering station'!M25*1</f>
        <v>2.1724534752476515E-2</v>
      </c>
      <c r="G86" s="453">
        <f>'Metering station'!P25</f>
        <v>529.83156834662407</v>
      </c>
      <c r="H86" s="453">
        <f>'Metering station'!R25</f>
        <v>132.48802635356958</v>
      </c>
      <c r="I86" s="464">
        <f>H86/'Metering station'!$R$36</f>
        <v>0.76742650638264487</v>
      </c>
      <c r="J86" s="438"/>
      <c r="K86" s="355"/>
      <c r="N86" s="352"/>
      <c r="O86" s="447"/>
      <c r="P86" s="447"/>
      <c r="Q86" s="416"/>
    </row>
    <row r="87" spans="2:17" ht="50.15" customHeight="1" x14ac:dyDescent="0.5">
      <c r="B87" s="468" t="s">
        <v>417</v>
      </c>
      <c r="C87" s="430" t="s">
        <v>289</v>
      </c>
      <c r="D87" s="428" t="s">
        <v>20</v>
      </c>
      <c r="E87" s="453">
        <f>'Coef Disc &amp; Expansao'!O96</f>
        <v>149.44264593384534</v>
      </c>
      <c r="F87" s="461">
        <f>'Metering station'!M27</f>
        <v>0.20778514620318708</v>
      </c>
      <c r="G87" s="453">
        <f>'Metering station'!P27</f>
        <v>5.8740708197367839</v>
      </c>
      <c r="H87" s="453">
        <f>'Metering station'!R27</f>
        <v>1.4897292770309614</v>
      </c>
      <c r="I87" s="464">
        <f>H87/'Metering station'!$R$36</f>
        <v>8.629140051319149E-3</v>
      </c>
      <c r="J87" s="438"/>
      <c r="K87" s="355"/>
      <c r="N87" s="352"/>
      <c r="O87" s="447"/>
      <c r="P87" s="447"/>
      <c r="Q87" s="416"/>
    </row>
    <row r="88" spans="2:17" ht="50.15" customHeight="1" x14ac:dyDescent="0.5">
      <c r="B88" s="468" t="s">
        <v>418</v>
      </c>
      <c r="C88" s="430" t="s">
        <v>290</v>
      </c>
      <c r="D88" s="460" t="s">
        <v>32</v>
      </c>
      <c r="E88" s="498">
        <f>'Coef Disc &amp; Expansao'!O69</f>
        <v>0.9999802995685616</v>
      </c>
      <c r="F88" s="461">
        <f>'Metering station'!M29</f>
        <v>1.148090488886112E-6</v>
      </c>
      <c r="G88" s="453">
        <f>'Metering station'!P29</f>
        <v>1755.7079596127976</v>
      </c>
      <c r="H88" s="453">
        <f>'Metering station'!R29</f>
        <v>4.0630932934515281E-6</v>
      </c>
      <c r="I88" s="464">
        <f>H88/'Metering station'!$R$36</f>
        <v>2.3535149380057546E-8</v>
      </c>
      <c r="J88" s="438"/>
      <c r="K88" s="355"/>
      <c r="N88" s="352"/>
      <c r="O88" s="447"/>
      <c r="P88" s="447"/>
      <c r="Q88" s="416"/>
    </row>
    <row r="89" spans="2:17" ht="25" customHeight="1" x14ac:dyDescent="0.5">
      <c r="B89" s="417"/>
      <c r="C89" s="356"/>
      <c r="D89" s="439"/>
      <c r="E89" s="437"/>
      <c r="F89" s="437"/>
      <c r="G89" s="419"/>
      <c r="H89" s="419"/>
      <c r="I89" s="438"/>
      <c r="J89" s="438"/>
      <c r="K89" s="355"/>
      <c r="N89" s="352"/>
      <c r="O89" s="447"/>
      <c r="P89" s="447"/>
      <c r="Q89" s="416"/>
    </row>
    <row r="90" spans="2:17" ht="50.15" customHeight="1" x14ac:dyDescent="0.5">
      <c r="B90" s="520"/>
      <c r="C90" s="521"/>
      <c r="D90" s="521"/>
      <c r="E90" s="526" t="s">
        <v>440</v>
      </c>
      <c r="F90" s="526"/>
      <c r="G90" s="526"/>
      <c r="H90" s="526"/>
      <c r="I90" s="526"/>
      <c r="J90" s="356"/>
      <c r="K90" s="353"/>
      <c r="L90" s="352"/>
      <c r="M90" s="352"/>
      <c r="N90" s="352"/>
      <c r="O90" s="352"/>
      <c r="P90" s="352"/>
      <c r="Q90" s="352"/>
    </row>
    <row r="91" spans="2:17" ht="50.15" customHeight="1" x14ac:dyDescent="0.5">
      <c r="B91" s="407" t="s">
        <v>254</v>
      </c>
      <c r="C91" s="453">
        <f>'Metering station'!R36</f>
        <v>172.63936709466483</v>
      </c>
      <c r="D91" s="352" t="str">
        <f>'Metering station'!S36</f>
        <v>(kg/h)²</v>
      </c>
      <c r="E91" s="352"/>
      <c r="F91" s="440"/>
      <c r="G91" s="352"/>
      <c r="H91" s="352"/>
      <c r="I91" s="352"/>
      <c r="J91" s="352"/>
      <c r="K91" s="355"/>
      <c r="L91" s="352"/>
      <c r="M91" s="352"/>
      <c r="N91" s="352"/>
      <c r="O91" s="352"/>
      <c r="P91" s="352"/>
      <c r="Q91" s="352"/>
    </row>
    <row r="92" spans="2:17" ht="50.15" customHeight="1" x14ac:dyDescent="0.5">
      <c r="B92" s="407" t="s">
        <v>357</v>
      </c>
      <c r="C92" s="453">
        <f>'Metering station'!R38</f>
        <v>13.139230079980518</v>
      </c>
      <c r="D92" s="352" t="str">
        <f>'Metering station'!S38</f>
        <v>kg/h</v>
      </c>
      <c r="E92" s="352"/>
      <c r="F92" s="440"/>
      <c r="G92" s="352"/>
      <c r="H92" s="352"/>
      <c r="I92" s="352"/>
      <c r="J92" s="352"/>
      <c r="K92" s="355"/>
      <c r="L92" s="352"/>
      <c r="M92" s="352"/>
      <c r="N92" s="352"/>
      <c r="O92" s="352"/>
      <c r="P92" s="352"/>
      <c r="Q92" s="352"/>
    </row>
    <row r="93" spans="2:17" ht="50.15" customHeight="1" x14ac:dyDescent="0.5">
      <c r="B93" s="407" t="s">
        <v>99</v>
      </c>
      <c r="C93" s="453">
        <f>'Metering station'!R40</f>
        <v>26.278460159961035</v>
      </c>
      <c r="D93" s="352" t="str">
        <f>'Metering station'!S40</f>
        <v>kg/h</v>
      </c>
      <c r="E93" s="352"/>
      <c r="F93" s="440"/>
      <c r="G93" s="352"/>
      <c r="I93" s="352"/>
      <c r="J93" s="352"/>
      <c r="K93" s="355"/>
      <c r="N93" s="352"/>
      <c r="O93" s="352"/>
      <c r="P93" s="352"/>
      <c r="Q93" s="352"/>
    </row>
    <row r="94" spans="2:17" ht="50.15" customHeight="1" x14ac:dyDescent="0.5">
      <c r="B94" s="407" t="s">
        <v>355</v>
      </c>
      <c r="C94" s="453">
        <f>'Metering station'!R42</f>
        <v>1757.9097806480299</v>
      </c>
      <c r="D94" s="352" t="str">
        <f>'Metering station'!S42</f>
        <v>kg/h</v>
      </c>
      <c r="E94" s="352"/>
      <c r="F94" s="440"/>
      <c r="G94" s="352"/>
      <c r="I94" s="352"/>
      <c r="J94" s="352"/>
      <c r="K94" s="355"/>
      <c r="N94" s="352"/>
      <c r="O94" s="352"/>
      <c r="P94" s="352"/>
      <c r="Q94" s="352"/>
    </row>
    <row r="95" spans="2:17" ht="50.15" customHeight="1" x14ac:dyDescent="0.5">
      <c r="B95" s="407" t="s">
        <v>356</v>
      </c>
      <c r="C95" s="456">
        <f>'Metering station'!R44</f>
        <v>1.4948696713134977</v>
      </c>
      <c r="D95" s="352" t="str">
        <f>'Metering station'!S44</f>
        <v>%</v>
      </c>
      <c r="E95" s="352"/>
      <c r="F95" s="440"/>
      <c r="G95" s="352"/>
      <c r="I95" s="352"/>
      <c r="J95" s="352"/>
      <c r="K95" s="355"/>
      <c r="N95" s="352"/>
      <c r="O95" s="352"/>
      <c r="P95" s="352"/>
      <c r="Q95" s="352"/>
    </row>
    <row r="96" spans="2:17" ht="50.15" customHeight="1" x14ac:dyDescent="0.5">
      <c r="B96" s="357"/>
      <c r="E96" s="352"/>
      <c r="F96" s="440"/>
      <c r="G96" s="352"/>
      <c r="I96" s="352"/>
      <c r="J96" s="352"/>
      <c r="K96" s="355"/>
      <c r="N96" s="352"/>
      <c r="O96" s="352"/>
      <c r="P96" s="352"/>
      <c r="Q96" s="352"/>
    </row>
    <row r="97" spans="2:17" ht="50.15" customHeight="1" x14ac:dyDescent="0.5">
      <c r="B97" s="414"/>
      <c r="C97" s="352"/>
      <c r="D97" s="352"/>
      <c r="E97" s="352"/>
      <c r="F97" s="440"/>
      <c r="G97" s="352"/>
      <c r="I97" s="352"/>
      <c r="J97" s="352"/>
      <c r="K97" s="355"/>
      <c r="N97" s="352"/>
      <c r="O97" s="352"/>
      <c r="P97" s="352"/>
      <c r="Q97" s="352"/>
    </row>
    <row r="98" spans="2:17" ht="50.15" customHeight="1" x14ac:dyDescent="0.5">
      <c r="B98" s="357"/>
      <c r="D98" s="352"/>
      <c r="E98" s="352"/>
      <c r="F98" s="440"/>
      <c r="G98" s="352"/>
      <c r="H98" s="352"/>
      <c r="I98" s="352"/>
      <c r="J98" s="352"/>
      <c r="K98" s="353"/>
      <c r="L98" s="352"/>
      <c r="M98" s="352"/>
      <c r="N98" s="352"/>
      <c r="O98" s="352"/>
      <c r="P98" s="352"/>
      <c r="Q98" s="352"/>
    </row>
    <row r="99" spans="2:17" ht="25" customHeight="1" x14ac:dyDescent="0.5">
      <c r="B99" s="357"/>
      <c r="D99" s="352"/>
      <c r="E99" s="352"/>
      <c r="F99" s="440"/>
      <c r="G99" s="352"/>
      <c r="H99" s="352"/>
      <c r="I99" s="352"/>
      <c r="J99" s="352"/>
      <c r="K99" s="353"/>
      <c r="L99" s="352"/>
      <c r="M99" s="352"/>
      <c r="N99" s="352"/>
      <c r="O99" s="352"/>
      <c r="P99" s="352"/>
      <c r="Q99" s="352"/>
    </row>
    <row r="100" spans="2:17" ht="50.15" customHeight="1" x14ac:dyDescent="0.5">
      <c r="B100" s="530" t="s">
        <v>432</v>
      </c>
      <c r="C100" s="530"/>
      <c r="D100" s="530"/>
      <c r="E100" s="530"/>
      <c r="F100" s="530"/>
      <c r="G100" s="530"/>
      <c r="H100" s="530"/>
      <c r="I100" s="530"/>
      <c r="J100" s="530"/>
      <c r="K100" s="530"/>
      <c r="L100" s="352"/>
      <c r="M100" s="352"/>
      <c r="N100" s="352"/>
      <c r="O100" s="352"/>
      <c r="P100" s="352"/>
      <c r="Q100" s="352"/>
    </row>
    <row r="101" spans="2:17" ht="50.15" customHeight="1" x14ac:dyDescent="0.5">
      <c r="B101" s="404" t="s">
        <v>421</v>
      </c>
      <c r="C101" s="453">
        <f>'Metering station'!H49</f>
        <v>2317.3079101608619</v>
      </c>
      <c r="D101" s="354" t="s">
        <v>434</v>
      </c>
      <c r="E101" s="352"/>
      <c r="F101" s="440"/>
      <c r="G101" s="352"/>
      <c r="H101" s="352"/>
      <c r="I101" s="352"/>
      <c r="J101" s="352"/>
      <c r="K101" s="353"/>
      <c r="L101" s="352"/>
      <c r="M101" s="352"/>
      <c r="N101" s="352"/>
      <c r="O101" s="352"/>
      <c r="P101" s="352"/>
      <c r="Q101" s="352"/>
    </row>
    <row r="102" spans="2:17" ht="25" customHeight="1" x14ac:dyDescent="0.5">
      <c r="B102" s="380"/>
      <c r="C102" s="441"/>
      <c r="D102" s="411"/>
      <c r="E102" s="352"/>
      <c r="F102" s="440"/>
      <c r="G102" s="352"/>
      <c r="H102" s="352"/>
      <c r="I102" s="352"/>
      <c r="J102" s="352"/>
      <c r="K102" s="353"/>
      <c r="L102" s="352"/>
      <c r="M102" s="352"/>
      <c r="N102" s="352"/>
      <c r="O102" s="352"/>
      <c r="P102" s="352"/>
      <c r="Q102" s="352"/>
    </row>
    <row r="103" spans="2:17" ht="25" customHeight="1" x14ac:dyDescent="0.5">
      <c r="B103" s="507" t="s">
        <v>326</v>
      </c>
      <c r="C103" s="465" t="s">
        <v>93</v>
      </c>
      <c r="D103" s="465" t="s">
        <v>256</v>
      </c>
      <c r="E103" s="467" t="s">
        <v>427</v>
      </c>
      <c r="F103" s="465" t="s">
        <v>255</v>
      </c>
      <c r="G103" s="465" t="s">
        <v>259</v>
      </c>
      <c r="K103" s="353"/>
      <c r="L103" s="352"/>
      <c r="M103" s="352"/>
      <c r="N103" s="352"/>
      <c r="O103" s="352"/>
      <c r="P103" s="352"/>
      <c r="Q103" s="352"/>
    </row>
    <row r="104" spans="2:17" ht="25" customHeight="1" x14ac:dyDescent="0.5">
      <c r="B104" s="507"/>
      <c r="C104" s="493" t="s">
        <v>91</v>
      </c>
      <c r="D104" s="493" t="s">
        <v>429</v>
      </c>
      <c r="E104" s="493" t="s">
        <v>103</v>
      </c>
      <c r="F104" s="493" t="s">
        <v>258</v>
      </c>
      <c r="G104" s="493" t="s">
        <v>260</v>
      </c>
      <c r="H104" s="352"/>
      <c r="I104" s="352"/>
      <c r="J104" s="352"/>
      <c r="K104" s="353"/>
      <c r="L104" s="352"/>
      <c r="M104" s="352"/>
      <c r="N104" s="352"/>
      <c r="O104" s="352"/>
      <c r="P104" s="352"/>
      <c r="Q104" s="352"/>
    </row>
    <row r="105" spans="2:17" ht="50.15" customHeight="1" x14ac:dyDescent="0.5">
      <c r="B105" s="407" t="s">
        <v>422</v>
      </c>
      <c r="C105" s="459">
        <f>'Metering station'!F55</f>
        <v>34.640733139943364</v>
      </c>
      <c r="D105" s="453">
        <f>'Metering station'!M55</f>
        <v>17.320366569971682</v>
      </c>
      <c r="E105" s="453">
        <f>'Metering station'!P55</f>
        <v>1.3182177695755337</v>
      </c>
      <c r="F105" s="453">
        <f>'Metering station'!R55</f>
        <v>521.30090841676406</v>
      </c>
      <c r="G105" s="471">
        <f>F105/'Metering station'!$R$63</f>
        <v>0.97124277037729745</v>
      </c>
      <c r="K105" s="355"/>
      <c r="N105" s="352"/>
      <c r="O105" s="352"/>
      <c r="P105" s="352"/>
      <c r="Q105" s="352"/>
    </row>
    <row r="106" spans="2:17" ht="50.15" customHeight="1" x14ac:dyDescent="0.5">
      <c r="B106" s="407" t="s">
        <v>423</v>
      </c>
      <c r="C106" s="459">
        <f>'Metering station'!F57</f>
        <v>2.5722486849496184E-3</v>
      </c>
      <c r="D106" s="453">
        <f>'Metering station'!M57</f>
        <v>1.2861243424748092E-3</v>
      </c>
      <c r="E106" s="453">
        <f>'Metering station'!P57</f>
        <v>-3054.716464751993</v>
      </c>
      <c r="F106" s="453">
        <f>'Metering station'!R57</f>
        <v>15.435038883265694</v>
      </c>
      <c r="G106" s="471">
        <f>F106/'Metering station'!$R$63</f>
        <v>2.8757229622702479E-2</v>
      </c>
      <c r="K106" s="355"/>
      <c r="N106" s="352"/>
      <c r="O106" s="352"/>
      <c r="P106" s="352"/>
      <c r="Q106" s="352"/>
    </row>
    <row r="107" spans="2:17" ht="25" customHeight="1" x14ac:dyDescent="0.5">
      <c r="B107" s="357"/>
      <c r="K107" s="355"/>
      <c r="L107" s="352"/>
      <c r="M107" s="352"/>
      <c r="N107" s="352"/>
      <c r="O107" s="352"/>
      <c r="P107" s="352"/>
      <c r="Q107" s="352"/>
    </row>
    <row r="108" spans="2:17" ht="50.15" customHeight="1" x14ac:dyDescent="0.5">
      <c r="B108" s="407" t="s">
        <v>419</v>
      </c>
      <c r="C108" s="453">
        <f>'Metering station'!R63</f>
        <v>536.73594730002981</v>
      </c>
      <c r="D108" s="352" t="str">
        <f>'Metering station'!S63</f>
        <v>(m³/h)²</v>
      </c>
      <c r="K108" s="355"/>
      <c r="L108" s="352"/>
      <c r="M108" s="352"/>
      <c r="N108" s="352"/>
      <c r="O108" s="352"/>
      <c r="P108" s="352"/>
      <c r="Q108" s="352"/>
    </row>
    <row r="109" spans="2:17" ht="50.15" customHeight="1" x14ac:dyDescent="0.5">
      <c r="B109" s="407" t="s">
        <v>420</v>
      </c>
      <c r="C109" s="453">
        <f>'Metering station'!R65</f>
        <v>23.167562394434807</v>
      </c>
      <c r="D109" s="352" t="str">
        <f>'Metering station'!S65</f>
        <v>m³/h</v>
      </c>
      <c r="E109" s="352"/>
      <c r="F109" s="440"/>
      <c r="G109" s="352"/>
      <c r="H109" s="352"/>
      <c r="I109" s="352"/>
      <c r="J109" s="352"/>
      <c r="K109" s="442"/>
      <c r="L109" s="352"/>
      <c r="M109" s="352"/>
      <c r="N109" s="352"/>
      <c r="O109" s="352"/>
      <c r="P109" s="352"/>
      <c r="Q109" s="352"/>
    </row>
    <row r="110" spans="2:17" ht="50.15" customHeight="1" x14ac:dyDescent="0.5">
      <c r="B110" s="407" t="s">
        <v>424</v>
      </c>
      <c r="C110" s="453">
        <f>'Metering station'!R67</f>
        <v>46.335124788869614</v>
      </c>
      <c r="D110" s="352" t="str">
        <f>'Metering station'!S67</f>
        <v>m³/h</v>
      </c>
      <c r="E110" s="352"/>
      <c r="F110" s="440"/>
      <c r="G110" s="352"/>
      <c r="H110" s="352"/>
      <c r="I110" s="352"/>
      <c r="J110" s="352"/>
      <c r="K110" s="442"/>
      <c r="L110" s="352"/>
      <c r="M110" s="352"/>
      <c r="N110" s="352"/>
      <c r="O110" s="352"/>
      <c r="P110" s="352"/>
      <c r="Q110" s="352"/>
    </row>
    <row r="111" spans="2:17" ht="50.15" customHeight="1" x14ac:dyDescent="0.5">
      <c r="B111" s="407" t="s">
        <v>425</v>
      </c>
      <c r="C111" s="453">
        <f>'Metering station'!R69</f>
        <v>2317.3079101608619</v>
      </c>
      <c r="D111" s="352" t="str">
        <f>'Metering station'!S69</f>
        <v>m³/h</v>
      </c>
      <c r="K111" s="355"/>
      <c r="N111" s="352"/>
      <c r="O111" s="352"/>
      <c r="P111" s="352"/>
      <c r="Q111" s="352"/>
    </row>
    <row r="112" spans="2:17" ht="50.15" hidden="1" customHeight="1" x14ac:dyDescent="0.5">
      <c r="B112" s="452" t="s">
        <v>426</v>
      </c>
      <c r="C112" s="453">
        <f>rUnc</f>
        <v>1.9995238693011297</v>
      </c>
      <c r="D112" s="354" t="str">
        <f>'Metering station'!S71</f>
        <v>%</v>
      </c>
      <c r="K112" s="355"/>
      <c r="N112" s="352"/>
      <c r="O112" s="352"/>
      <c r="P112" s="352"/>
      <c r="Q112" s="352"/>
    </row>
    <row r="113" spans="2:18" ht="50.15" customHeight="1" x14ac:dyDescent="0.5">
      <c r="B113" s="404" t="s">
        <v>347</v>
      </c>
      <c r="C113" s="472">
        <f>'Metering station'!R71</f>
        <v>1.9995238693011297</v>
      </c>
      <c r="D113" s="416" t="s">
        <v>8</v>
      </c>
      <c r="K113" s="355"/>
      <c r="N113" s="352"/>
      <c r="O113" s="352"/>
      <c r="P113" s="352"/>
      <c r="Q113" s="352"/>
    </row>
    <row r="114" spans="2:18" ht="50.15" customHeight="1" x14ac:dyDescent="0.5">
      <c r="B114" s="427"/>
      <c r="C114" s="358"/>
      <c r="D114" s="443"/>
      <c r="E114" s="443"/>
      <c r="F114" s="443"/>
      <c r="G114" s="358"/>
      <c r="H114" s="358"/>
      <c r="I114" s="358"/>
      <c r="J114" s="358"/>
      <c r="K114" s="355"/>
    </row>
    <row r="115" spans="2:18" x14ac:dyDescent="0.5">
      <c r="B115" s="425"/>
      <c r="C115" s="361"/>
      <c r="D115" s="365"/>
      <c r="E115" s="365"/>
      <c r="F115" s="365"/>
      <c r="G115" s="365"/>
      <c r="H115" s="365"/>
      <c r="I115" s="366"/>
      <c r="J115" s="366"/>
      <c r="K115" s="367"/>
      <c r="L115" s="448"/>
    </row>
    <row r="116" spans="2:18" x14ac:dyDescent="0.5">
      <c r="B116" s="426"/>
      <c r="C116" s="358"/>
      <c r="D116" s="358"/>
      <c r="E116" s="358"/>
      <c r="F116" s="364"/>
      <c r="G116" s="358"/>
      <c r="H116" s="358"/>
      <c r="I116" s="358"/>
      <c r="J116" s="358"/>
    </row>
    <row r="117" spans="2:18" ht="21" customHeight="1" x14ac:dyDescent="0.5">
      <c r="B117" s="508" t="str">
        <f>B1</f>
        <v>Relatório de Cálculo de Incerteza - Nº FORTE-UCG-FE-1231010B-26-04
Uncertainty Calculation Report - Nº FORTE-UCG-FE-1231010B-26-04</v>
      </c>
      <c r="C117" s="509"/>
      <c r="D117" s="509"/>
      <c r="E117" s="509"/>
      <c r="F117" s="509"/>
      <c r="G117" s="509"/>
      <c r="H117" s="509"/>
      <c r="I117" s="509"/>
      <c r="J117" s="509"/>
      <c r="K117" s="510"/>
      <c r="L117" s="409"/>
      <c r="M117" s="409"/>
      <c r="N117" s="409"/>
      <c r="O117" s="409"/>
      <c r="P117" s="409"/>
      <c r="Q117" s="409"/>
      <c r="R117" s="409"/>
    </row>
    <row r="118" spans="2:18" x14ac:dyDescent="0.5">
      <c r="B118" s="511"/>
      <c r="C118" s="512"/>
      <c r="D118" s="512"/>
      <c r="E118" s="512"/>
      <c r="F118" s="512"/>
      <c r="G118" s="512"/>
      <c r="H118" s="512"/>
      <c r="I118" s="512"/>
      <c r="J118" s="512"/>
      <c r="K118" s="513"/>
      <c r="L118" s="409"/>
      <c r="M118" s="409"/>
      <c r="N118" s="409"/>
      <c r="O118" s="409"/>
      <c r="P118" s="409"/>
      <c r="Q118" s="409"/>
      <c r="R118" s="409"/>
    </row>
    <row r="119" spans="2:18" x14ac:dyDescent="0.5">
      <c r="B119" s="511"/>
      <c r="C119" s="512"/>
      <c r="D119" s="512"/>
      <c r="E119" s="512"/>
      <c r="F119" s="512"/>
      <c r="G119" s="512"/>
      <c r="H119" s="512"/>
      <c r="I119" s="512"/>
      <c r="J119" s="512"/>
      <c r="K119" s="513"/>
      <c r="L119" s="409"/>
      <c r="M119" s="409"/>
      <c r="N119" s="409"/>
      <c r="O119" s="409"/>
      <c r="P119" s="409"/>
      <c r="Q119" s="409"/>
      <c r="R119" s="409"/>
    </row>
    <row r="120" spans="2:18" x14ac:dyDescent="0.5">
      <c r="B120" s="514"/>
      <c r="C120" s="515"/>
      <c r="D120" s="515"/>
      <c r="E120" s="515"/>
      <c r="F120" s="515"/>
      <c r="G120" s="515"/>
      <c r="H120" s="515"/>
      <c r="I120" s="515"/>
      <c r="J120" s="515"/>
      <c r="K120" s="516"/>
      <c r="L120" s="409"/>
      <c r="M120" s="409"/>
      <c r="N120" s="409"/>
      <c r="O120" s="409"/>
      <c r="P120" s="409"/>
      <c r="Q120" s="409"/>
      <c r="R120" s="409"/>
    </row>
    <row r="121" spans="2:18" x14ac:dyDescent="0.5">
      <c r="B121" s="473"/>
      <c r="C121" s="374"/>
      <c r="D121" s="374"/>
      <c r="E121" s="374"/>
      <c r="F121" s="374"/>
      <c r="G121" s="374"/>
      <c r="H121" s="374"/>
      <c r="I121" s="374"/>
      <c r="J121" s="374"/>
      <c r="K121" s="474"/>
      <c r="L121" s="352"/>
      <c r="M121" s="352"/>
      <c r="N121" s="352"/>
      <c r="O121" s="352"/>
      <c r="P121" s="352"/>
      <c r="Q121" s="352"/>
      <c r="R121" s="352"/>
    </row>
    <row r="122" spans="2:18" ht="40" customHeight="1" x14ac:dyDescent="0.5">
      <c r="B122" s="507" t="s">
        <v>435</v>
      </c>
      <c r="C122" s="507"/>
      <c r="D122" s="507"/>
      <c r="E122" s="507"/>
      <c r="F122" s="507"/>
      <c r="G122" s="507"/>
      <c r="H122" s="507"/>
      <c r="I122" s="507"/>
      <c r="J122" s="507"/>
      <c r="K122" s="507"/>
      <c r="L122" s="352"/>
      <c r="M122" s="352"/>
      <c r="N122" s="352"/>
      <c r="O122" s="352"/>
      <c r="P122" s="352"/>
      <c r="Q122" s="352"/>
      <c r="R122" s="352"/>
    </row>
    <row r="123" spans="2:18" ht="25" customHeight="1" x14ac:dyDescent="0.5">
      <c r="B123" s="424"/>
      <c r="F123" s="485"/>
      <c r="K123" s="355"/>
    </row>
    <row r="124" spans="2:18" ht="40" customHeight="1" x14ac:dyDescent="0.5">
      <c r="B124" s="507" t="s">
        <v>436</v>
      </c>
      <c r="C124" s="507"/>
      <c r="D124" s="507"/>
      <c r="E124" s="507"/>
      <c r="F124" s="507"/>
      <c r="G124" s="507"/>
      <c r="H124" s="507"/>
      <c r="I124" s="507"/>
      <c r="J124" s="507"/>
      <c r="K124" s="507"/>
    </row>
    <row r="125" spans="2:18" ht="25" customHeight="1" x14ac:dyDescent="0.5">
      <c r="B125" s="424"/>
      <c r="F125" s="485"/>
      <c r="K125" s="355"/>
    </row>
    <row r="126" spans="2:18" ht="50.15" customHeight="1" x14ac:dyDescent="0.5">
      <c r="B126" s="408" t="s">
        <v>293</v>
      </c>
      <c r="C126" s="408" t="s">
        <v>292</v>
      </c>
      <c r="D126" s="408" t="s">
        <v>293</v>
      </c>
      <c r="E126" s="408" t="s">
        <v>292</v>
      </c>
      <c r="F126" s="485"/>
      <c r="K126" s="355"/>
    </row>
    <row r="127" spans="2:18" ht="40" customHeight="1" x14ac:dyDescent="0.5">
      <c r="B127" s="477">
        <f>Gráfico1!N2</f>
        <v>13914.409725270254</v>
      </c>
      <c r="C127" s="456">
        <f>Gráfico1!C2</f>
        <v>1.0108315826631156</v>
      </c>
      <c r="D127" s="470">
        <f>Gráfico1!N22</f>
        <v>4923.1911254493571</v>
      </c>
      <c r="E127" s="456">
        <f>Gráfico1!C22</f>
        <v>1.0792059492772994</v>
      </c>
      <c r="F127" s="485"/>
      <c r="K127" s="355"/>
    </row>
    <row r="128" spans="2:18" ht="40" customHeight="1" x14ac:dyDescent="0.5">
      <c r="B128" s="477">
        <f>Gráfico1!N3</f>
        <v>13778.696809241173</v>
      </c>
      <c r="C128" s="456">
        <f>Gráfico1!C3</f>
        <v>1.0108724572481171</v>
      </c>
      <c r="D128" s="470">
        <f>Gráfico1!N23</f>
        <v>4418.4834748181283</v>
      </c>
      <c r="E128" s="456">
        <f>Gráfico1!C23</f>
        <v>1.1151924325674329</v>
      </c>
      <c r="F128" s="485"/>
      <c r="K128" s="355"/>
    </row>
    <row r="129" spans="2:11" ht="40" customHeight="1" x14ac:dyDescent="0.5">
      <c r="B129" s="477">
        <f>Gráfico1!N4</f>
        <v>13641.650079332019</v>
      </c>
      <c r="C129" s="456">
        <f>Gráfico1!C4</f>
        <v>1.0109160756394735</v>
      </c>
      <c r="D129" s="470">
        <f>Gráfico1!N24</f>
        <v>3848.0451416250221</v>
      </c>
      <c r="E129" s="456">
        <f>Gráfico1!C24</f>
        <v>1.1873500619940789</v>
      </c>
      <c r="F129" s="485"/>
      <c r="K129" s="355"/>
    </row>
    <row r="130" spans="2:11" ht="40" customHeight="1" x14ac:dyDescent="0.5">
      <c r="B130" s="477">
        <f>Gráfico1!N5</f>
        <v>13503.204246403615</v>
      </c>
      <c r="C130" s="456">
        <f>Gráfico1!C5</f>
        <v>1.010962672585336</v>
      </c>
      <c r="D130" s="470">
        <f>Gráfico1!N25</f>
        <v>3321.7323383176335</v>
      </c>
      <c r="E130" s="456">
        <f>Gráfico1!C25</f>
        <v>1.3127664025613661</v>
      </c>
      <c r="F130" s="485"/>
      <c r="K130" s="355"/>
    </row>
    <row r="131" spans="2:11" ht="40" customHeight="1" x14ac:dyDescent="0.5">
      <c r="B131" s="477">
        <f>Gráfico1!N6</f>
        <v>13363.315712493826</v>
      </c>
      <c r="C131" s="456">
        <f>Gráfico1!C6</f>
        <v>1.0110125001751178</v>
      </c>
      <c r="D131" s="470">
        <f>Gráfico1!N26</f>
        <v>3176.4507723947854</v>
      </c>
      <c r="E131" s="456">
        <f>Gráfico1!C26</f>
        <v>1.3643764924307331</v>
      </c>
      <c r="F131" s="485"/>
      <c r="K131" s="355"/>
    </row>
    <row r="132" spans="2:11" ht="40" customHeight="1" x14ac:dyDescent="0.5">
      <c r="B132" s="477">
        <f>Gráfico1!N7</f>
        <v>12861.67316421248</v>
      </c>
      <c r="C132" s="456">
        <f>Gráfico1!C7</f>
        <v>1.0112166613038749</v>
      </c>
      <c r="D132" s="470">
        <f>Gráfico1!N27</f>
        <v>3024.2678362565548</v>
      </c>
      <c r="E132" s="456">
        <f>Gráfico1!C27</f>
        <v>1.429894653946097</v>
      </c>
      <c r="F132" s="485"/>
      <c r="K132" s="355"/>
    </row>
    <row r="133" spans="2:11" ht="40" customHeight="1" x14ac:dyDescent="0.5">
      <c r="B133" s="477">
        <f>Gráfico1!N8</f>
        <v>12490.833600276324</v>
      </c>
      <c r="C133" s="456">
        <f>Gráfico1!C8</f>
        <v>1.0113974599059166</v>
      </c>
      <c r="D133" s="470">
        <f>Gráfico1!N28</f>
        <v>2863.9981608507592</v>
      </c>
      <c r="E133" s="456">
        <f>Gráfico1!C28</f>
        <v>1.5147655714209136</v>
      </c>
      <c r="F133" s="485"/>
      <c r="K133" s="355"/>
    </row>
    <row r="134" spans="2:11" ht="40" customHeight="1" x14ac:dyDescent="0.5">
      <c r="B134" s="477">
        <f>Gráfico1!N9</f>
        <v>12108.654676824632</v>
      </c>
      <c r="C134" s="456">
        <f>Gráfico1!C9</f>
        <v>1.0116160469496569</v>
      </c>
      <c r="D134" s="470">
        <f>Gráfico1!N29</f>
        <v>2683.6917501135813</v>
      </c>
      <c r="E134" s="456">
        <f>Gráfico1!C29</f>
        <v>1.6352209843459389</v>
      </c>
      <c r="F134" s="485"/>
      <c r="K134" s="355"/>
    </row>
    <row r="135" spans="2:11" ht="40" customHeight="1" x14ac:dyDescent="0.5">
      <c r="B135" s="477">
        <f>Gráfico1!N10</f>
        <v>11713.9478700415</v>
      </c>
      <c r="C135" s="456">
        <f>Gráfico1!C10</f>
        <v>1.0118831619346422</v>
      </c>
      <c r="D135" s="470">
        <f>Gráfico1!N30</f>
        <v>2586.853445241371</v>
      </c>
      <c r="E135" s="456">
        <f>Gráfico1!C30</f>
        <v>1.7135822995781282</v>
      </c>
      <c r="F135" s="485"/>
      <c r="K135" s="355"/>
    </row>
    <row r="136" spans="2:11" ht="40" customHeight="1" x14ac:dyDescent="0.5">
      <c r="B136" s="477">
        <f>Gráfico1!N11</f>
        <v>11305.400590329622</v>
      </c>
      <c r="C136" s="456">
        <f>Gráfico1!C11</f>
        <v>1.0122136002141884</v>
      </c>
      <c r="D136" s="470">
        <f>Gráfico1!N31</f>
        <v>2575.8329986193762</v>
      </c>
      <c r="E136" s="456">
        <f>Gráfico1!C31</f>
        <v>1.7232029895311245</v>
      </c>
      <c r="F136" s="485"/>
      <c r="K136" s="355"/>
    </row>
    <row r="137" spans="2:11" ht="40" customHeight="1" x14ac:dyDescent="0.5">
      <c r="B137" s="477">
        <f>Gráfico1!N12</f>
        <v>10881.453580694493</v>
      </c>
      <c r="C137" s="456">
        <f>Gráfico1!C12</f>
        <v>1.0126282673426139</v>
      </c>
      <c r="D137" s="470">
        <f>Gráfico1!N32</f>
        <v>2564.8144719714728</v>
      </c>
      <c r="E137" s="456">
        <f>Gráfico1!C32</f>
        <v>1.7329750239315378</v>
      </c>
      <c r="F137" s="485"/>
      <c r="K137" s="355"/>
    </row>
    <row r="138" spans="2:11" ht="40" customHeight="1" x14ac:dyDescent="0.5">
      <c r="B138" s="477">
        <f>Gráfico1!N13</f>
        <v>10440.230682012521</v>
      </c>
      <c r="C138" s="456">
        <f>Gráfico1!C13</f>
        <v>1.0131574706970876</v>
      </c>
      <c r="D138" s="470">
        <f>Gráfico1!N33</f>
        <v>2553.7482752096544</v>
      </c>
      <c r="E138" s="456">
        <f>Gráfico1!C33</f>
        <v>1.7429461370098571</v>
      </c>
      <c r="F138" s="485"/>
      <c r="K138" s="355"/>
    </row>
    <row r="139" spans="2:11" ht="40" customHeight="1" x14ac:dyDescent="0.5">
      <c r="B139" s="477">
        <f>Gráfico1!N14</f>
        <v>9979.4406573705965</v>
      </c>
      <c r="C139" s="456">
        <f>Gráfico1!C14</f>
        <v>1.0138464786322141</v>
      </c>
      <c r="D139" s="470">
        <f>Gráfico1!N34</f>
        <v>2486.9024845818376</v>
      </c>
      <c r="E139" s="456">
        <f>Gráfico1!C34</f>
        <v>1.8066866441276381</v>
      </c>
      <c r="K139" s="355"/>
    </row>
    <row r="140" spans="2:11" ht="40" customHeight="1" x14ac:dyDescent="0.5">
      <c r="B140" s="477">
        <f>Gráfico1!N15</f>
        <v>9496.0500575110291</v>
      </c>
      <c r="C140" s="456">
        <f>Gráfico1!C15</f>
        <v>1.014765722996084</v>
      </c>
      <c r="D140" s="470">
        <f>Gráfico1!N35</f>
        <v>2474.8969216695082</v>
      </c>
      <c r="E140" s="456">
        <f>Gráfico1!C35</f>
        <v>1.8188048636562961</v>
      </c>
      <c r="F140" s="485"/>
      <c r="K140" s="355"/>
    </row>
    <row r="141" spans="2:11" ht="40" customHeight="1" x14ac:dyDescent="0.5">
      <c r="B141" s="477">
        <f>Gráfico1!N16</f>
        <v>8986.7507504601926</v>
      </c>
      <c r="C141" s="456">
        <f>Gráfico1!C16</f>
        <v>1.0160277036424716</v>
      </c>
      <c r="D141" s="470">
        <f>Gráfico1!N36</f>
        <v>2417.4177786009832</v>
      </c>
      <c r="E141" s="456">
        <f>Gráfico1!C36</f>
        <v>1.8798746223908105</v>
      </c>
      <c r="F141" s="485"/>
      <c r="K141" s="355"/>
    </row>
    <row r="142" spans="2:11" ht="40" customHeight="1" x14ac:dyDescent="0.5">
      <c r="B142" s="477">
        <f>Gráfico1!N17</f>
        <v>8446.6882018189535</v>
      </c>
      <c r="C142" s="456">
        <f>Gráfico1!C17</f>
        <v>1.0178246472160712</v>
      </c>
      <c r="D142" s="470">
        <f>Gráfico1!N37</f>
        <v>2358.1451363562592</v>
      </c>
      <c r="E142" s="456">
        <f>Gráfico1!C37</f>
        <v>1.9485387230500986</v>
      </c>
      <c r="F142" s="485"/>
      <c r="K142" s="355"/>
    </row>
    <row r="143" spans="2:11" ht="40" customHeight="1" x14ac:dyDescent="0.5">
      <c r="B143" s="477">
        <f>Gráfico1!N18</f>
        <v>7869.5255735351075</v>
      </c>
      <c r="C143" s="456">
        <f>Gráfico1!C18</f>
        <v>1.0205039652548373</v>
      </c>
      <c r="D143" s="470">
        <f>Gráfico1!N38</f>
        <v>2345.6281461530316</v>
      </c>
      <c r="E143" s="456">
        <f>Gráfico1!C38</f>
        <v>1.9638339256157982</v>
      </c>
      <c r="F143" s="485"/>
      <c r="K143" s="355"/>
    </row>
    <row r="144" spans="2:11" ht="40" customHeight="1" x14ac:dyDescent="0.5">
      <c r="B144" s="477">
        <f>Gráfico1!N19</f>
        <v>7246.395002630381</v>
      </c>
      <c r="C144" s="456">
        <f>Gráfico1!C19</f>
        <v>1.0247474786072865</v>
      </c>
      <c r="D144" s="470">
        <f>Gráfico1!N39</f>
        <v>2333.5205639495648</v>
      </c>
      <c r="E144" s="456">
        <f>Gráfico1!C39</f>
        <v>1.9789056210877101</v>
      </c>
      <c r="F144" s="485"/>
      <c r="K144" s="355"/>
    </row>
    <row r="145" spans="2:11" ht="40" customHeight="1" x14ac:dyDescent="0.5">
      <c r="B145" s="477">
        <f>Gráfico1!N20</f>
        <v>6564.2056874014315</v>
      </c>
      <c r="C145" s="456">
        <f>Gráfico1!C20</f>
        <v>1.032045449310921</v>
      </c>
      <c r="D145" s="470">
        <f>Gráfico1!N40</f>
        <v>2321.3497978693822</v>
      </c>
      <c r="E145" s="456">
        <f>Gráfico1!C40</f>
        <v>1.9943362138622034</v>
      </c>
      <c r="F145" s="485"/>
      <c r="K145" s="355"/>
    </row>
    <row r="146" spans="2:11" ht="40" customHeight="1" x14ac:dyDescent="0.5">
      <c r="B146" s="477">
        <f>Gráfico1!N21</f>
        <v>5802.14268783235</v>
      </c>
      <c r="C146" s="456">
        <f>Gráfico1!C21</f>
        <v>1.0461828749491247</v>
      </c>
      <c r="D146" s="470">
        <f>Gráfico1!N41</f>
        <v>2317.2911014819647</v>
      </c>
      <c r="E146" s="456">
        <f>Gráfico1!C41</f>
        <v>1.9995455092018923</v>
      </c>
      <c r="F146" s="485"/>
      <c r="K146" s="355"/>
    </row>
    <row r="147" spans="2:11" ht="25" customHeight="1" x14ac:dyDescent="0.5">
      <c r="B147" s="427"/>
      <c r="C147" s="358"/>
      <c r="D147" s="358"/>
      <c r="E147" s="358"/>
      <c r="F147" s="364"/>
      <c r="G147" s="358"/>
      <c r="H147" s="358"/>
      <c r="I147" s="358"/>
      <c r="J147" s="358"/>
      <c r="K147" s="360"/>
    </row>
    <row r="148" spans="2:11" ht="40" hidden="1" customHeight="1" x14ac:dyDescent="0.5">
      <c r="B148" s="507" t="s">
        <v>437</v>
      </c>
      <c r="C148" s="507"/>
      <c r="D148" s="507"/>
      <c r="E148" s="507"/>
      <c r="F148" s="507"/>
      <c r="G148" s="507"/>
      <c r="H148" s="507"/>
      <c r="I148" s="507"/>
      <c r="J148" s="507"/>
      <c r="K148" s="507"/>
    </row>
    <row r="149" spans="2:11" ht="25" hidden="1" customHeight="1" x14ac:dyDescent="0.5">
      <c r="B149" s="424"/>
      <c r="F149" s="485"/>
      <c r="K149" s="355"/>
    </row>
    <row r="150" spans="2:11" ht="50.15" hidden="1" customHeight="1" x14ac:dyDescent="0.5">
      <c r="B150" s="408" t="s">
        <v>293</v>
      </c>
      <c r="C150" s="408" t="s">
        <v>292</v>
      </c>
      <c r="D150" s="408" t="s">
        <v>293</v>
      </c>
      <c r="E150" s="408" t="s">
        <v>292</v>
      </c>
      <c r="F150" s="485"/>
      <c r="K150" s="355"/>
    </row>
    <row r="151" spans="2:11" ht="40" hidden="1" customHeight="1" x14ac:dyDescent="0.5">
      <c r="B151" s="477">
        <f>Gráfico2!N2</f>
        <v>11462.439625778376</v>
      </c>
      <c r="C151" s="456">
        <f>Gráfico2!C2</f>
        <v>1.0754275791316745</v>
      </c>
      <c r="D151" s="470">
        <f>Gráfico2!N22</f>
        <v>4410.5664003759284</v>
      </c>
      <c r="E151" s="456">
        <f>Gráfico2!C22</f>
        <v>1.1375730008490814</v>
      </c>
      <c r="F151" s="485"/>
      <c r="K151" s="355"/>
    </row>
    <row r="152" spans="2:11" ht="40" hidden="1" customHeight="1" x14ac:dyDescent="0.5">
      <c r="B152" s="477">
        <f>Gráfico2!N3</f>
        <v>11353.539536272983</v>
      </c>
      <c r="C152" s="456">
        <f>Gráfico2!C3</f>
        <v>1.0754797168433405</v>
      </c>
      <c r="D152" s="470">
        <f>Gráfico2!N23</f>
        <v>4042.0208532397974</v>
      </c>
      <c r="E152" s="456">
        <f>Gráfico2!C23</f>
        <v>1.1631973651163596</v>
      </c>
      <c r="F152" s="485"/>
      <c r="K152" s="355"/>
    </row>
    <row r="153" spans="2:11" ht="40" hidden="1" customHeight="1" x14ac:dyDescent="0.5">
      <c r="B153" s="477">
        <f>Gráfico2!N4</f>
        <v>11243.616189126751</v>
      </c>
      <c r="C153" s="456">
        <f>Gráfico2!C4</f>
        <v>1.0755351705265328</v>
      </c>
      <c r="D153" s="470">
        <f>Gráfico2!N24</f>
        <v>3636.3367876448015</v>
      </c>
      <c r="E153" s="456">
        <f>Gráfico2!C24</f>
        <v>1.2076676739783698</v>
      </c>
      <c r="F153" s="485"/>
      <c r="K153" s="355"/>
    </row>
    <row r="154" spans="2:11" ht="40" hidden="1" customHeight="1" x14ac:dyDescent="0.5">
      <c r="B154" s="477">
        <f>Gráfico2!N5</f>
        <v>11132.601514270034</v>
      </c>
      <c r="C154" s="456">
        <f>Gráfico2!C5</f>
        <v>1.0755942251170598</v>
      </c>
      <c r="D154" s="470">
        <f>Gráfico2!N25</f>
        <v>3275.7546036727931</v>
      </c>
      <c r="E154" s="456">
        <f>Gráfico2!C25</f>
        <v>1.2716119339827301</v>
      </c>
      <c r="F154" s="485"/>
      <c r="K154" s="355"/>
    </row>
    <row r="155" spans="2:11" ht="40" hidden="1" customHeight="1" x14ac:dyDescent="0.5">
      <c r="B155" s="477">
        <f>Gráfico2!N6</f>
        <v>11020.462373337845</v>
      </c>
      <c r="C155" s="456">
        <f>Gráfico2!C6</f>
        <v>1.0756571762687392</v>
      </c>
      <c r="D155" s="470">
        <f>Gráfico2!N26</f>
        <v>3179.2236378097855</v>
      </c>
      <c r="E155" s="456">
        <f>Gráfico2!C26</f>
        <v>1.2946128232878191</v>
      </c>
      <c r="F155" s="485"/>
      <c r="K155" s="355"/>
    </row>
    <row r="156" spans="2:11" ht="40" hidden="1" customHeight="1" x14ac:dyDescent="0.5">
      <c r="B156" s="477">
        <f>Gráfico2!N7</f>
        <v>10618.626451720233</v>
      </c>
      <c r="C156" s="456">
        <f>Gráfico2!C7</f>
        <v>1.0759132238629558</v>
      </c>
      <c r="D156" s="470">
        <f>Gráfico2!N27</f>
        <v>3079.6584000964094</v>
      </c>
      <c r="E156" s="456">
        <f>Gráfico2!C27</f>
        <v>1.3217697770590568</v>
      </c>
      <c r="F156" s="485"/>
      <c r="K156" s="355"/>
    </row>
    <row r="157" spans="2:11" ht="40" hidden="1" customHeight="1" x14ac:dyDescent="0.5">
      <c r="B157" s="477">
        <f>Gráfico2!N8</f>
        <v>10321.872576355776</v>
      </c>
      <c r="C157" s="456">
        <f>Gráfico2!C8</f>
        <v>1.0761378185980601</v>
      </c>
      <c r="D157" s="470">
        <f>Gráfico2!N28</f>
        <v>2976.7606439755159</v>
      </c>
      <c r="E157" s="456">
        <f>Gráfico2!C28</f>
        <v>1.3541248713883454</v>
      </c>
      <c r="F157" s="485"/>
      <c r="K157" s="355"/>
    </row>
    <row r="158" spans="2:11" ht="40" hidden="1" customHeight="1" x14ac:dyDescent="0.5">
      <c r="B158" s="477">
        <f>Gráfico2!N9</f>
        <v>10016.341085426122</v>
      </c>
      <c r="C158" s="456">
        <f>Gráfico2!C9</f>
        <v>1.0764070892167137</v>
      </c>
      <c r="D158" s="470">
        <f>Gráfico2!N29</f>
        <v>2863.6545134115495</v>
      </c>
      <c r="E158" s="456">
        <f>Gráfico2!C29</f>
        <v>1.395648671693335</v>
      </c>
      <c r="F158" s="485"/>
      <c r="K158" s="355"/>
    </row>
    <row r="159" spans="2:11" ht="40" hidden="1" customHeight="1" x14ac:dyDescent="0.5">
      <c r="B159" s="477">
        <f>Gráfico2!N10</f>
        <v>9701.1446398436165</v>
      </c>
      <c r="C159" s="456">
        <f>Gráfico2!C10</f>
        <v>1.0767332312892692</v>
      </c>
      <c r="D159" s="470">
        <f>Gráfico2!N30</f>
        <v>2804.5722826234787</v>
      </c>
      <c r="E159" s="456">
        <f>Gráfico2!C30</f>
        <v>1.4202183140017342</v>
      </c>
      <c r="K159" s="355"/>
    </row>
    <row r="160" spans="2:11" ht="40" hidden="1" customHeight="1" x14ac:dyDescent="0.5">
      <c r="B160" s="477">
        <f>Gráfico2!N11</f>
        <v>9375.3084031671788</v>
      </c>
      <c r="C160" s="456">
        <f>Gráfico2!C11</f>
        <v>1.0771328511870413</v>
      </c>
      <c r="D160" s="470">
        <f>Gráfico2!N31</f>
        <v>2797.5489801581898</v>
      </c>
      <c r="E160" s="456">
        <f>Gráfico2!C31</f>
        <v>1.4232837998127228</v>
      </c>
      <c r="K160" s="355"/>
    </row>
    <row r="161" spans="2:18" ht="40" hidden="1" customHeight="1" x14ac:dyDescent="0.5">
      <c r="B161" s="477">
        <f>Gráfico2!N12</f>
        <v>9037.6816658450298</v>
      </c>
      <c r="C161" s="456">
        <f>Gráfico2!C12</f>
        <v>1.0776291056030336</v>
      </c>
      <c r="D161" s="470">
        <f>Gráfico2!N32</f>
        <v>2790.858129559304</v>
      </c>
      <c r="E161" s="456">
        <f>Gráfico2!C32</f>
        <v>1.4262339692535866</v>
      </c>
      <c r="K161" s="355"/>
    </row>
    <row r="162" spans="2:18" ht="40" hidden="1" customHeight="1" x14ac:dyDescent="0.5">
      <c r="B162" s="477">
        <f>Gráfico2!N13</f>
        <v>8686.8899249601309</v>
      </c>
      <c r="C162" s="456">
        <f>Gráfico2!C13</f>
        <v>1.0782550601279428</v>
      </c>
      <c r="D162" s="470">
        <f>Gráfico2!N33</f>
        <v>2784.150272908229</v>
      </c>
      <c r="E162" s="456">
        <f>Gráfico2!C33</f>
        <v>1.429221149290145</v>
      </c>
      <c r="K162" s="355"/>
    </row>
    <row r="163" spans="2:18" ht="40" hidden="1" customHeight="1" x14ac:dyDescent="0.5">
      <c r="B163" s="477">
        <f>Gráfico2!N14</f>
        <v>8321.2687909718916</v>
      </c>
      <c r="C163" s="456">
        <f>Gráfico2!C14</f>
        <v>1.0790592400508183</v>
      </c>
      <c r="D163" s="470">
        <f>Gráfico2!N34</f>
        <v>2743.6773066858714</v>
      </c>
      <c r="E163" s="456">
        <f>Gráfico2!C34</f>
        <v>1.4478910381654153</v>
      </c>
      <c r="K163" s="355"/>
    </row>
    <row r="164" spans="2:18" ht="40" hidden="1" customHeight="1" x14ac:dyDescent="0.5">
      <c r="B164" s="477">
        <f>Gráfico2!N15</f>
        <v>7938.7704825402934</v>
      </c>
      <c r="C164" s="456">
        <f>Gráfico2!C15</f>
        <v>1.0801151729108112</v>
      </c>
      <c r="D164" s="470">
        <f>Gráfico2!N35</f>
        <v>2736.7340663104183</v>
      </c>
      <c r="E164" s="456">
        <f>Gráfico2!C35</f>
        <v>1.4512087463987196</v>
      </c>
      <c r="K164" s="355"/>
    </row>
    <row r="165" spans="2:18" ht="40" hidden="1" customHeight="1" x14ac:dyDescent="0.5">
      <c r="B165" s="477">
        <f>Gráfico2!N16</f>
        <v>7536.6545222266886</v>
      </c>
      <c r="C165" s="456">
        <f>Gráfico2!C16</f>
        <v>1.0815392663109424</v>
      </c>
      <c r="D165" s="470">
        <f>Gráfico2!N36</f>
        <v>2702.4258238229204</v>
      </c>
      <c r="E165" s="456">
        <f>Gráfico2!C36</f>
        <v>1.4681191880585158</v>
      </c>
      <c r="K165" s="355"/>
    </row>
    <row r="166" spans="2:18" ht="40" hidden="1" customHeight="1" x14ac:dyDescent="0.5">
      <c r="B166" s="477">
        <f>Gráfico2!N17</f>
        <v>7111.9090940346323</v>
      </c>
      <c r="C166" s="456">
        <f>Gráfico2!C17</f>
        <v>1.0835212888022174</v>
      </c>
      <c r="D166" s="470">
        <f>Gráfico2!N37</f>
        <v>2667.6106075971124</v>
      </c>
      <c r="E166" s="456">
        <f>Gráfico2!C37</f>
        <v>1.4861970509216278</v>
      </c>
      <c r="K166" s="355"/>
      <c r="M166" s="419"/>
    </row>
    <row r="167" spans="2:18" ht="40" hidden="1" customHeight="1" x14ac:dyDescent="0.5">
      <c r="B167" s="477">
        <f>Gráfico2!N18</f>
        <v>6660.0502678015873</v>
      </c>
      <c r="C167" s="456">
        <f>Gráfico2!C18</f>
        <v>1.0863939085409697</v>
      </c>
      <c r="D167" s="470">
        <f>Gráfico2!N38</f>
        <v>2660.5143865175787</v>
      </c>
      <c r="E167" s="456">
        <f>Gráfico2!C38</f>
        <v>1.4900001519003705</v>
      </c>
      <c r="K167" s="355"/>
      <c r="M167" s="419"/>
    </row>
    <row r="168" spans="2:18" ht="40" hidden="1" customHeight="1" x14ac:dyDescent="0.5">
      <c r="B168" s="477">
        <f>Gráfico2!N19</f>
        <v>6175.1256458293055</v>
      </c>
      <c r="C168" s="456">
        <f>Gráfico2!C19</f>
        <v>1.0907781082215691</v>
      </c>
      <c r="D168" s="470">
        <f>Gráfico2!N39</f>
        <v>2653.476792429924</v>
      </c>
      <c r="E168" s="456">
        <f>Gráfico2!C39</f>
        <v>1.4938125353917868</v>
      </c>
      <c r="K168" s="355"/>
      <c r="M168" s="419"/>
    </row>
    <row r="169" spans="2:18" ht="40" hidden="1" customHeight="1" x14ac:dyDescent="0.5">
      <c r="B169" s="477">
        <f>Gráfico2!N20</f>
        <v>5648.6208631899008</v>
      </c>
      <c r="C169" s="456">
        <f>Gráfico2!C20</f>
        <v>1.0979450863428231</v>
      </c>
      <c r="D169" s="470">
        <f>Gráfico2!N40</f>
        <v>2646.4202739852049</v>
      </c>
      <c r="E169" s="456">
        <f>Gráfico2!C40</f>
        <v>1.4976763624649196</v>
      </c>
      <c r="K169" s="355"/>
      <c r="M169" s="419"/>
    </row>
    <row r="170" spans="2:18" ht="40" hidden="1" customHeight="1" x14ac:dyDescent="0.5">
      <c r="B170" s="477">
        <f>Gráfico2!N21</f>
        <v>5067.584847330837</v>
      </c>
      <c r="C170" s="456">
        <f>Gráfico2!C21</f>
        <v>1.1108374686083364</v>
      </c>
      <c r="D170" s="470">
        <f>Gráfico2!N41</f>
        <v>2644.0792271576315</v>
      </c>
      <c r="E170" s="456">
        <f>Gráfico2!C41</f>
        <v>1.4989674104350705</v>
      </c>
      <c r="F170" s="358"/>
      <c r="G170" s="358"/>
      <c r="H170" s="358"/>
      <c r="I170" s="358"/>
      <c r="J170" s="358"/>
      <c r="K170" s="360"/>
      <c r="M170" s="419"/>
    </row>
    <row r="171" spans="2:18" ht="25" customHeight="1" x14ac:dyDescent="0.5">
      <c r="B171" s="425"/>
      <c r="K171" s="361"/>
      <c r="M171" s="419"/>
    </row>
    <row r="172" spans="2:18" hidden="1" x14ac:dyDescent="0.5">
      <c r="B172" s="426"/>
      <c r="M172" s="419"/>
    </row>
    <row r="173" spans="2:18" ht="21" hidden="1" customHeight="1" x14ac:dyDescent="0.5">
      <c r="B173" s="517" t="str">
        <f>B1</f>
        <v>Relatório de Cálculo de Incerteza - Nº FORTE-UCG-FE-1231010B-26-04
Uncertainty Calculation Report - Nº FORTE-UCG-FE-1231010B-26-04</v>
      </c>
      <c r="C173" s="518"/>
      <c r="D173" s="518"/>
      <c r="E173" s="518"/>
      <c r="F173" s="518"/>
      <c r="G173" s="518"/>
      <c r="H173" s="518"/>
      <c r="I173" s="518"/>
      <c r="J173" s="518"/>
      <c r="K173" s="519"/>
      <c r="L173" s="409"/>
      <c r="M173" s="409"/>
      <c r="N173" s="409"/>
      <c r="O173" s="409"/>
      <c r="P173" s="409"/>
      <c r="Q173" s="409"/>
      <c r="R173" s="409"/>
    </row>
    <row r="174" spans="2:18" hidden="1" x14ac:dyDescent="0.5">
      <c r="B174" s="520"/>
      <c r="C174" s="521"/>
      <c r="D174" s="521"/>
      <c r="E174" s="521"/>
      <c r="F174" s="521"/>
      <c r="G174" s="521"/>
      <c r="H174" s="521"/>
      <c r="I174" s="521"/>
      <c r="J174" s="521"/>
      <c r="K174" s="522"/>
      <c r="L174" s="409"/>
      <c r="M174" s="409"/>
      <c r="N174" s="409"/>
      <c r="O174" s="409"/>
      <c r="P174" s="409"/>
      <c r="Q174" s="409"/>
      <c r="R174" s="409"/>
    </row>
    <row r="175" spans="2:18" hidden="1" x14ac:dyDescent="0.5">
      <c r="B175" s="520"/>
      <c r="C175" s="521"/>
      <c r="D175" s="521"/>
      <c r="E175" s="521"/>
      <c r="F175" s="521"/>
      <c r="G175" s="521"/>
      <c r="H175" s="521"/>
      <c r="I175" s="521"/>
      <c r="J175" s="521"/>
      <c r="K175" s="522"/>
      <c r="L175" s="409"/>
      <c r="M175" s="409"/>
      <c r="N175" s="409"/>
      <c r="O175" s="409"/>
      <c r="P175" s="409"/>
      <c r="Q175" s="409"/>
      <c r="R175" s="409"/>
    </row>
    <row r="176" spans="2:18" hidden="1" x14ac:dyDescent="0.5">
      <c r="B176" s="523"/>
      <c r="C176" s="524"/>
      <c r="D176" s="524"/>
      <c r="E176" s="524"/>
      <c r="F176" s="524"/>
      <c r="G176" s="524"/>
      <c r="H176" s="524"/>
      <c r="I176" s="524"/>
      <c r="J176" s="524"/>
      <c r="K176" s="525"/>
      <c r="L176" s="409"/>
      <c r="M176" s="409"/>
      <c r="N176" s="409"/>
      <c r="O176" s="409"/>
      <c r="P176" s="409"/>
      <c r="Q176" s="409"/>
      <c r="R176" s="409"/>
    </row>
    <row r="177" spans="2:13" hidden="1" x14ac:dyDescent="0.5">
      <c r="K177" s="355"/>
      <c r="M177" s="419"/>
    </row>
    <row r="178" spans="2:13" ht="40" hidden="1" customHeight="1" x14ac:dyDescent="0.5">
      <c r="B178" s="507" t="s">
        <v>438</v>
      </c>
      <c r="C178" s="507"/>
      <c r="D178" s="507"/>
      <c r="E178" s="507"/>
      <c r="F178" s="507"/>
      <c r="G178" s="507"/>
      <c r="H178" s="507"/>
      <c r="I178" s="507"/>
      <c r="J178" s="507"/>
      <c r="K178" s="507"/>
      <c r="M178" s="419"/>
    </row>
    <row r="179" spans="2:13" ht="25" hidden="1" customHeight="1" x14ac:dyDescent="0.5">
      <c r="B179" s="424"/>
      <c r="K179" s="355"/>
      <c r="M179" s="419"/>
    </row>
    <row r="180" spans="2:13" ht="50.15" hidden="1" customHeight="1" x14ac:dyDescent="0.5">
      <c r="B180" s="408" t="s">
        <v>293</v>
      </c>
      <c r="C180" s="408" t="s">
        <v>292</v>
      </c>
      <c r="D180" s="408" t="s">
        <v>293</v>
      </c>
      <c r="E180" s="408" t="s">
        <v>292</v>
      </c>
      <c r="K180" s="355"/>
      <c r="M180" s="419"/>
    </row>
    <row r="181" spans="2:13" ht="40" hidden="1" customHeight="1" x14ac:dyDescent="0.5">
      <c r="B181" s="477">
        <f>Gráfico3!N2</f>
        <v>4683.9527362239296</v>
      </c>
      <c r="C181" s="456">
        <f>Gráfico3!C2</f>
        <v>1.0767634507736696</v>
      </c>
      <c r="D181" s="470">
        <f>Gráfico3!N22</f>
        <v>1928.5240346738449</v>
      </c>
      <c r="E181" s="456">
        <f>Gráfico3!C22</f>
        <v>1.1741426487047899</v>
      </c>
      <c r="K181" s="355"/>
      <c r="M181" s="419"/>
    </row>
    <row r="182" spans="2:13" ht="40" hidden="1" customHeight="1" x14ac:dyDescent="0.5">
      <c r="B182" s="477">
        <f>Gráfico3!N3</f>
        <v>4640.6169919818258</v>
      </c>
      <c r="C182" s="456">
        <f>Gráfico3!C3</f>
        <v>1.076875064159307</v>
      </c>
      <c r="D182" s="470">
        <f>Gráfico3!N23</f>
        <v>1792.5136822608838</v>
      </c>
      <c r="E182" s="456">
        <f>Gráfico3!C23</f>
        <v>1.2064538522304495</v>
      </c>
      <c r="K182" s="355"/>
      <c r="M182" s="419"/>
    </row>
    <row r="183" spans="2:13" ht="40" hidden="1" customHeight="1" x14ac:dyDescent="0.5">
      <c r="B183" s="477">
        <f>Gráfico3!N4</f>
        <v>4596.8069942168622</v>
      </c>
      <c r="C183" s="456">
        <f>Gráfico3!C4</f>
        <v>1.0769934030440345</v>
      </c>
      <c r="D183" s="470">
        <f>Gráfico3!N24</f>
        <v>1645.2010292029706</v>
      </c>
      <c r="E183" s="456">
        <f>Gráfico3!C24</f>
        <v>1.2568571315805355</v>
      </c>
      <c r="K183" s="355"/>
      <c r="M183" s="419"/>
    </row>
    <row r="184" spans="2:13" ht="40" hidden="1" customHeight="1" x14ac:dyDescent="0.5">
      <c r="B184" s="477">
        <f>Gráfico3!N5</f>
        <v>4552.5745911230861</v>
      </c>
      <c r="C184" s="456">
        <f>Gráfico3!C5</f>
        <v>1.0771188261256786</v>
      </c>
      <c r="D184" s="470">
        <f>Gráfico3!N25</f>
        <v>1516.95339186501</v>
      </c>
      <c r="E184" s="456">
        <f>Gráfico3!C25</f>
        <v>1.3205115087480912</v>
      </c>
      <c r="K184" s="355"/>
      <c r="M184" s="419"/>
    </row>
    <row r="185" spans="2:13" ht="40" hidden="1" customHeight="1" x14ac:dyDescent="0.5">
      <c r="B185" s="477">
        <f>Gráfico3!N6</f>
        <v>4507.9076274730915</v>
      </c>
      <c r="C185" s="456">
        <f>Gráfico3!C6</f>
        <v>1.0772519036329298</v>
      </c>
      <c r="D185" s="470">
        <f>Gráfico3!N26</f>
        <v>1483.22467768621</v>
      </c>
      <c r="E185" s="456">
        <f>Gráfico3!C26</f>
        <v>1.3414405100061617</v>
      </c>
      <c r="K185" s="355"/>
      <c r="M185" s="419"/>
    </row>
    <row r="186" spans="2:13" ht="40" hidden="1" customHeight="1" x14ac:dyDescent="0.5">
      <c r="B186" s="477">
        <f>Gráfico3!N7</f>
        <v>4347.9708396818814</v>
      </c>
      <c r="C186" s="456">
        <f>Gráfico3!C7</f>
        <v>1.0777876070174133</v>
      </c>
      <c r="D186" s="470">
        <f>Gráfico3!N27</f>
        <v>1448.6762363783623</v>
      </c>
      <c r="E186" s="456">
        <f>Gráfico3!C27</f>
        <v>1.3651012738120496</v>
      </c>
      <c r="K186" s="355"/>
      <c r="M186" s="419"/>
    </row>
    <row r="187" spans="2:13" ht="40" hidden="1" customHeight="1" x14ac:dyDescent="0.5">
      <c r="B187" s="477">
        <f>Gráfico3!N8</f>
        <v>4229.9818762977893</v>
      </c>
      <c r="C187" s="456">
        <f>Gráfico3!C8</f>
        <v>1.0782515611760735</v>
      </c>
      <c r="D187" s="470">
        <f>Gráfico3!N28</f>
        <v>1413.2834057450632</v>
      </c>
      <c r="E187" s="456">
        <f>Gráfico3!C28</f>
        <v>1.3919544849311216</v>
      </c>
      <c r="K187" s="355"/>
      <c r="M187" s="419"/>
    </row>
    <row r="188" spans="2:13" ht="40" hidden="1" customHeight="1" x14ac:dyDescent="0.5">
      <c r="B188" s="477">
        <f>Gráfico3!N9</f>
        <v>4108.6214335697223</v>
      </c>
      <c r="C188" s="456">
        <f>Gráfico3!C9</f>
        <v>1.0788020457129874</v>
      </c>
      <c r="D188" s="470">
        <f>Gráfico3!N29</f>
        <v>1374.8196173042425</v>
      </c>
      <c r="E188" s="456">
        <f>Gráfico3!C29</f>
        <v>1.4245218463596152</v>
      </c>
      <c r="K188" s="355"/>
      <c r="M188" s="419"/>
    </row>
    <row r="189" spans="2:13" ht="40" hidden="1" customHeight="1" x14ac:dyDescent="0.5">
      <c r="B189" s="477">
        <f>Gráfico3!N10</f>
        <v>3983.5599965633196</v>
      </c>
      <c r="C189" s="456">
        <f>Gráfico3!C10</f>
        <v>1.0794619073085827</v>
      </c>
      <c r="D189" s="470">
        <f>Gráfico3!N30</f>
        <v>1354.471141855867</v>
      </c>
      <c r="E189" s="456">
        <f>Gráfico3!C30</f>
        <v>1.4433348285046432</v>
      </c>
      <c r="K189" s="355"/>
      <c r="M189" s="419"/>
    </row>
    <row r="190" spans="2:13" ht="40" hidden="1" customHeight="1" x14ac:dyDescent="0.5">
      <c r="B190" s="477">
        <f>Gráfico3!N11</f>
        <v>3854.4371884046859</v>
      </c>
      <c r="C190" s="456">
        <f>Gráfico3!C11</f>
        <v>1.0802619079849789</v>
      </c>
      <c r="D190" s="470">
        <f>Gráfico3!N31</f>
        <v>1352.1649116862775</v>
      </c>
      <c r="E190" s="456">
        <f>Gráfico3!C31</f>
        <v>1.4455410782943507</v>
      </c>
      <c r="K190" s="355"/>
      <c r="M190" s="419"/>
    </row>
    <row r="191" spans="2:13" ht="40" hidden="1" customHeight="1" x14ac:dyDescent="0.5">
      <c r="B191" s="477">
        <f>Gráfico3!N12</f>
        <v>3720.8300725248232</v>
      </c>
      <c r="C191" s="456">
        <f>Gráfico3!C12</f>
        <v>1.081244401763642</v>
      </c>
      <c r="D191" s="470">
        <f>Gráfico3!N32</f>
        <v>1349.9143836287003</v>
      </c>
      <c r="E191" s="456">
        <f>Gráfico3!C32</f>
        <v>1.4477089903871996</v>
      </c>
      <c r="K191" s="355"/>
      <c r="M191" s="419"/>
    </row>
    <row r="192" spans="2:13" ht="40" hidden="1" customHeight="1" x14ac:dyDescent="0.5">
      <c r="B192" s="477">
        <f>Gráfico3!N13</f>
        <v>3582.2368015979491</v>
      </c>
      <c r="C192" s="456">
        <f>Gráfico3!C13</f>
        <v>1.0824689883107994</v>
      </c>
      <c r="D192" s="470">
        <f>Gráfico3!N33</f>
        <v>1347.6598914552751</v>
      </c>
      <c r="E192" s="456">
        <f>Gráfico3!C33</f>
        <v>1.4498956423992426</v>
      </c>
      <c r="K192" s="355"/>
      <c r="M192" s="419"/>
    </row>
    <row r="193" spans="2:17" ht="40" hidden="1" customHeight="1" x14ac:dyDescent="0.5">
      <c r="B193" s="477">
        <f>Gráfico3!N14</f>
        <v>3438.0543390050316</v>
      </c>
      <c r="C193" s="456">
        <f>Gráfico3!C14</f>
        <v>1.0840216585874447</v>
      </c>
      <c r="D193" s="470">
        <f>Gráfico3!N34</f>
        <v>1334.1832925407225</v>
      </c>
      <c r="E193" s="456">
        <f>Gráfico3!C34</f>
        <v>1.4632846590269699</v>
      </c>
      <c r="K193" s="355"/>
      <c r="M193" s="419"/>
    </row>
    <row r="194" spans="2:17" ht="40" hidden="1" customHeight="1" x14ac:dyDescent="0.5">
      <c r="B194" s="477">
        <f>Gráfico3!N15</f>
        <v>3287.5473832448729</v>
      </c>
      <c r="C194" s="456">
        <f>Gráfico3!C15</f>
        <v>1.0860301279566094</v>
      </c>
      <c r="D194" s="470">
        <f>Gráfico3!N35</f>
        <v>1331.7709924362684</v>
      </c>
      <c r="E194" s="456">
        <f>Gráfico3!C35</f>
        <v>1.4657399704815073</v>
      </c>
      <c r="K194" s="355"/>
      <c r="M194" s="419"/>
    </row>
    <row r="195" spans="2:17" ht="40" hidden="1" customHeight="1" x14ac:dyDescent="0.5">
      <c r="B195" s="477">
        <f>Gráfico3!N16</f>
        <v>3129.8038415548026</v>
      </c>
      <c r="C195" s="456">
        <f>Gráfico3!C16</f>
        <v>1.0886906336018032</v>
      </c>
      <c r="D195" s="470">
        <f>Gráfico3!N36</f>
        <v>1320.3067394546963</v>
      </c>
      <c r="E195" s="456">
        <f>Gráfico3!C36</f>
        <v>1.4776599806526505</v>
      </c>
      <c r="K195" s="355"/>
      <c r="M195" s="419"/>
    </row>
    <row r="196" spans="2:17" ht="40" hidden="1" customHeight="1" x14ac:dyDescent="0.5">
      <c r="B196" s="477">
        <f>Gráfico3!N17</f>
        <v>2963.6689805083729</v>
      </c>
      <c r="C196" s="456">
        <f>Gráfico3!C17</f>
        <v>1.0923171154807887</v>
      </c>
      <c r="D196" s="470">
        <f>Gráfico3!N37</f>
        <v>1308.7408280356779</v>
      </c>
      <c r="E196" s="456">
        <f>Gráfico3!C37</f>
        <v>1.4901190857368785</v>
      </c>
      <c r="K196" s="355"/>
      <c r="M196" s="419"/>
    </row>
    <row r="197" spans="2:17" ht="40" hidden="1" customHeight="1" x14ac:dyDescent="0.5">
      <c r="B197" s="477">
        <f>Gráfico3!N18</f>
        <v>2787.6442897736051</v>
      </c>
      <c r="C197" s="456">
        <f>Gráfico3!C18</f>
        <v>1.0974369089202889</v>
      </c>
      <c r="D197" s="470">
        <f>Gráfico3!N38</f>
        <v>1306.4128174965665</v>
      </c>
      <c r="E197" s="456">
        <f>Gráfico3!C38</f>
        <v>1.4926810673455966</v>
      </c>
      <c r="K197" s="355"/>
      <c r="M197" s="419"/>
    </row>
    <row r="198" spans="2:17" ht="40" hidden="1" customHeight="1" x14ac:dyDescent="0.5">
      <c r="B198" s="477">
        <f>Gráfico3!N19</f>
        <v>2599.7248330694542</v>
      </c>
      <c r="C198" s="456">
        <f>Gráfico3!C19</f>
        <v>1.1049906538963439</v>
      </c>
      <c r="D198" s="470">
        <f>Gráfico3!N39</f>
        <v>1304.0830067669808</v>
      </c>
      <c r="E198" s="456">
        <f>Gráfico3!C39</f>
        <v>1.4952635535799654</v>
      </c>
      <c r="K198" s="355"/>
      <c r="M198" s="419"/>
    </row>
    <row r="199" spans="2:17" ht="40" hidden="1" customHeight="1" x14ac:dyDescent="0.5">
      <c r="B199" s="477">
        <f>Gráfico3!N20</f>
        <v>2397.1222444069449</v>
      </c>
      <c r="C199" s="456">
        <f>Gráfico3!C20</f>
        <v>1.1167885414155889</v>
      </c>
      <c r="D199" s="470">
        <f>Gráfico3!N40</f>
        <v>1301.7490117595385</v>
      </c>
      <c r="E199" s="456">
        <f>Gráfico3!C40</f>
        <v>1.4978694097408274</v>
      </c>
      <c r="K199" s="355"/>
      <c r="M199" s="419"/>
    </row>
    <row r="200" spans="2:17" ht="40" hidden="1" customHeight="1" x14ac:dyDescent="0.5">
      <c r="B200" s="477">
        <f>Gráfico3!N21</f>
        <v>2175.7570213986482</v>
      </c>
      <c r="C200" s="456">
        <f>Gráfico3!C21</f>
        <v>1.1366764467790109</v>
      </c>
      <c r="D200" s="470">
        <f>Gráfico3!N41</f>
        <v>1301.7490117595385</v>
      </c>
      <c r="E200" s="456">
        <f>Gráfico3!C41</f>
        <v>1.4978694097408274</v>
      </c>
      <c r="K200" s="355"/>
      <c r="M200" s="419"/>
    </row>
    <row r="201" spans="2:17" hidden="1" x14ac:dyDescent="0.5">
      <c r="B201" s="427"/>
      <c r="C201" s="358"/>
      <c r="D201" s="358"/>
      <c r="E201" s="358"/>
      <c r="F201" s="358"/>
      <c r="G201" s="358"/>
      <c r="H201" s="358"/>
      <c r="I201" s="358"/>
      <c r="J201" s="358"/>
      <c r="K201" s="355"/>
      <c r="M201" s="419"/>
    </row>
    <row r="202" spans="2:17" hidden="1" x14ac:dyDescent="0.5">
      <c r="B202" s="425"/>
      <c r="C202" s="361"/>
      <c r="D202" s="361"/>
      <c r="E202" s="361"/>
      <c r="F202" s="361"/>
      <c r="G202" s="361"/>
      <c r="H202" s="361"/>
      <c r="I202" s="361"/>
      <c r="J202" s="361"/>
      <c r="K202" s="361"/>
      <c r="M202" s="419"/>
    </row>
    <row r="203" spans="2:17" hidden="1" x14ac:dyDescent="0.5">
      <c r="B203" s="421"/>
      <c r="C203" s="361"/>
      <c r="D203" s="361"/>
      <c r="E203" s="361"/>
      <c r="F203" s="494"/>
      <c r="G203" s="361"/>
      <c r="H203" s="361"/>
      <c r="I203" s="361"/>
      <c r="J203" s="361"/>
      <c r="K203" s="362"/>
      <c r="M203" s="419"/>
      <c r="N203" s="419"/>
      <c r="O203" s="419"/>
      <c r="P203" s="419"/>
      <c r="Q203" s="419"/>
    </row>
    <row r="204" spans="2:17" x14ac:dyDescent="0.5">
      <c r="B204" s="533" t="s">
        <v>223</v>
      </c>
      <c r="C204" s="533"/>
      <c r="D204" s="533"/>
      <c r="E204" s="533"/>
      <c r="F204" s="533"/>
      <c r="G204" s="533"/>
      <c r="H204" s="533"/>
      <c r="I204" s="533"/>
      <c r="J204" s="533"/>
      <c r="K204" s="533"/>
      <c r="M204" s="419"/>
      <c r="N204" s="419"/>
      <c r="O204" s="419"/>
      <c r="P204" s="419"/>
      <c r="Q204" s="419"/>
    </row>
    <row r="205" spans="2:17" ht="21" customHeight="1" x14ac:dyDescent="0.5">
      <c r="B205" s="357"/>
      <c r="C205" s="478"/>
      <c r="D205" s="478"/>
      <c r="E205" s="478"/>
      <c r="F205" s="478"/>
      <c r="G205" s="478"/>
      <c r="H205" s="478"/>
      <c r="I205" s="478"/>
      <c r="J205" s="478"/>
      <c r="K205" s="355"/>
    </row>
    <row r="206" spans="2:17" ht="21" customHeight="1" x14ac:dyDescent="0.5">
      <c r="B206" s="531" t="s">
        <v>468</v>
      </c>
      <c r="C206" s="532"/>
      <c r="D206" s="532"/>
      <c r="E206" s="532"/>
      <c r="F206" s="532"/>
      <c r="G206" s="532"/>
      <c r="H206" s="532"/>
      <c r="I206" s="532"/>
      <c r="J206" s="532"/>
      <c r="K206" s="486"/>
      <c r="L206" s="478"/>
      <c r="M206" s="478"/>
      <c r="N206" s="478"/>
      <c r="O206" s="478"/>
      <c r="P206" s="478"/>
      <c r="Q206" s="478"/>
    </row>
    <row r="207" spans="2:17" x14ac:dyDescent="0.5">
      <c r="B207" s="482"/>
      <c r="C207" s="483"/>
      <c r="D207" s="483"/>
      <c r="E207" s="483"/>
      <c r="F207" s="483"/>
      <c r="G207" s="483"/>
      <c r="H207" s="483"/>
      <c r="I207" s="483"/>
      <c r="J207" s="483"/>
      <c r="K207" s="486"/>
      <c r="L207" s="478"/>
      <c r="M207" s="478"/>
      <c r="N207" s="478"/>
      <c r="O207" s="478"/>
      <c r="P207" s="478"/>
      <c r="Q207" s="478"/>
    </row>
    <row r="208" spans="2:17" ht="51" customHeight="1" x14ac:dyDescent="0.5">
      <c r="B208" s="531" t="s">
        <v>469</v>
      </c>
      <c r="C208" s="532"/>
      <c r="D208" s="532"/>
      <c r="E208" s="532"/>
      <c r="F208" s="532"/>
      <c r="G208" s="532"/>
      <c r="H208" s="532"/>
      <c r="I208" s="532"/>
      <c r="J208" s="532"/>
      <c r="K208" s="486"/>
      <c r="L208" s="478"/>
      <c r="M208" s="478"/>
      <c r="N208" s="478"/>
      <c r="O208" s="478"/>
      <c r="P208" s="478"/>
      <c r="Q208" s="478"/>
    </row>
    <row r="209" spans="2:17" ht="6" customHeight="1" x14ac:dyDescent="0.5">
      <c r="B209" s="482"/>
      <c r="C209" s="483"/>
      <c r="D209" s="483"/>
      <c r="E209" s="483"/>
      <c r="F209" s="483"/>
      <c r="G209" s="483"/>
      <c r="H209" s="483"/>
      <c r="I209" s="483"/>
      <c r="J209" s="483"/>
      <c r="K209" s="486"/>
      <c r="L209" s="478"/>
      <c r="M209" s="478"/>
      <c r="N209" s="478"/>
      <c r="O209" s="478"/>
      <c r="P209" s="478"/>
      <c r="Q209" s="478"/>
    </row>
    <row r="210" spans="2:17" ht="1.5" customHeight="1" x14ac:dyDescent="0.5">
      <c r="B210" s="484"/>
      <c r="C210" s="487"/>
      <c r="D210" s="487"/>
      <c r="E210" s="487"/>
      <c r="F210" s="487"/>
      <c r="G210" s="487"/>
      <c r="H210" s="487"/>
      <c r="I210" s="487"/>
      <c r="J210" s="487"/>
      <c r="K210" s="492"/>
      <c r="L210" s="479"/>
      <c r="M210" s="479"/>
      <c r="N210" s="479"/>
      <c r="O210" s="479"/>
      <c r="P210" s="479"/>
      <c r="Q210" s="479"/>
    </row>
    <row r="211" spans="2:17" ht="21" customHeight="1" x14ac:dyDescent="0.5">
      <c r="B211" s="531" t="s">
        <v>351</v>
      </c>
      <c r="C211" s="532"/>
      <c r="D211" s="532"/>
      <c r="E211" s="532"/>
      <c r="F211" s="532"/>
      <c r="G211" s="532"/>
      <c r="H211" s="532"/>
      <c r="I211" s="532"/>
      <c r="J211" s="532"/>
      <c r="K211" s="486"/>
      <c r="L211" s="478"/>
      <c r="M211" s="478"/>
      <c r="N211" s="478"/>
      <c r="O211" s="478"/>
      <c r="P211" s="478"/>
      <c r="Q211" s="478"/>
    </row>
    <row r="212" spans="2:17" x14ac:dyDescent="0.5">
      <c r="B212" s="482"/>
      <c r="C212" s="483"/>
      <c r="D212" s="483"/>
      <c r="E212" s="483"/>
      <c r="F212" s="483"/>
      <c r="G212" s="483"/>
      <c r="H212" s="483"/>
      <c r="I212" s="483"/>
      <c r="J212" s="483"/>
      <c r="K212" s="486"/>
      <c r="L212" s="478"/>
      <c r="M212" s="478"/>
      <c r="N212" s="478"/>
      <c r="O212" s="478"/>
      <c r="P212" s="478"/>
      <c r="Q212" s="478"/>
    </row>
    <row r="213" spans="2:17" ht="45.75" customHeight="1" x14ac:dyDescent="0.5">
      <c r="B213" s="531" t="s">
        <v>352</v>
      </c>
      <c r="C213" s="532"/>
      <c r="D213" s="532"/>
      <c r="E213" s="532"/>
      <c r="F213" s="532"/>
      <c r="G213" s="532"/>
      <c r="H213" s="532"/>
      <c r="I213" s="532"/>
      <c r="J213" s="532"/>
      <c r="K213" s="486"/>
      <c r="L213" s="478"/>
      <c r="M213" s="478"/>
      <c r="N213" s="478"/>
      <c r="O213" s="478"/>
      <c r="P213" s="478"/>
      <c r="Q213" s="478"/>
    </row>
    <row r="214" spans="2:17" ht="11.25" customHeight="1" x14ac:dyDescent="0.5">
      <c r="B214" s="482"/>
      <c r="C214" s="483"/>
      <c r="D214" s="483"/>
      <c r="E214" s="483"/>
      <c r="F214" s="483"/>
      <c r="G214" s="483"/>
      <c r="H214" s="483"/>
      <c r="I214" s="483"/>
      <c r="J214" s="483"/>
      <c r="K214" s="486"/>
      <c r="L214" s="478"/>
      <c r="M214" s="478"/>
      <c r="N214" s="478"/>
      <c r="O214" s="478"/>
      <c r="P214" s="478"/>
      <c r="Q214" s="478"/>
    </row>
    <row r="215" spans="2:17" ht="21" customHeight="1" x14ac:dyDescent="0.5">
      <c r="B215" s="534" t="s">
        <v>444</v>
      </c>
      <c r="C215" s="535"/>
      <c r="D215" s="535"/>
      <c r="E215" s="535"/>
      <c r="F215" s="535"/>
      <c r="G215" s="535"/>
      <c r="H215" s="535"/>
      <c r="I215" s="535"/>
      <c r="J215" s="535"/>
      <c r="K215" s="488"/>
      <c r="L215" s="481"/>
      <c r="M215" s="481"/>
      <c r="N215" s="481"/>
      <c r="O215" s="481"/>
      <c r="P215" s="481"/>
      <c r="Q215" s="481"/>
    </row>
    <row r="216" spans="2:17" x14ac:dyDescent="0.5">
      <c r="B216" s="480"/>
      <c r="C216" s="481"/>
      <c r="D216" s="481"/>
      <c r="E216" s="481"/>
      <c r="F216" s="481"/>
      <c r="G216" s="481"/>
      <c r="H216" s="481"/>
      <c r="I216" s="481"/>
      <c r="J216" s="481"/>
      <c r="K216" s="488"/>
      <c r="L216" s="481"/>
      <c r="M216" s="481"/>
      <c r="N216" s="481"/>
      <c r="O216" s="481"/>
      <c r="P216" s="481"/>
      <c r="Q216" s="481"/>
    </row>
    <row r="217" spans="2:17" x14ac:dyDescent="0.5">
      <c r="B217" s="424"/>
      <c r="F217" s="449"/>
      <c r="G217" s="449"/>
      <c r="H217" s="449"/>
      <c r="I217" s="449"/>
      <c r="J217" s="449"/>
      <c r="K217" s="355"/>
      <c r="O217" s="449"/>
      <c r="P217" s="449"/>
      <c r="Q217" s="449"/>
    </row>
    <row r="218" spans="2:17" x14ac:dyDescent="0.5">
      <c r="B218" s="424"/>
      <c r="F218" s="449"/>
      <c r="G218" s="449"/>
      <c r="H218" s="449"/>
      <c r="I218" s="449"/>
      <c r="J218" s="449"/>
      <c r="K218" s="355"/>
      <c r="O218" s="449"/>
      <c r="P218" s="449"/>
      <c r="Q218" s="449"/>
    </row>
    <row r="219" spans="2:17" x14ac:dyDescent="0.5">
      <c r="B219" s="424"/>
      <c r="C219" s="537" t="s">
        <v>348</v>
      </c>
      <c r="D219" s="537"/>
      <c r="F219" s="449"/>
      <c r="G219" s="537" t="s">
        <v>439</v>
      </c>
      <c r="H219" s="537"/>
      <c r="I219" s="449"/>
      <c r="J219" s="449"/>
      <c r="K219" s="355"/>
      <c r="P219" s="449"/>
      <c r="Q219" s="449"/>
    </row>
    <row r="220" spans="2:17" x14ac:dyDescent="0.5">
      <c r="B220" s="424"/>
      <c r="F220" s="449"/>
      <c r="I220" s="449"/>
      <c r="J220" s="449"/>
      <c r="K220" s="355"/>
      <c r="P220" s="449"/>
      <c r="Q220" s="449"/>
    </row>
    <row r="221" spans="2:17" x14ac:dyDescent="0.5">
      <c r="B221" s="424"/>
      <c r="F221" s="449"/>
      <c r="I221" s="449"/>
      <c r="J221" s="449"/>
      <c r="K221" s="355"/>
      <c r="P221" s="449"/>
      <c r="Q221" s="449"/>
    </row>
    <row r="222" spans="2:17" x14ac:dyDescent="0.5">
      <c r="B222" s="424"/>
      <c r="F222" s="449"/>
      <c r="I222" s="449"/>
      <c r="J222" s="449"/>
      <c r="K222" s="355"/>
      <c r="P222" s="449"/>
      <c r="Q222" s="449"/>
    </row>
    <row r="223" spans="2:17" x14ac:dyDescent="0.5">
      <c r="B223" s="424"/>
      <c r="C223" s="358"/>
      <c r="D223" s="358"/>
      <c r="G223" s="358"/>
      <c r="H223" s="358"/>
      <c r="K223" s="355"/>
    </row>
    <row r="224" spans="2:17" x14ac:dyDescent="0.5">
      <c r="B224" s="424"/>
      <c r="C224" s="536" t="s">
        <v>463</v>
      </c>
      <c r="D224" s="536"/>
      <c r="E224" s="490"/>
      <c r="F224" s="491"/>
      <c r="G224" s="536" t="s">
        <v>464</v>
      </c>
      <c r="H224" s="536"/>
      <c r="K224" s="355"/>
      <c r="L224" s="500"/>
      <c r="M224" s="500"/>
      <c r="N224" s="500"/>
      <c r="P224" s="451"/>
    </row>
    <row r="225" spans="2:16" x14ac:dyDescent="0.5">
      <c r="B225" s="424"/>
      <c r="C225" s="500">
        <v>46078</v>
      </c>
      <c r="D225" s="500"/>
      <c r="E225" s="490"/>
      <c r="F225" s="489"/>
      <c r="G225" s="500">
        <f>C225</f>
        <v>46078</v>
      </c>
      <c r="H225" s="500"/>
      <c r="K225" s="355"/>
      <c r="L225" s="500"/>
      <c r="M225" s="500"/>
      <c r="N225" s="500"/>
      <c r="P225" s="450"/>
    </row>
    <row r="226" spans="2:16" x14ac:dyDescent="0.5">
      <c r="B226" s="424"/>
      <c r="E226" s="490"/>
      <c r="K226" s="355"/>
      <c r="L226" s="500"/>
      <c r="M226" s="500"/>
      <c r="N226" s="500"/>
      <c r="P226" s="450"/>
    </row>
    <row r="227" spans="2:16" x14ac:dyDescent="0.5">
      <c r="B227" s="427"/>
      <c r="C227" s="358"/>
      <c r="D227" s="358"/>
      <c r="E227" s="358"/>
      <c r="F227" s="358"/>
      <c r="G227" s="358"/>
      <c r="H227" s="358"/>
      <c r="I227" s="358"/>
      <c r="J227" s="358"/>
      <c r="K227" s="355"/>
    </row>
    <row r="238" spans="2:16" x14ac:dyDescent="0.5">
      <c r="B238" s="418"/>
    </row>
    <row r="279" spans="2:2" x14ac:dyDescent="0.5">
      <c r="B279" s="420" t="b">
        <v>1</v>
      </c>
    </row>
  </sheetData>
  <mergeCells count="40">
    <mergeCell ref="B213:J213"/>
    <mergeCell ref="B215:J215"/>
    <mergeCell ref="C224:D224"/>
    <mergeCell ref="C225:D225"/>
    <mergeCell ref="G219:H219"/>
    <mergeCell ref="G224:H224"/>
    <mergeCell ref="G225:H225"/>
    <mergeCell ref="C219:D219"/>
    <mergeCell ref="B206:J206"/>
    <mergeCell ref="B208:J208"/>
    <mergeCell ref="B211:J211"/>
    <mergeCell ref="B204:K204"/>
    <mergeCell ref="B117:K120"/>
    <mergeCell ref="B1:K4"/>
    <mergeCell ref="B124:K124"/>
    <mergeCell ref="B122:K122"/>
    <mergeCell ref="B148:K148"/>
    <mergeCell ref="B178:K178"/>
    <mergeCell ref="B37:K40"/>
    <mergeCell ref="B173:K176"/>
    <mergeCell ref="B103:B104"/>
    <mergeCell ref="B72:K75"/>
    <mergeCell ref="E90:I90"/>
    <mergeCell ref="B90:D90"/>
    <mergeCell ref="B77:K77"/>
    <mergeCell ref="B100:K100"/>
    <mergeCell ref="B81:B82"/>
    <mergeCell ref="F44:G44"/>
    <mergeCell ref="B59:E59"/>
    <mergeCell ref="B41:K41"/>
    <mergeCell ref="F15:G15"/>
    <mergeCell ref="B7:C7"/>
    <mergeCell ref="B15:C15"/>
    <mergeCell ref="B43:E43"/>
    <mergeCell ref="F43:I43"/>
    <mergeCell ref="L224:N224"/>
    <mergeCell ref="L225:N225"/>
    <mergeCell ref="L226:N226"/>
    <mergeCell ref="O81:Q81"/>
    <mergeCell ref="O82:Q82"/>
  </mergeCells>
  <printOptions horizontalCentered="1"/>
  <pageMargins left="0.19685039370078741" right="0.19685039370078741" top="0.43307086614173229" bottom="0.74803149606299213" header="0.19685039370078741" footer="0.51181102362204722"/>
  <pageSetup paperSize="9" scale="33" fitToHeight="0" orientation="portrait" r:id="rId1"/>
  <headerFooter alignWithMargins="0">
    <oddFooter>Página &amp;P de &amp;N</oddFooter>
  </headerFooter>
  <rowBreaks count="3" manualBreakCount="3">
    <brk id="35" max="11" man="1"/>
    <brk id="70" max="11" man="1"/>
    <brk id="115" max="11" man="1"/>
  </rowBreaks>
  <drawing r:id="rId2"/>
  <legacyDrawing r:id="rId3"/>
  <controls>
    <mc:AlternateContent xmlns:mc="http://schemas.openxmlformats.org/markup-compatibility/2006">
      <mc:Choice Requires="x14">
        <control shapeId="266182" r:id="rId4" name="CheckBox13">
          <controlPr defaultSize="0" autoLine="0" linkedCell="B279" r:id="rId5">
            <anchor moveWithCells="1">
              <from>
                <xdr:col>19</xdr:col>
                <xdr:colOff>317500</xdr:colOff>
                <xdr:row>29</xdr:row>
                <xdr:rowOff>0</xdr:rowOff>
              </from>
              <to>
                <xdr:col>24</xdr:col>
                <xdr:colOff>107950</xdr:colOff>
                <xdr:row>29</xdr:row>
                <xdr:rowOff>342900</xdr:rowOff>
              </to>
            </anchor>
          </controlPr>
        </control>
      </mc:Choice>
      <mc:Fallback>
        <control shapeId="266182" r:id="rId4" name="CheckBox13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greaterThan" id="{D08DD9DC-C723-433E-ABF1-40FC592D8F7E}">
            <xm:f>'Gas parameters'!$F$20</xm:f>
            <x14:dxf/>
          </x14:cfRule>
          <xm:sqref>E86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5">
    <pageSetUpPr autoPageBreaks="0" fitToPage="1"/>
  </sheetPr>
  <dimension ref="A1:Z147"/>
  <sheetViews>
    <sheetView view="pageBreakPreview" topLeftCell="A95" zoomScale="130" zoomScaleNormal="115" zoomScaleSheetLayoutView="130" workbookViewId="0">
      <selection activeCell="I5" sqref="I5"/>
    </sheetView>
  </sheetViews>
  <sheetFormatPr defaultColWidth="9.1796875" defaultRowHeight="13" x14ac:dyDescent="0.3"/>
  <cols>
    <col min="1" max="1" width="1.81640625" style="128" customWidth="1"/>
    <col min="2" max="2" width="25.453125" style="128" customWidth="1"/>
    <col min="3" max="3" width="2.453125" style="128" customWidth="1"/>
    <col min="4" max="4" width="3.81640625" style="128" customWidth="1"/>
    <col min="5" max="5" width="10.54296875" style="128" customWidth="1"/>
    <col min="6" max="6" width="9.54296875" style="128" customWidth="1"/>
    <col min="7" max="7" width="7.81640625" style="128" customWidth="1"/>
    <col min="8" max="8" width="14.54296875" style="128" customWidth="1"/>
    <col min="9" max="9" width="4.54296875" style="128" customWidth="1"/>
    <col min="10" max="10" width="10.54296875" style="128" customWidth="1"/>
    <col min="11" max="11" width="16.453125" style="128" customWidth="1"/>
    <col min="12" max="12" width="8" style="128" customWidth="1"/>
    <col min="13" max="13" width="8.81640625" style="128" customWidth="1"/>
    <col min="14" max="14" width="4" style="128" customWidth="1"/>
    <col min="15" max="15" width="10.453125" style="128" bestFit="1" customWidth="1"/>
    <col min="16" max="16" width="7.1796875" style="128" customWidth="1"/>
    <col min="17" max="17" width="1.453125" style="128" customWidth="1"/>
    <col min="18" max="18" width="9.1796875" style="55"/>
    <col min="19" max="19" width="9.1796875" style="55" customWidth="1"/>
    <col min="20" max="20" width="2.54296875" style="55" hidden="1" customWidth="1"/>
    <col min="21" max="21" width="9.1796875" style="55" customWidth="1"/>
    <col min="22" max="16384" width="9.1796875" style="55"/>
  </cols>
  <sheetData>
    <row r="1" spans="2:21" ht="22.5" customHeight="1" x14ac:dyDescent="0.3">
      <c r="B1" s="129"/>
      <c r="C1" s="130"/>
      <c r="D1" s="130"/>
      <c r="E1" s="130"/>
      <c r="F1" s="131"/>
      <c r="G1" s="132"/>
      <c r="H1" s="131"/>
      <c r="I1" s="131"/>
      <c r="J1" s="133"/>
      <c r="K1" s="134"/>
      <c r="L1" s="131"/>
      <c r="M1" s="131"/>
      <c r="N1" s="131"/>
      <c r="O1" s="131"/>
      <c r="P1" s="135"/>
      <c r="Q1" s="136"/>
      <c r="R1" s="57"/>
    </row>
    <row r="2" spans="2:21" x14ac:dyDescent="0.3">
      <c r="B2" s="137"/>
      <c r="F2" s="136"/>
      <c r="G2" s="136"/>
      <c r="H2" s="136"/>
      <c r="I2" s="136"/>
      <c r="J2" s="138"/>
      <c r="K2" s="139"/>
      <c r="L2" s="136"/>
      <c r="M2" s="136"/>
      <c r="N2" s="136"/>
      <c r="O2" s="136"/>
      <c r="P2" s="140"/>
      <c r="Q2" s="136"/>
      <c r="R2" s="57"/>
    </row>
    <row r="3" spans="2:21" ht="63.75" customHeight="1" x14ac:dyDescent="0.6">
      <c r="B3" s="538" t="str">
        <f>Report!B1</f>
        <v>Relatório de Cálculo de Incerteza - Nº FORTE-UCG-FE-1231010B-26-04
Uncertainty Calculation Report - Nº FORTE-UCG-FE-1231010B-26-04</v>
      </c>
      <c r="C3" s="539"/>
      <c r="D3" s="539"/>
      <c r="E3" s="539"/>
      <c r="F3" s="539"/>
      <c r="G3" s="539"/>
      <c r="H3" s="539"/>
      <c r="I3" s="539"/>
      <c r="J3" s="539"/>
      <c r="K3" s="539"/>
      <c r="L3" s="539"/>
      <c r="M3" s="539"/>
      <c r="N3" s="539"/>
      <c r="O3" s="539"/>
      <c r="P3" s="540"/>
      <c r="Q3" s="136"/>
      <c r="R3" s="57"/>
      <c r="U3"/>
    </row>
    <row r="4" spans="2:21" ht="15.5" x14ac:dyDescent="0.3">
      <c r="B4" s="544"/>
      <c r="C4" s="545"/>
      <c r="D4" s="545"/>
      <c r="E4" s="545"/>
      <c r="F4" s="545"/>
      <c r="G4" s="545"/>
      <c r="H4" s="545"/>
      <c r="I4" s="545"/>
      <c r="J4" s="545"/>
      <c r="K4" s="545"/>
      <c r="L4" s="545"/>
      <c r="M4" s="545"/>
      <c r="N4" s="545"/>
      <c r="O4" s="545"/>
      <c r="P4" s="546"/>
      <c r="Q4" s="136"/>
      <c r="R4" s="57"/>
    </row>
    <row r="5" spans="2:21" ht="15.5" x14ac:dyDescent="0.3">
      <c r="B5" s="279"/>
      <c r="C5" s="280"/>
      <c r="D5" s="280"/>
      <c r="E5" s="280"/>
      <c r="F5" s="280"/>
      <c r="G5" s="280"/>
      <c r="H5" s="280"/>
      <c r="I5" s="280"/>
      <c r="J5" s="280"/>
      <c r="K5" s="280"/>
      <c r="L5" s="280"/>
      <c r="M5" s="280"/>
      <c r="N5" s="280"/>
      <c r="O5" s="280"/>
      <c r="P5" s="281"/>
      <c r="Q5" s="136"/>
      <c r="R5" s="57"/>
    </row>
    <row r="6" spans="2:21" ht="14.5" x14ac:dyDescent="0.3">
      <c r="B6" s="541"/>
      <c r="C6" s="542"/>
      <c r="D6" s="542"/>
      <c r="E6" s="542"/>
      <c r="F6" s="542"/>
      <c r="G6" s="542"/>
      <c r="H6" s="542"/>
      <c r="I6" s="542"/>
      <c r="J6" s="542"/>
      <c r="K6" s="542"/>
      <c r="L6" s="542"/>
      <c r="M6" s="542"/>
      <c r="N6" s="542"/>
      <c r="O6" s="542"/>
      <c r="P6" s="543"/>
      <c r="Q6" s="136"/>
      <c r="R6" s="57"/>
    </row>
    <row r="7" spans="2:21" ht="5.15" customHeight="1" x14ac:dyDescent="0.3">
      <c r="F7" s="136"/>
      <c r="G7" s="136"/>
      <c r="H7" s="136"/>
      <c r="I7" s="136"/>
      <c r="K7" s="139"/>
      <c r="L7" s="136"/>
      <c r="M7" s="136"/>
      <c r="N7" s="136"/>
      <c r="O7" s="136"/>
      <c r="P7" s="136"/>
      <c r="Q7" s="136"/>
      <c r="R7" s="57"/>
    </row>
    <row r="8" spans="2:21" ht="14.5" x14ac:dyDescent="0.35">
      <c r="B8" s="167" t="s">
        <v>159</v>
      </c>
      <c r="C8" s="130"/>
      <c r="D8" s="130"/>
      <c r="E8" s="130"/>
      <c r="F8" s="131"/>
      <c r="G8" s="131"/>
      <c r="H8" s="130"/>
      <c r="I8" s="130"/>
      <c r="J8" s="166" t="s">
        <v>158</v>
      </c>
      <c r="K8" s="130"/>
      <c r="L8" s="130"/>
      <c r="M8" s="130"/>
      <c r="N8" s="130"/>
      <c r="O8" s="130"/>
      <c r="P8" s="145"/>
      <c r="Q8" s="136"/>
      <c r="R8" s="57"/>
    </row>
    <row r="9" spans="2:21" x14ac:dyDescent="0.3">
      <c r="B9" s="137"/>
      <c r="G9" s="136"/>
      <c r="P9" s="146"/>
      <c r="Q9" s="136"/>
      <c r="R9" s="57"/>
    </row>
    <row r="10" spans="2:21" ht="14.5" x14ac:dyDescent="0.3">
      <c r="B10" s="147" t="s">
        <v>160</v>
      </c>
      <c r="F10" s="326">
        <v>17092</v>
      </c>
      <c r="G10" s="136" t="s">
        <v>244</v>
      </c>
      <c r="J10" s="128" t="s">
        <v>211</v>
      </c>
      <c r="O10" s="327">
        <v>20</v>
      </c>
      <c r="P10" s="153" t="s">
        <v>151</v>
      </c>
      <c r="Q10" s="136"/>
      <c r="R10" s="57"/>
    </row>
    <row r="11" spans="2:21" ht="7" customHeight="1" x14ac:dyDescent="0.3">
      <c r="B11" s="147"/>
      <c r="H11" s="136"/>
      <c r="O11" s="150"/>
      <c r="P11" s="146"/>
      <c r="Q11" s="136"/>
      <c r="R11" s="57"/>
    </row>
    <row r="12" spans="2:21" ht="14.5" x14ac:dyDescent="0.3">
      <c r="B12" s="147" t="s">
        <v>161</v>
      </c>
      <c r="F12" s="328">
        <v>40.473999999999997</v>
      </c>
      <c r="G12" s="149" t="s">
        <v>151</v>
      </c>
      <c r="J12" s="128" t="s">
        <v>118</v>
      </c>
      <c r="O12" s="327">
        <v>101.325</v>
      </c>
      <c r="P12" s="140" t="s">
        <v>244</v>
      </c>
      <c r="Q12" s="136"/>
      <c r="S12" s="64"/>
    </row>
    <row r="13" spans="2:21" ht="7" customHeight="1" x14ac:dyDescent="0.3">
      <c r="B13" s="147"/>
      <c r="H13" s="136"/>
      <c r="O13" s="150"/>
      <c r="P13" s="146"/>
      <c r="Q13" s="136"/>
      <c r="R13" s="57"/>
    </row>
    <row r="14" spans="2:21" ht="14.5" x14ac:dyDescent="0.3">
      <c r="B14" s="147" t="s">
        <v>162</v>
      </c>
      <c r="F14" s="368">
        <f>Chromatography!D30</f>
        <v>1.5900000000000001E-2</v>
      </c>
      <c r="G14" s="128" t="s">
        <v>249</v>
      </c>
      <c r="J14" s="151" t="s">
        <v>214</v>
      </c>
      <c r="O14" s="371">
        <f>Chromatography!D23</f>
        <v>0.75860000000000005</v>
      </c>
      <c r="P14" s="238" t="s">
        <v>164</v>
      </c>
      <c r="Q14" s="136"/>
      <c r="S14" s="64"/>
      <c r="T14" s="64"/>
    </row>
    <row r="15" spans="2:21" ht="7" customHeight="1" x14ac:dyDescent="0.3">
      <c r="B15" s="147"/>
      <c r="H15" s="136"/>
      <c r="O15" s="150"/>
      <c r="P15" s="146"/>
      <c r="Q15" s="136"/>
      <c r="R15" s="57"/>
    </row>
    <row r="16" spans="2:21" ht="14.5" x14ac:dyDescent="0.35">
      <c r="B16" s="147" t="s">
        <v>163</v>
      </c>
      <c r="F16" s="369">
        <f>Chromatography!D29</f>
        <v>1.7769999999999999</v>
      </c>
      <c r="G16" s="136"/>
      <c r="J16" s="382" t="s">
        <v>358</v>
      </c>
      <c r="N16" s="169"/>
      <c r="O16" s="149"/>
      <c r="P16" s="153"/>
      <c r="Q16" s="136"/>
      <c r="S16" s="64"/>
    </row>
    <row r="17" spans="1:20" s="336" customFormat="1" ht="7" customHeight="1" x14ac:dyDescent="0.3">
      <c r="A17" s="332"/>
      <c r="B17" s="333"/>
      <c r="C17" s="332"/>
      <c r="D17" s="332"/>
      <c r="E17" s="332"/>
      <c r="F17" s="332"/>
      <c r="G17" s="332"/>
      <c r="H17" s="199"/>
      <c r="I17" s="332"/>
      <c r="J17" s="332"/>
      <c r="K17" s="332"/>
      <c r="L17" s="332"/>
      <c r="M17" s="332"/>
      <c r="N17" s="332"/>
      <c r="O17" s="138"/>
      <c r="P17" s="334"/>
      <c r="Q17" s="199"/>
      <c r="R17" s="335"/>
    </row>
    <row r="18" spans="1:20" ht="14.5" x14ac:dyDescent="0.3">
      <c r="B18" s="147" t="s">
        <v>213</v>
      </c>
      <c r="F18" s="370">
        <f>L20*(F10+O12)/((L18*8.31451*(F12+273.15)))</f>
        <v>149.44264593384534</v>
      </c>
      <c r="G18" s="136" t="s">
        <v>164</v>
      </c>
      <c r="J18" s="128" t="s">
        <v>359</v>
      </c>
      <c r="L18" s="383">
        <f>Chromatography!D31</f>
        <v>0.80330000000000001</v>
      </c>
      <c r="M18" s="384" t="s">
        <v>360</v>
      </c>
      <c r="O18" s="385">
        <f>Chromatography!E31</f>
        <v>1.1000000000000001E-3</v>
      </c>
      <c r="P18" s="384" t="s">
        <v>360</v>
      </c>
      <c r="Q18" s="136"/>
      <c r="R18" s="57"/>
    </row>
    <row r="19" spans="1:20" ht="6.75" customHeight="1" x14ac:dyDescent="0.3">
      <c r="B19" s="147"/>
      <c r="H19" s="136"/>
      <c r="K19" s="136"/>
      <c r="M19" s="136"/>
      <c r="N19" s="150"/>
      <c r="O19" s="150"/>
      <c r="P19" s="140"/>
      <c r="Q19" s="136"/>
      <c r="R19" s="57"/>
    </row>
    <row r="20" spans="1:20" x14ac:dyDescent="0.3">
      <c r="B20" s="147" t="str">
        <f>'Equipment List'!A19</f>
        <v>Pressão Diferencial Alta (High Differential Pressure)</v>
      </c>
      <c r="F20" s="328">
        <v>60</v>
      </c>
      <c r="G20" s="136" t="s">
        <v>244</v>
      </c>
      <c r="J20" s="128" t="s">
        <v>361</v>
      </c>
      <c r="L20" s="327">
        <f>Chromatography!D20</f>
        <v>18.207000000000001</v>
      </c>
      <c r="M20" s="386" t="s">
        <v>362</v>
      </c>
      <c r="N20" s="169"/>
      <c r="O20" s="387">
        <f>Chromatography!E20</f>
        <v>4.2999999999999997E-2</v>
      </c>
      <c r="P20" s="388" t="s">
        <v>362</v>
      </c>
      <c r="Q20" s="136"/>
    </row>
    <row r="21" spans="1:20" ht="6.75" customHeight="1" x14ac:dyDescent="0.3">
      <c r="B21" s="147"/>
      <c r="H21" s="136"/>
      <c r="K21" s="136"/>
      <c r="M21" s="136"/>
      <c r="N21" s="150"/>
      <c r="O21" s="136"/>
      <c r="P21" s="140"/>
      <c r="Q21" s="136"/>
      <c r="R21" s="57"/>
    </row>
    <row r="22" spans="1:20" x14ac:dyDescent="0.3">
      <c r="B22" s="282" t="str">
        <f>'Equipment List'!A20</f>
        <v>Pressão Diferencial Média (Avg Differential Pressure)</v>
      </c>
      <c r="C22" s="127"/>
      <c r="D22" s="127"/>
      <c r="E22" s="127"/>
      <c r="F22" s="328"/>
      <c r="G22" s="165" t="s">
        <v>244</v>
      </c>
      <c r="H22" s="329"/>
      <c r="I22" s="330"/>
      <c r="J22" s="151" t="s">
        <v>363</v>
      </c>
      <c r="K22" s="330"/>
      <c r="L22" s="389">
        <v>8.3145100000000003</v>
      </c>
      <c r="M22" s="386" t="s">
        <v>364</v>
      </c>
      <c r="N22" s="331"/>
      <c r="O22"/>
      <c r="P22" s="390"/>
      <c r="Q22" s="230"/>
      <c r="R22" s="57"/>
    </row>
    <row r="23" spans="1:20" ht="6.75" customHeight="1" x14ac:dyDescent="0.3">
      <c r="B23" s="147"/>
      <c r="H23" s="136"/>
      <c r="J23" s="151"/>
      <c r="K23" s="136"/>
      <c r="M23" s="136"/>
      <c r="N23" s="150"/>
      <c r="O23" s="136"/>
      <c r="P23" s="140"/>
      <c r="Q23" s="136"/>
      <c r="R23" s="57"/>
    </row>
    <row r="24" spans="1:20" x14ac:dyDescent="0.3">
      <c r="B24" s="137" t="str">
        <f>'Equipment List'!A21</f>
        <v>Pressão Diferencial Baixa (Low Differential Pressure)</v>
      </c>
      <c r="F24" s="328"/>
      <c r="G24" s="165" t="s">
        <v>244</v>
      </c>
      <c r="H24" s="136"/>
      <c r="J24" s="128" t="s">
        <v>365</v>
      </c>
      <c r="K24" s="136"/>
      <c r="L24" s="327"/>
      <c r="M24" s="136" t="s">
        <v>20</v>
      </c>
      <c r="O24" s="383"/>
      <c r="P24" s="140" t="s">
        <v>20</v>
      </c>
      <c r="Q24" s="136"/>
      <c r="R24" s="57"/>
    </row>
    <row r="25" spans="1:20" x14ac:dyDescent="0.3">
      <c r="B25" s="137"/>
      <c r="F25" s="369"/>
      <c r="G25" s="165"/>
      <c r="H25" s="136"/>
      <c r="K25" s="136"/>
      <c r="O25" s="136"/>
      <c r="P25" s="140"/>
      <c r="Q25" s="136"/>
      <c r="R25" s="57"/>
    </row>
    <row r="26" spans="1:20" x14ac:dyDescent="0.3">
      <c r="B26" s="141"/>
      <c r="C26" s="142"/>
      <c r="D26" s="142"/>
      <c r="E26" s="142"/>
      <c r="F26" s="142"/>
      <c r="G26" s="142"/>
      <c r="H26" s="143"/>
      <c r="I26" s="142"/>
      <c r="J26" s="391" t="s">
        <v>189</v>
      </c>
      <c r="K26" s="391"/>
      <c r="L26" s="391"/>
      <c r="M26" s="391"/>
      <c r="N26" s="392"/>
      <c r="O26" s="393"/>
      <c r="P26" s="144"/>
      <c r="Q26" s="136"/>
      <c r="R26" s="57"/>
    </row>
    <row r="27" spans="1:20" x14ac:dyDescent="0.3">
      <c r="E27" s="231"/>
      <c r="F27" s="136"/>
      <c r="G27" s="136"/>
      <c r="Q27" s="136"/>
      <c r="R27" s="57"/>
    </row>
    <row r="28" spans="1:20" ht="14.5" x14ac:dyDescent="0.35">
      <c r="B28" s="167" t="str">
        <f>IF(B147=TRUE,"Transmissor de Pressão diferencial de alta (High Range Differential Pressure Transmitter)","Transmissor de Pressão diferencial (Differential Pressure Transmitter)")</f>
        <v>Transmissor de Pressão diferencial (Differential Pressure Transmitter)</v>
      </c>
      <c r="C28" s="130"/>
      <c r="D28" s="130"/>
      <c r="E28" s="154"/>
      <c r="F28" s="131"/>
      <c r="G28" s="131"/>
      <c r="H28" s="130"/>
      <c r="I28" s="130"/>
      <c r="J28" s="130"/>
      <c r="K28" s="130"/>
      <c r="L28" s="130"/>
      <c r="M28" s="130"/>
      <c r="N28" s="130"/>
      <c r="O28" s="130"/>
      <c r="P28" s="145"/>
      <c r="Q28" s="136"/>
    </row>
    <row r="29" spans="1:20" x14ac:dyDescent="0.3">
      <c r="B29" s="155"/>
      <c r="E29" s="156"/>
      <c r="F29" s="136"/>
      <c r="G29" s="136"/>
      <c r="P29" s="146"/>
      <c r="Q29" s="136"/>
    </row>
    <row r="30" spans="1:20" x14ac:dyDescent="0.3">
      <c r="B30" s="137"/>
      <c r="E30" s="157" t="s">
        <v>95</v>
      </c>
      <c r="F30" s="136"/>
      <c r="G30" s="82" t="s">
        <v>240</v>
      </c>
      <c r="H30" s="157" t="s">
        <v>112</v>
      </c>
      <c r="J30" s="157" t="s">
        <v>111</v>
      </c>
      <c r="K30" s="157" t="s">
        <v>110</v>
      </c>
      <c r="O30" s="157" t="s">
        <v>108</v>
      </c>
      <c r="P30" s="146"/>
      <c r="Q30" s="136"/>
      <c r="R30" s="57"/>
      <c r="T30" s="157" t="s">
        <v>109</v>
      </c>
    </row>
    <row r="31" spans="1:20" s="76" customFormat="1" ht="12.75" customHeight="1" x14ac:dyDescent="0.3">
      <c r="A31" s="152"/>
      <c r="B31" s="137"/>
      <c r="C31" s="128"/>
      <c r="D31" s="128"/>
      <c r="E31" s="168" t="s">
        <v>107</v>
      </c>
      <c r="F31" s="128"/>
      <c r="G31" s="80" t="s">
        <v>241</v>
      </c>
      <c r="H31" s="168" t="s">
        <v>106</v>
      </c>
      <c r="I31" s="128"/>
      <c r="J31" s="168" t="s">
        <v>105</v>
      </c>
      <c r="K31" s="168" t="s">
        <v>104</v>
      </c>
      <c r="L31" s="128"/>
      <c r="N31" s="128"/>
      <c r="O31" s="168" t="s">
        <v>102</v>
      </c>
      <c r="P31" s="146"/>
      <c r="Q31" s="148"/>
      <c r="R31" s="77"/>
      <c r="T31" s="168" t="s">
        <v>103</v>
      </c>
    </row>
    <row r="32" spans="1:20" ht="5.15" customHeight="1" x14ac:dyDescent="0.3">
      <c r="B32" s="137"/>
      <c r="E32" s="158"/>
      <c r="F32" s="136"/>
      <c r="G32" s="136"/>
      <c r="H32" s="151"/>
      <c r="K32" s="158"/>
      <c r="L32" s="136"/>
      <c r="N32" s="136"/>
      <c r="O32" s="136"/>
      <c r="P32" s="140"/>
      <c r="Q32" s="136"/>
      <c r="R32" s="57"/>
      <c r="T32" s="136"/>
    </row>
    <row r="33" spans="2:20" ht="12.75" customHeight="1" x14ac:dyDescent="0.3">
      <c r="B33" s="137" t="s">
        <v>152</v>
      </c>
      <c r="E33" s="261">
        <f>0.05%*F20</f>
        <v>0.03</v>
      </c>
      <c r="F33" s="136" t="s">
        <v>244</v>
      </c>
      <c r="G33" s="260">
        <v>2.0099999999999998</v>
      </c>
      <c r="H33" s="108" t="s">
        <v>17</v>
      </c>
      <c r="J33" s="108" t="s">
        <v>15</v>
      </c>
      <c r="K33" s="283">
        <f>E33/G33</f>
        <v>1.492537313432836E-2</v>
      </c>
      <c r="L33" s="136" t="s">
        <v>244</v>
      </c>
      <c r="O33" s="160">
        <f>(K33*T33)^2</f>
        <v>2.2276676319893076E-4</v>
      </c>
      <c r="P33" s="140" t="s">
        <v>246</v>
      </c>
      <c r="Q33" s="136"/>
      <c r="R33" s="57"/>
      <c r="T33" s="160">
        <v>1</v>
      </c>
    </row>
    <row r="34" spans="2:20" ht="14.5" x14ac:dyDescent="0.3">
      <c r="B34" s="137" t="s">
        <v>153</v>
      </c>
      <c r="E34" s="499"/>
      <c r="F34" s="149"/>
      <c r="G34" s="136"/>
      <c r="K34" s="158"/>
      <c r="L34" s="136"/>
      <c r="M34" s="136"/>
      <c r="N34" s="136"/>
      <c r="O34" s="161"/>
      <c r="P34" s="140"/>
      <c r="Q34" s="136"/>
      <c r="R34" s="57"/>
    </row>
    <row r="35" spans="2:20" x14ac:dyDescent="0.3">
      <c r="B35" s="189" t="s">
        <v>226</v>
      </c>
      <c r="E35" s="261">
        <f>0.046%*60</f>
        <v>2.76E-2</v>
      </c>
      <c r="F35" s="136" t="s">
        <v>244</v>
      </c>
      <c r="G35" s="136"/>
      <c r="H35" s="108" t="s">
        <v>96</v>
      </c>
      <c r="J35" s="108" t="s">
        <v>15</v>
      </c>
      <c r="K35" s="283">
        <f>IF(H35=B144,E35,IF(H35=B145,E35/SQRT(3),IF(H35=B146,E35/3,E35/SQRT(3))))</f>
        <v>1.5934867429633671E-2</v>
      </c>
      <c r="L35" s="136" t="s">
        <v>244</v>
      </c>
      <c r="M35" s="136"/>
      <c r="N35" s="136"/>
      <c r="O35" s="160">
        <f>(K35*T35)^2</f>
        <v>2.5391999999999998E-4</v>
      </c>
      <c r="P35" s="140" t="s">
        <v>246</v>
      </c>
      <c r="Q35" s="136"/>
      <c r="R35" s="57"/>
      <c r="T35" s="160">
        <v>1</v>
      </c>
    </row>
    <row r="36" spans="2:20" ht="14.5" x14ac:dyDescent="0.3">
      <c r="B36" s="137"/>
      <c r="E36" s="158"/>
      <c r="F36" s="149"/>
      <c r="G36" s="136"/>
      <c r="K36" s="158"/>
      <c r="L36" s="136"/>
      <c r="M36" s="136"/>
      <c r="N36" s="136"/>
      <c r="O36" s="161"/>
      <c r="P36" s="140"/>
      <c r="Q36" s="136"/>
      <c r="R36" s="57"/>
    </row>
    <row r="37" spans="2:20" ht="12.75" customHeight="1" x14ac:dyDescent="0.3">
      <c r="B37" s="137"/>
      <c r="H37" s="136" t="s">
        <v>101</v>
      </c>
      <c r="J37" s="136"/>
      <c r="K37" s="136"/>
      <c r="O37" s="160">
        <f>O33+O35</f>
        <v>4.7668676319893074E-4</v>
      </c>
      <c r="P37" s="140" t="s">
        <v>246</v>
      </c>
      <c r="Q37" s="136"/>
      <c r="R37" s="90"/>
    </row>
    <row r="38" spans="2:20" ht="10.5" customHeight="1" x14ac:dyDescent="0.3">
      <c r="B38" s="137"/>
      <c r="H38" s="136"/>
      <c r="K38" s="136"/>
      <c r="O38" s="161"/>
      <c r="P38" s="140"/>
      <c r="Q38" s="136"/>
      <c r="R38" s="57"/>
    </row>
    <row r="39" spans="2:20" ht="12.75" customHeight="1" x14ac:dyDescent="0.3">
      <c r="B39" s="137"/>
      <c r="H39" s="136" t="s">
        <v>100</v>
      </c>
      <c r="O39" s="160">
        <f>SQRT(O37)</f>
        <v>2.1833157426238897E-2</v>
      </c>
      <c r="P39" s="140" t="s">
        <v>244</v>
      </c>
      <c r="Q39" s="136"/>
      <c r="R39" s="57"/>
    </row>
    <row r="40" spans="2:20" ht="7" customHeight="1" x14ac:dyDescent="0.3">
      <c r="B40" s="137"/>
      <c r="H40" s="136"/>
      <c r="K40" s="136"/>
      <c r="O40" s="161"/>
      <c r="P40" s="140"/>
      <c r="Q40" s="136"/>
      <c r="R40" s="57"/>
    </row>
    <row r="41" spans="2:20" x14ac:dyDescent="0.3">
      <c r="B41" s="137"/>
      <c r="H41" s="136" t="s">
        <v>99</v>
      </c>
      <c r="O41" s="160">
        <f>O39*2</f>
        <v>4.3666314852477794E-2</v>
      </c>
      <c r="P41" s="140" t="s">
        <v>244</v>
      </c>
      <c r="Q41" s="136"/>
      <c r="R41" s="57"/>
    </row>
    <row r="42" spans="2:20" ht="7" customHeight="1" x14ac:dyDescent="0.3">
      <c r="B42" s="137"/>
      <c r="H42" s="136"/>
      <c r="K42" s="136"/>
      <c r="O42" s="161"/>
      <c r="P42" s="140"/>
      <c r="Q42" s="136"/>
      <c r="R42" s="57"/>
    </row>
    <row r="43" spans="2:20" ht="14.25" customHeight="1" x14ac:dyDescent="0.3">
      <c r="B43" s="137"/>
      <c r="H43" s="136" t="s">
        <v>116</v>
      </c>
      <c r="O43" s="160">
        <f>'Sensitivity coefficients'!B69/1000</f>
        <v>1.656822164152292</v>
      </c>
      <c r="P43" s="140" t="s">
        <v>244</v>
      </c>
      <c r="Q43" s="136"/>
      <c r="R43" s="57"/>
    </row>
    <row r="44" spans="2:20" ht="7" customHeight="1" x14ac:dyDescent="0.3">
      <c r="B44" s="137"/>
      <c r="H44" s="136"/>
      <c r="K44" s="136"/>
      <c r="O44" s="161"/>
      <c r="P44" s="140"/>
      <c r="Q44" s="136"/>
      <c r="R44" s="57"/>
    </row>
    <row r="45" spans="2:20" x14ac:dyDescent="0.3">
      <c r="B45" s="137"/>
      <c r="H45" s="136" t="s">
        <v>98</v>
      </c>
      <c r="O45" s="160">
        <f>O41/O43*100</f>
        <v>2.6355462763150284</v>
      </c>
      <c r="P45" s="140" t="s">
        <v>8</v>
      </c>
    </row>
    <row r="46" spans="2:20" ht="7" customHeight="1" x14ac:dyDescent="0.3">
      <c r="B46" s="141"/>
      <c r="C46" s="142"/>
      <c r="D46" s="142"/>
      <c r="E46" s="142"/>
      <c r="F46" s="142"/>
      <c r="G46" s="142"/>
      <c r="H46" s="143"/>
      <c r="I46" s="142"/>
      <c r="J46" s="142"/>
      <c r="K46" s="143"/>
      <c r="L46" s="142"/>
      <c r="M46" s="142"/>
      <c r="N46" s="142"/>
      <c r="O46" s="143"/>
      <c r="P46" s="144"/>
      <c r="Q46" s="136"/>
      <c r="R46" s="57"/>
    </row>
    <row r="47" spans="2:20" x14ac:dyDescent="0.3">
      <c r="G47" s="136"/>
      <c r="Q47" s="136"/>
      <c r="R47" s="57"/>
    </row>
    <row r="48" spans="2:20" ht="14.5" x14ac:dyDescent="0.35">
      <c r="B48" s="167" t="s">
        <v>297</v>
      </c>
      <c r="C48" s="130"/>
      <c r="D48" s="130"/>
      <c r="E48" s="154"/>
      <c r="F48" s="131"/>
      <c r="G48" s="131"/>
      <c r="H48" s="130"/>
      <c r="I48" s="130"/>
      <c r="J48" s="130"/>
      <c r="K48" s="130"/>
      <c r="L48" s="130"/>
      <c r="M48" s="130"/>
      <c r="N48" s="130"/>
      <c r="O48" s="130"/>
      <c r="P48" s="145"/>
      <c r="Q48" s="136"/>
      <c r="R48" s="57"/>
    </row>
    <row r="49" spans="2:21" x14ac:dyDescent="0.3">
      <c r="B49" s="155"/>
      <c r="E49" s="156"/>
      <c r="F49" s="136"/>
      <c r="G49" s="136"/>
      <c r="P49" s="146"/>
      <c r="Q49" s="136"/>
      <c r="R49" s="57"/>
    </row>
    <row r="50" spans="2:21" x14ac:dyDescent="0.3">
      <c r="B50" s="137"/>
      <c r="E50" s="157" t="s">
        <v>95</v>
      </c>
      <c r="F50" s="136"/>
      <c r="G50" s="82" t="s">
        <v>240</v>
      </c>
      <c r="H50" s="157" t="s">
        <v>112</v>
      </c>
      <c r="J50" s="157" t="s">
        <v>111</v>
      </c>
      <c r="K50" s="157" t="s">
        <v>110</v>
      </c>
      <c r="O50" s="157" t="s">
        <v>108</v>
      </c>
      <c r="P50" s="146"/>
      <c r="Q50" s="136"/>
      <c r="R50" s="57"/>
      <c r="T50" s="157" t="s">
        <v>109</v>
      </c>
    </row>
    <row r="51" spans="2:21" x14ac:dyDescent="0.3">
      <c r="B51" s="137"/>
      <c r="E51" s="168" t="s">
        <v>107</v>
      </c>
      <c r="G51" s="80" t="s">
        <v>241</v>
      </c>
      <c r="H51" s="168" t="s">
        <v>106</v>
      </c>
      <c r="J51" s="168" t="s">
        <v>105</v>
      </c>
      <c r="K51" s="168" t="s">
        <v>104</v>
      </c>
      <c r="M51" s="76"/>
      <c r="O51" s="168" t="s">
        <v>102</v>
      </c>
      <c r="P51" s="146"/>
      <c r="Q51" s="136"/>
      <c r="R51" s="57"/>
      <c r="S51" s="76"/>
      <c r="T51" s="168" t="s">
        <v>103</v>
      </c>
      <c r="U51" s="76"/>
    </row>
    <row r="52" spans="2:21" x14ac:dyDescent="0.3">
      <c r="B52" s="137"/>
      <c r="E52" s="158"/>
      <c r="F52" s="136"/>
      <c r="G52" s="136"/>
      <c r="H52" s="151"/>
      <c r="K52" s="158"/>
      <c r="L52" s="136"/>
      <c r="N52" s="136"/>
      <c r="O52" s="136"/>
      <c r="P52" s="140"/>
      <c r="Q52" s="136"/>
      <c r="R52" s="57"/>
      <c r="T52" s="136"/>
    </row>
    <row r="53" spans="2:21" x14ac:dyDescent="0.3">
      <c r="B53" s="137" t="s">
        <v>170</v>
      </c>
      <c r="E53" s="108"/>
      <c r="F53" s="136" t="s">
        <v>244</v>
      </c>
      <c r="G53" s="260"/>
      <c r="H53" s="108" t="s">
        <v>17</v>
      </c>
      <c r="J53" s="108" t="s">
        <v>16</v>
      </c>
      <c r="K53" s="283" t="e">
        <f>E53/G53</f>
        <v>#DIV/0!</v>
      </c>
      <c r="L53" s="136" t="s">
        <v>244</v>
      </c>
      <c r="O53" s="175" t="e">
        <f>(K53*T53)^2</f>
        <v>#DIV/0!</v>
      </c>
      <c r="P53" s="140" t="s">
        <v>246</v>
      </c>
      <c r="Q53" s="136"/>
      <c r="R53" s="57"/>
      <c r="T53" s="160">
        <v>1</v>
      </c>
    </row>
    <row r="54" spans="2:21" ht="14.5" x14ac:dyDescent="0.3">
      <c r="B54" s="137" t="s">
        <v>171</v>
      </c>
      <c r="E54" s="158"/>
      <c r="F54" s="149"/>
      <c r="G54" s="136"/>
      <c r="K54" s="158"/>
      <c r="L54" s="136"/>
      <c r="M54" s="136"/>
      <c r="N54" s="136"/>
      <c r="O54" s="161"/>
      <c r="P54" s="140"/>
      <c r="Q54" s="136"/>
      <c r="R54" s="57"/>
    </row>
    <row r="55" spans="2:21" x14ac:dyDescent="0.3">
      <c r="B55" s="189" t="s">
        <v>226</v>
      </c>
      <c r="E55" s="261"/>
      <c r="F55" s="136" t="s">
        <v>244</v>
      </c>
      <c r="G55" s="136"/>
      <c r="H55" s="108" t="s">
        <v>96</v>
      </c>
      <c r="J55" s="108" t="s">
        <v>15</v>
      </c>
      <c r="K55" s="283">
        <f>IF(H55=B144,E55,IF(H55=B145,E55/SQRT(3),IF(H55=B146,E55/3,E55/SQRT(3))))</f>
        <v>0</v>
      </c>
      <c r="L55" s="136" t="s">
        <v>244</v>
      </c>
      <c r="M55" s="136"/>
      <c r="N55" s="136"/>
      <c r="O55" s="175">
        <f>(K55*T55)^2</f>
        <v>0</v>
      </c>
      <c r="P55" s="140" t="s">
        <v>246</v>
      </c>
      <c r="Q55" s="136"/>
      <c r="R55" s="57"/>
      <c r="T55" s="160">
        <v>1</v>
      </c>
    </row>
    <row r="56" spans="2:21" ht="14.5" x14ac:dyDescent="0.3">
      <c r="B56" s="137"/>
      <c r="E56" s="158"/>
      <c r="F56" s="149"/>
      <c r="G56" s="136"/>
      <c r="K56" s="158"/>
      <c r="L56" s="136"/>
      <c r="M56" s="136"/>
      <c r="N56" s="136"/>
      <c r="O56" s="161"/>
      <c r="P56" s="140"/>
      <c r="Q56" s="136"/>
      <c r="R56" s="57"/>
    </row>
    <row r="57" spans="2:21" x14ac:dyDescent="0.3">
      <c r="B57" s="137"/>
      <c r="H57" s="136" t="s">
        <v>101</v>
      </c>
      <c r="J57" s="136"/>
      <c r="K57" s="136"/>
      <c r="O57" s="175" t="e">
        <f>O53+O55</f>
        <v>#DIV/0!</v>
      </c>
      <c r="P57" s="140" t="s">
        <v>246</v>
      </c>
      <c r="Q57" s="136"/>
      <c r="R57" s="57"/>
    </row>
    <row r="58" spans="2:21" x14ac:dyDescent="0.3">
      <c r="B58" s="137"/>
      <c r="H58" s="136"/>
      <c r="K58" s="136"/>
      <c r="O58" s="161"/>
      <c r="P58" s="140"/>
      <c r="Q58" s="136"/>
      <c r="R58" s="57"/>
    </row>
    <row r="59" spans="2:21" x14ac:dyDescent="0.3">
      <c r="B59" s="137"/>
      <c r="H59" s="136" t="s">
        <v>100</v>
      </c>
      <c r="O59" s="160" t="e">
        <f>SQRT(O57)</f>
        <v>#DIV/0!</v>
      </c>
      <c r="P59" s="140" t="s">
        <v>244</v>
      </c>
      <c r="Q59" s="136"/>
      <c r="R59" s="57"/>
    </row>
    <row r="60" spans="2:21" x14ac:dyDescent="0.3">
      <c r="B60" s="137"/>
      <c r="H60" s="136"/>
      <c r="K60" s="136"/>
      <c r="O60" s="161"/>
      <c r="P60" s="140"/>
      <c r="Q60" s="136"/>
      <c r="R60" s="57"/>
    </row>
    <row r="61" spans="2:21" x14ac:dyDescent="0.3">
      <c r="B61" s="137"/>
      <c r="H61" s="136" t="s">
        <v>99</v>
      </c>
      <c r="O61" s="160" t="e">
        <f>O59*2</f>
        <v>#DIV/0!</v>
      </c>
      <c r="P61" s="140" t="s">
        <v>244</v>
      </c>
      <c r="Q61" s="136"/>
      <c r="R61" s="57"/>
    </row>
    <row r="62" spans="2:21" x14ac:dyDescent="0.3">
      <c r="B62" s="137"/>
      <c r="H62" s="136"/>
      <c r="K62" s="136"/>
      <c r="O62" s="161"/>
      <c r="P62" s="140"/>
      <c r="Q62" s="136"/>
      <c r="R62" s="57"/>
    </row>
    <row r="63" spans="2:21" x14ac:dyDescent="0.3">
      <c r="B63" s="137"/>
      <c r="H63" s="136" t="s">
        <v>116</v>
      </c>
      <c r="O63" s="160">
        <f>'Sensitivity coefficients'!B49/1000</f>
        <v>1E-3</v>
      </c>
      <c r="P63" s="140" t="s">
        <v>244</v>
      </c>
      <c r="Q63" s="136"/>
      <c r="R63" s="57"/>
    </row>
    <row r="64" spans="2:21" x14ac:dyDescent="0.3">
      <c r="B64" s="137"/>
      <c r="H64" s="136"/>
      <c r="K64" s="136"/>
      <c r="O64" s="161"/>
      <c r="P64" s="140"/>
      <c r="Q64" s="136"/>
      <c r="R64" s="57"/>
    </row>
    <row r="65" spans="1:20" x14ac:dyDescent="0.3">
      <c r="B65" s="137"/>
      <c r="H65" s="136" t="s">
        <v>98</v>
      </c>
      <c r="O65" s="160" t="e">
        <f>O61/O63*100</f>
        <v>#DIV/0!</v>
      </c>
      <c r="P65" s="140" t="s">
        <v>8</v>
      </c>
      <c r="Q65" s="136"/>
      <c r="R65" s="57"/>
    </row>
    <row r="66" spans="1:20" x14ac:dyDescent="0.3">
      <c r="B66" s="141"/>
      <c r="C66" s="142"/>
      <c r="D66" s="142"/>
      <c r="E66" s="142"/>
      <c r="F66" s="142"/>
      <c r="G66" s="142"/>
      <c r="H66" s="143"/>
      <c r="I66" s="142"/>
      <c r="J66" s="142"/>
      <c r="K66" s="143"/>
      <c r="L66" s="142"/>
      <c r="M66" s="142"/>
      <c r="N66" s="142"/>
      <c r="O66" s="143"/>
      <c r="P66" s="144"/>
      <c r="Q66" s="136"/>
      <c r="R66" s="57"/>
    </row>
    <row r="67" spans="1:20" x14ac:dyDescent="0.3">
      <c r="G67" s="136"/>
      <c r="Q67" s="136"/>
      <c r="R67" s="57"/>
    </row>
    <row r="68" spans="1:20" ht="14.5" x14ac:dyDescent="0.35">
      <c r="B68" s="167" t="s">
        <v>169</v>
      </c>
      <c r="C68" s="130"/>
      <c r="D68" s="130"/>
      <c r="E68" s="154"/>
      <c r="F68" s="131"/>
      <c r="G68" s="131"/>
      <c r="H68" s="130"/>
      <c r="I68" s="130"/>
      <c r="J68" s="130"/>
      <c r="K68" s="130"/>
      <c r="L68" s="130"/>
      <c r="M68" s="130"/>
      <c r="N68" s="130"/>
      <c r="O68" s="130"/>
      <c r="P68" s="145"/>
      <c r="Q68" s="136"/>
    </row>
    <row r="69" spans="1:20" x14ac:dyDescent="0.3">
      <c r="B69" s="155"/>
      <c r="E69" s="156"/>
      <c r="F69" s="136"/>
      <c r="G69" s="136"/>
      <c r="P69" s="146"/>
      <c r="Q69" s="136"/>
    </row>
    <row r="70" spans="1:20" x14ac:dyDescent="0.3">
      <c r="B70" s="137"/>
      <c r="E70" s="157" t="s">
        <v>95</v>
      </c>
      <c r="F70" s="136"/>
      <c r="G70" s="82" t="s">
        <v>240</v>
      </c>
      <c r="H70" s="157" t="s">
        <v>112</v>
      </c>
      <c r="J70" s="157" t="s">
        <v>111</v>
      </c>
      <c r="K70" s="157" t="s">
        <v>110</v>
      </c>
      <c r="O70" s="157" t="s">
        <v>108</v>
      </c>
      <c r="P70" s="146"/>
      <c r="Q70" s="136"/>
      <c r="R70" s="57"/>
      <c r="T70" s="157" t="s">
        <v>109</v>
      </c>
    </row>
    <row r="71" spans="1:20" s="76" customFormat="1" ht="12.75" customHeight="1" x14ac:dyDescent="0.3">
      <c r="A71" s="152"/>
      <c r="B71" s="137"/>
      <c r="C71" s="128"/>
      <c r="D71" s="128"/>
      <c r="E71" s="168" t="s">
        <v>107</v>
      </c>
      <c r="F71" s="128"/>
      <c r="G71" s="80" t="s">
        <v>241</v>
      </c>
      <c r="H71" s="168" t="s">
        <v>106</v>
      </c>
      <c r="I71" s="128"/>
      <c r="J71" s="168" t="s">
        <v>105</v>
      </c>
      <c r="K71" s="168" t="s">
        <v>104</v>
      </c>
      <c r="L71" s="128"/>
      <c r="N71" s="128"/>
      <c r="O71" s="168" t="s">
        <v>102</v>
      </c>
      <c r="P71" s="146"/>
      <c r="Q71" s="148"/>
      <c r="R71" s="77"/>
      <c r="T71" s="168" t="s">
        <v>103</v>
      </c>
    </row>
    <row r="72" spans="1:20" ht="5.15" customHeight="1" x14ac:dyDescent="0.3">
      <c r="B72" s="137"/>
      <c r="E72" s="158"/>
      <c r="F72" s="136"/>
      <c r="G72" s="136"/>
      <c r="H72" s="151"/>
      <c r="K72" s="158"/>
      <c r="L72" s="136"/>
      <c r="N72" s="136"/>
      <c r="O72" s="136"/>
      <c r="P72" s="140"/>
      <c r="Q72" s="136"/>
      <c r="R72" s="57"/>
      <c r="T72" s="136"/>
    </row>
    <row r="73" spans="1:20" ht="12.75" customHeight="1" x14ac:dyDescent="0.3">
      <c r="B73" s="137" t="s">
        <v>170</v>
      </c>
      <c r="E73" s="108"/>
      <c r="F73" s="136" t="s">
        <v>244</v>
      </c>
      <c r="G73" s="260"/>
      <c r="H73" s="108" t="s">
        <v>17</v>
      </c>
      <c r="J73" s="108" t="s">
        <v>16</v>
      </c>
      <c r="K73" s="283" t="e">
        <f>E73/G73</f>
        <v>#DIV/0!</v>
      </c>
      <c r="L73" s="136" t="s">
        <v>244</v>
      </c>
      <c r="O73" s="175" t="e">
        <f>(K73*T73)^2</f>
        <v>#DIV/0!</v>
      </c>
      <c r="P73" s="140" t="s">
        <v>246</v>
      </c>
      <c r="Q73" s="136"/>
      <c r="R73" s="57"/>
      <c r="T73" s="160">
        <v>1</v>
      </c>
    </row>
    <row r="74" spans="1:20" ht="14.5" x14ac:dyDescent="0.3">
      <c r="B74" s="137" t="s">
        <v>171</v>
      </c>
      <c r="E74" s="158"/>
      <c r="F74" s="149"/>
      <c r="G74" s="136"/>
      <c r="K74" s="158"/>
      <c r="L74" s="136"/>
      <c r="M74" s="136"/>
      <c r="N74" s="136"/>
      <c r="O74" s="161"/>
      <c r="P74" s="140"/>
      <c r="Q74" s="136"/>
      <c r="R74" s="57"/>
    </row>
    <row r="75" spans="1:20" x14ac:dyDescent="0.3">
      <c r="B75" s="189" t="s">
        <v>226</v>
      </c>
      <c r="E75" s="375"/>
      <c r="F75" s="136" t="s">
        <v>244</v>
      </c>
      <c r="G75" s="136"/>
      <c r="H75" s="108" t="s">
        <v>96</v>
      </c>
      <c r="J75" s="108" t="s">
        <v>15</v>
      </c>
      <c r="K75" s="283">
        <f>IF(H75=B164,E75,IF(H75=B165,E75/SQRT(3),IF(H75=B166,E75/3,E75/SQRT(3))))</f>
        <v>0</v>
      </c>
      <c r="L75" s="136" t="s">
        <v>244</v>
      </c>
      <c r="M75" s="136"/>
      <c r="N75" s="136"/>
      <c r="O75" s="175">
        <f>(K75*T75)^2</f>
        <v>0</v>
      </c>
      <c r="P75" s="140" t="s">
        <v>246</v>
      </c>
      <c r="Q75" s="136"/>
      <c r="R75" s="57"/>
      <c r="T75" s="160">
        <v>1</v>
      </c>
    </row>
    <row r="76" spans="1:20" ht="14.5" x14ac:dyDescent="0.3">
      <c r="B76" s="137"/>
      <c r="E76" s="158"/>
      <c r="F76" s="149"/>
      <c r="G76" s="136"/>
      <c r="K76" s="158"/>
      <c r="L76" s="136"/>
      <c r="M76" s="136"/>
      <c r="N76" s="136"/>
      <c r="O76" s="161"/>
      <c r="P76" s="140"/>
      <c r="Q76" s="136"/>
      <c r="R76" s="57"/>
    </row>
    <row r="77" spans="1:20" ht="12.75" customHeight="1" x14ac:dyDescent="0.3">
      <c r="B77" s="137"/>
      <c r="H77" s="136" t="s">
        <v>101</v>
      </c>
      <c r="J77" s="136"/>
      <c r="K77" s="136"/>
      <c r="O77" s="175" t="e">
        <f>O73+O75</f>
        <v>#DIV/0!</v>
      </c>
      <c r="P77" s="140" t="s">
        <v>246</v>
      </c>
      <c r="Q77" s="136"/>
      <c r="R77" s="90"/>
    </row>
    <row r="78" spans="1:20" ht="7" customHeight="1" x14ac:dyDescent="0.3">
      <c r="B78" s="137"/>
      <c r="H78" s="136"/>
      <c r="K78" s="136"/>
      <c r="O78" s="161"/>
      <c r="P78" s="140"/>
      <c r="Q78" s="136"/>
      <c r="R78" s="57"/>
    </row>
    <row r="79" spans="1:20" ht="12.75" customHeight="1" x14ac:dyDescent="0.3">
      <c r="B79" s="137"/>
      <c r="H79" s="136" t="s">
        <v>100</v>
      </c>
      <c r="O79" s="160" t="e">
        <f>SQRT(O77)</f>
        <v>#DIV/0!</v>
      </c>
      <c r="P79" s="140" t="s">
        <v>244</v>
      </c>
      <c r="Q79" s="136"/>
      <c r="R79" s="57"/>
    </row>
    <row r="80" spans="1:20" ht="7" customHeight="1" x14ac:dyDescent="0.3">
      <c r="B80" s="137"/>
      <c r="H80" s="136"/>
      <c r="K80" s="136"/>
      <c r="O80" s="161"/>
      <c r="P80" s="140"/>
      <c r="Q80" s="136"/>
      <c r="R80" s="57"/>
    </row>
    <row r="81" spans="1:20" x14ac:dyDescent="0.3">
      <c r="B81" s="137"/>
      <c r="H81" s="136" t="s">
        <v>99</v>
      </c>
      <c r="O81" s="160" t="e">
        <f>O79*2</f>
        <v>#DIV/0!</v>
      </c>
      <c r="P81" s="140" t="s">
        <v>244</v>
      </c>
      <c r="Q81" s="136"/>
      <c r="R81" s="57"/>
    </row>
    <row r="82" spans="1:20" ht="7" customHeight="1" x14ac:dyDescent="0.3">
      <c r="B82" s="137"/>
      <c r="H82" s="136"/>
      <c r="K82" s="136"/>
      <c r="O82" s="161"/>
      <c r="P82" s="140"/>
      <c r="Q82" s="136"/>
      <c r="R82" s="57"/>
    </row>
    <row r="83" spans="1:20" x14ac:dyDescent="0.3">
      <c r="B83" s="137"/>
      <c r="H83" s="136" t="s">
        <v>116</v>
      </c>
      <c r="O83" s="160">
        <f>'Sensitivity coefficients'!B69/1000</f>
        <v>1.656822164152292</v>
      </c>
      <c r="P83" s="140" t="s">
        <v>244</v>
      </c>
      <c r="Q83" s="136"/>
      <c r="R83" s="57"/>
    </row>
    <row r="84" spans="1:20" ht="7" customHeight="1" x14ac:dyDescent="0.3">
      <c r="B84" s="137"/>
      <c r="H84" s="136"/>
      <c r="K84" s="136"/>
      <c r="O84" s="161"/>
      <c r="P84" s="140"/>
      <c r="Q84" s="136"/>
      <c r="R84" s="57"/>
    </row>
    <row r="85" spans="1:20" x14ac:dyDescent="0.3">
      <c r="B85" s="137"/>
      <c r="H85" s="136" t="s">
        <v>98</v>
      </c>
      <c r="O85" s="160" t="e">
        <f>O81/O83*100</f>
        <v>#DIV/0!</v>
      </c>
      <c r="P85" s="140" t="s">
        <v>8</v>
      </c>
    </row>
    <row r="86" spans="1:20" ht="7" customHeight="1" x14ac:dyDescent="0.3">
      <c r="B86" s="141"/>
      <c r="C86" s="142"/>
      <c r="D86" s="142"/>
      <c r="E86" s="142"/>
      <c r="F86" s="142"/>
      <c r="G86" s="142"/>
      <c r="H86" s="143"/>
      <c r="I86" s="142"/>
      <c r="J86" s="142"/>
      <c r="K86" s="143"/>
      <c r="L86" s="142"/>
      <c r="M86" s="142"/>
      <c r="N86" s="142"/>
      <c r="O86" s="143"/>
      <c r="P86" s="144"/>
      <c r="Q86" s="136"/>
      <c r="R86" s="57"/>
    </row>
    <row r="87" spans="1:20" ht="5.15" customHeight="1" x14ac:dyDescent="0.3">
      <c r="G87" s="136"/>
      <c r="Q87" s="136"/>
      <c r="R87" s="57"/>
    </row>
    <row r="88" spans="1:20" ht="14.5" x14ac:dyDescent="0.35">
      <c r="B88" s="167" t="s">
        <v>115</v>
      </c>
      <c r="C88" s="130"/>
      <c r="D88" s="130"/>
      <c r="E88" s="154"/>
      <c r="F88" s="131"/>
      <c r="G88" s="131"/>
      <c r="H88" s="130"/>
      <c r="I88" s="130"/>
      <c r="J88" s="130"/>
      <c r="K88" s="130"/>
      <c r="L88" s="130"/>
      <c r="M88" s="130"/>
      <c r="N88" s="130"/>
      <c r="O88" s="130"/>
      <c r="P88" s="145"/>
      <c r="Q88" s="136"/>
    </row>
    <row r="89" spans="1:20" x14ac:dyDescent="0.3">
      <c r="B89" s="155"/>
      <c r="E89" s="156"/>
      <c r="F89" s="136"/>
      <c r="G89" s="136"/>
      <c r="P89" s="146"/>
      <c r="Q89" s="136"/>
    </row>
    <row r="90" spans="1:20" x14ac:dyDescent="0.3">
      <c r="B90" s="137"/>
      <c r="E90" s="157" t="s">
        <v>95</v>
      </c>
      <c r="F90" s="136"/>
      <c r="G90" s="82" t="s">
        <v>240</v>
      </c>
      <c r="H90" s="157" t="s">
        <v>112</v>
      </c>
      <c r="J90" s="157" t="s">
        <v>111</v>
      </c>
      <c r="K90" s="157" t="s">
        <v>110</v>
      </c>
      <c r="O90" s="157" t="s">
        <v>108</v>
      </c>
      <c r="P90" s="146"/>
      <c r="Q90" s="136"/>
      <c r="R90" s="57"/>
      <c r="T90" s="157" t="s">
        <v>109</v>
      </c>
    </row>
    <row r="91" spans="1:20" s="76" customFormat="1" ht="12.75" customHeight="1" x14ac:dyDescent="0.3">
      <c r="A91" s="152"/>
      <c r="B91" s="137"/>
      <c r="C91" s="128"/>
      <c r="D91" s="128"/>
      <c r="E91" s="168" t="s">
        <v>107</v>
      </c>
      <c r="F91" s="128"/>
      <c r="G91" s="80" t="s">
        <v>241</v>
      </c>
      <c r="H91" s="168" t="s">
        <v>106</v>
      </c>
      <c r="I91" s="128"/>
      <c r="J91" s="168" t="s">
        <v>105</v>
      </c>
      <c r="K91" s="168" t="s">
        <v>104</v>
      </c>
      <c r="L91" s="128"/>
      <c r="N91" s="128"/>
      <c r="O91" s="168" t="s">
        <v>102</v>
      </c>
      <c r="P91" s="146"/>
      <c r="Q91" s="148"/>
      <c r="R91" s="77"/>
      <c r="T91" s="168" t="s">
        <v>103</v>
      </c>
    </row>
    <row r="92" spans="1:20" ht="5.15" customHeight="1" x14ac:dyDescent="0.3">
      <c r="B92" s="137"/>
      <c r="E92" s="158"/>
      <c r="F92" s="136"/>
      <c r="G92" s="136"/>
      <c r="H92" s="151"/>
      <c r="K92" s="158"/>
      <c r="L92" s="136"/>
      <c r="N92" s="136"/>
      <c r="O92" s="136"/>
      <c r="P92" s="140"/>
      <c r="Q92" s="136"/>
      <c r="R92" s="57"/>
      <c r="T92" s="136"/>
    </row>
    <row r="93" spans="1:20" ht="12.75" customHeight="1" x14ac:dyDescent="0.3">
      <c r="B93" s="137" t="s">
        <v>154</v>
      </c>
      <c r="E93" s="261">
        <f>0.033%*22000</f>
        <v>7.26</v>
      </c>
      <c r="F93" s="136" t="s">
        <v>244</v>
      </c>
      <c r="G93" s="260">
        <v>2</v>
      </c>
      <c r="H93" s="108" t="s">
        <v>17</v>
      </c>
      <c r="J93" s="108" t="s">
        <v>15</v>
      </c>
      <c r="K93" s="162">
        <f>E93/G93</f>
        <v>3.63</v>
      </c>
      <c r="L93" s="136" t="s">
        <v>244</v>
      </c>
      <c r="O93" s="160">
        <f>(K93*T93)^2</f>
        <v>13.1769</v>
      </c>
      <c r="P93" s="140" t="s">
        <v>246</v>
      </c>
      <c r="Q93" s="136"/>
      <c r="R93" s="57"/>
      <c r="T93" s="160">
        <v>1</v>
      </c>
    </row>
    <row r="94" spans="1:20" ht="14.5" x14ac:dyDescent="0.3">
      <c r="B94" s="137" t="s">
        <v>155</v>
      </c>
      <c r="E94" s="499"/>
      <c r="F94" s="149"/>
      <c r="G94" s="136"/>
      <c r="K94" s="158"/>
      <c r="L94" s="136"/>
      <c r="M94" s="136"/>
      <c r="N94" s="136"/>
      <c r="O94" s="161"/>
      <c r="P94" s="140"/>
      <c r="Q94" s="136"/>
      <c r="R94" s="57"/>
    </row>
    <row r="95" spans="1:20" x14ac:dyDescent="0.3">
      <c r="B95" s="189" t="s">
        <v>226</v>
      </c>
      <c r="E95" s="261">
        <f>0.047%*22000</f>
        <v>10.34</v>
      </c>
      <c r="F95" s="136" t="s">
        <v>244</v>
      </c>
      <c r="G95" s="136"/>
      <c r="H95" s="108" t="s">
        <v>96</v>
      </c>
      <c r="J95" s="108" t="s">
        <v>15</v>
      </c>
      <c r="K95" s="162">
        <f>IF(H95=B184,E95,IF(H95=B185,E95/SQRT(3),IF(H95=B186,E95/3,E95/SQRT(3))))</f>
        <v>5.9698017834207304</v>
      </c>
      <c r="L95" s="136" t="s">
        <v>244</v>
      </c>
      <c r="M95" s="136"/>
      <c r="N95" s="136"/>
      <c r="O95" s="160">
        <f>(K95*T95)^2</f>
        <v>35.638533333333335</v>
      </c>
      <c r="P95" s="140" t="s">
        <v>246</v>
      </c>
      <c r="Q95" s="136"/>
      <c r="R95" s="57"/>
      <c r="T95" s="160">
        <v>1</v>
      </c>
    </row>
    <row r="96" spans="1:20" ht="14.5" x14ac:dyDescent="0.3">
      <c r="B96" s="137"/>
      <c r="E96" s="158"/>
      <c r="F96" s="149"/>
      <c r="G96" s="136"/>
      <c r="K96" s="158"/>
      <c r="L96" s="136"/>
      <c r="M96" s="136"/>
      <c r="N96" s="136"/>
      <c r="O96" s="161"/>
      <c r="P96" s="140"/>
      <c r="Q96" s="136"/>
      <c r="R96" s="57"/>
    </row>
    <row r="97" spans="1:26" ht="12.75" customHeight="1" x14ac:dyDescent="0.3">
      <c r="B97" s="137"/>
      <c r="H97" s="136" t="s">
        <v>101</v>
      </c>
      <c r="J97" s="136"/>
      <c r="K97" s="136"/>
      <c r="O97" s="160">
        <f>O93+O95</f>
        <v>48.815433333333331</v>
      </c>
      <c r="P97" s="140" t="s">
        <v>246</v>
      </c>
      <c r="Q97" s="136"/>
      <c r="R97" s="90"/>
    </row>
    <row r="98" spans="1:26" ht="7" customHeight="1" x14ac:dyDescent="0.3">
      <c r="B98" s="137"/>
      <c r="H98" s="136"/>
      <c r="K98" s="136"/>
      <c r="O98" s="161"/>
      <c r="P98" s="140"/>
      <c r="Q98" s="136"/>
      <c r="R98" s="57"/>
    </row>
    <row r="99" spans="1:26" ht="12.75" customHeight="1" x14ac:dyDescent="0.3">
      <c r="B99" s="137"/>
      <c r="H99" s="136" t="s">
        <v>100</v>
      </c>
      <c r="O99" s="160">
        <f>SQRT(O97)</f>
        <v>6.9868042289256493</v>
      </c>
      <c r="P99" s="140" t="s">
        <v>244</v>
      </c>
      <c r="Q99" s="136"/>
      <c r="R99" s="57"/>
    </row>
    <row r="100" spans="1:26" ht="7" customHeight="1" x14ac:dyDescent="0.3">
      <c r="B100" s="137"/>
      <c r="H100" s="136"/>
      <c r="K100" s="136"/>
      <c r="O100" s="161"/>
      <c r="P100" s="140"/>
      <c r="Q100" s="136"/>
      <c r="R100" s="57"/>
    </row>
    <row r="101" spans="1:26" x14ac:dyDescent="0.3">
      <c r="B101" s="137"/>
      <c r="H101" s="136" t="s">
        <v>99</v>
      </c>
      <c r="O101" s="160">
        <f>O99*2</f>
        <v>13.973608457851299</v>
      </c>
      <c r="P101" s="140" t="s">
        <v>244</v>
      </c>
      <c r="Q101" s="136"/>
      <c r="R101" s="57"/>
    </row>
    <row r="102" spans="1:26" ht="7" customHeight="1" x14ac:dyDescent="0.3">
      <c r="B102" s="137"/>
      <c r="H102" s="136"/>
      <c r="K102" s="136"/>
      <c r="O102" s="161"/>
      <c r="P102" s="140"/>
      <c r="Q102" s="136"/>
      <c r="R102" s="57"/>
    </row>
    <row r="103" spans="1:26" x14ac:dyDescent="0.3">
      <c r="B103" s="137"/>
      <c r="H103" s="136" t="s">
        <v>114</v>
      </c>
      <c r="O103" s="162">
        <f>F10</f>
        <v>17092</v>
      </c>
      <c r="P103" s="140" t="s">
        <v>244</v>
      </c>
      <c r="Q103" s="136"/>
      <c r="R103" s="57"/>
    </row>
    <row r="104" spans="1:26" ht="7" customHeight="1" x14ac:dyDescent="0.3">
      <c r="B104" s="137"/>
      <c r="H104" s="136"/>
      <c r="K104" s="136"/>
      <c r="O104" s="161"/>
      <c r="P104" s="140"/>
      <c r="Q104" s="136"/>
      <c r="R104" s="57"/>
    </row>
    <row r="105" spans="1:26" x14ac:dyDescent="0.3">
      <c r="B105" s="137"/>
      <c r="H105" s="136" t="s">
        <v>98</v>
      </c>
      <c r="O105" s="160">
        <f>O101/O103*100</f>
        <v>8.1755256598708748E-2</v>
      </c>
      <c r="P105" s="140" t="s">
        <v>8</v>
      </c>
    </row>
    <row r="106" spans="1:26" ht="7" customHeight="1" x14ac:dyDescent="0.3">
      <c r="B106" s="141"/>
      <c r="C106" s="142"/>
      <c r="D106" s="142"/>
      <c r="E106" s="142"/>
      <c r="F106" s="142"/>
      <c r="G106" s="142"/>
      <c r="H106" s="143"/>
      <c r="I106" s="142"/>
      <c r="J106" s="142"/>
      <c r="K106" s="143"/>
      <c r="L106" s="142"/>
      <c r="M106" s="142"/>
      <c r="N106" s="142"/>
      <c r="O106" s="143"/>
      <c r="P106" s="144"/>
      <c r="Q106" s="136"/>
      <c r="R106" s="57"/>
    </row>
    <row r="107" spans="1:26" ht="5.15" customHeight="1" x14ac:dyDescent="0.3"/>
    <row r="108" spans="1:26" ht="14.5" x14ac:dyDescent="0.35">
      <c r="A108" s="136"/>
      <c r="B108" s="167" t="s">
        <v>282</v>
      </c>
      <c r="C108" s="130"/>
      <c r="D108" s="130"/>
      <c r="E108" s="154"/>
      <c r="F108" s="131"/>
      <c r="G108" s="131"/>
      <c r="H108" s="130"/>
      <c r="I108" s="130"/>
      <c r="J108" s="130"/>
      <c r="K108" s="130"/>
      <c r="L108" s="130"/>
      <c r="M108" s="130"/>
      <c r="N108" s="130"/>
      <c r="O108" s="130"/>
      <c r="P108" s="145"/>
    </row>
    <row r="109" spans="1:26" x14ac:dyDescent="0.3">
      <c r="A109" s="136"/>
      <c r="B109" s="155"/>
      <c r="E109" s="156"/>
      <c r="F109" s="136"/>
      <c r="G109" s="136"/>
      <c r="P109" s="146"/>
    </row>
    <row r="110" spans="1:26" x14ac:dyDescent="0.3">
      <c r="A110" s="136"/>
      <c r="B110" s="137"/>
      <c r="E110" s="157" t="s">
        <v>95</v>
      </c>
      <c r="F110" s="136"/>
      <c r="G110" s="82" t="s">
        <v>240</v>
      </c>
      <c r="H110" s="157" t="s">
        <v>112</v>
      </c>
      <c r="J110" s="157" t="s">
        <v>111</v>
      </c>
      <c r="K110" s="157" t="s">
        <v>110</v>
      </c>
      <c r="O110" s="157" t="s">
        <v>108</v>
      </c>
      <c r="P110" s="146"/>
      <c r="T110" s="157" t="s">
        <v>109</v>
      </c>
    </row>
    <row r="111" spans="1:26" s="76" customFormat="1" x14ac:dyDescent="0.3">
      <c r="A111" s="148"/>
      <c r="B111" s="137"/>
      <c r="C111" s="128"/>
      <c r="D111" s="128"/>
      <c r="E111" s="168" t="s">
        <v>107</v>
      </c>
      <c r="F111" s="128"/>
      <c r="G111" s="80" t="s">
        <v>241</v>
      </c>
      <c r="H111" s="168" t="s">
        <v>106</v>
      </c>
      <c r="I111" s="128"/>
      <c r="J111" s="168" t="s">
        <v>105</v>
      </c>
      <c r="K111" s="168" t="s">
        <v>104</v>
      </c>
      <c r="L111" s="128"/>
      <c r="N111" s="128"/>
      <c r="O111" s="168" t="s">
        <v>102</v>
      </c>
      <c r="P111" s="146"/>
      <c r="Q111" s="152"/>
      <c r="T111" s="168" t="s">
        <v>103</v>
      </c>
      <c r="X111" s="76" t="s">
        <v>280</v>
      </c>
      <c r="Y111" s="76" t="s">
        <v>283</v>
      </c>
      <c r="Z111" s="76" t="s">
        <v>375</v>
      </c>
    </row>
    <row r="112" spans="1:26" ht="13.5" customHeight="1" x14ac:dyDescent="0.3">
      <c r="A112" s="136"/>
      <c r="B112" s="137"/>
      <c r="E112" s="158"/>
      <c r="F112" s="136"/>
      <c r="G112" s="136"/>
      <c r="H112" s="151"/>
      <c r="K112" s="158"/>
      <c r="L112" s="136"/>
      <c r="N112" s="136"/>
      <c r="O112" s="136"/>
      <c r="P112" s="140"/>
      <c r="T112" s="136"/>
      <c r="X112" s="323">
        <v>0.1</v>
      </c>
      <c r="Y112" s="324">
        <v>2</v>
      </c>
      <c r="Z112" s="324">
        <v>0.14699999999999999</v>
      </c>
    </row>
    <row r="113" spans="1:26" x14ac:dyDescent="0.3">
      <c r="A113" s="136"/>
      <c r="B113" s="137" t="s">
        <v>156</v>
      </c>
      <c r="E113" s="261">
        <v>0.1</v>
      </c>
      <c r="F113" s="136" t="s">
        <v>19</v>
      </c>
      <c r="G113" s="260">
        <v>2</v>
      </c>
      <c r="H113" s="108" t="s">
        <v>17</v>
      </c>
      <c r="J113" s="108" t="s">
        <v>15</v>
      </c>
      <c r="K113" s="162">
        <f>E113/G113</f>
        <v>0.05</v>
      </c>
      <c r="L113" s="128" t="s">
        <v>19</v>
      </c>
      <c r="O113" s="160">
        <f>(K113*T113)^2</f>
        <v>2.5000000000000005E-3</v>
      </c>
      <c r="P113" s="140" t="s">
        <v>21</v>
      </c>
      <c r="T113" s="160">
        <v>1</v>
      </c>
    </row>
    <row r="114" spans="1:26" ht="14.5" x14ac:dyDescent="0.3">
      <c r="A114" s="136"/>
      <c r="B114" s="137" t="s">
        <v>157</v>
      </c>
      <c r="E114" s="158"/>
      <c r="F114" s="149"/>
      <c r="G114" s="136"/>
      <c r="K114" s="158"/>
      <c r="L114" s="136"/>
      <c r="M114" s="136"/>
      <c r="N114" s="136"/>
      <c r="O114" s="161"/>
      <c r="P114" s="140"/>
    </row>
    <row r="115" spans="1:26" x14ac:dyDescent="0.3">
      <c r="A115" s="136"/>
      <c r="B115" s="189" t="s">
        <v>226</v>
      </c>
      <c r="E115" s="261">
        <v>1.2E-2</v>
      </c>
      <c r="F115" s="136" t="s">
        <v>19</v>
      </c>
      <c r="G115" s="136"/>
      <c r="H115" s="108" t="s">
        <v>96</v>
      </c>
      <c r="J115" s="108" t="s">
        <v>15</v>
      </c>
      <c r="K115" s="162">
        <f>IF(H115=B204,E115,IF(H115=B205,E115/SQRT(3),IF(H115=B206,E115/3,E115/SQRT(3))))</f>
        <v>6.9282032302755096E-3</v>
      </c>
      <c r="L115" s="128" t="s">
        <v>19</v>
      </c>
      <c r="O115" s="160">
        <f>(K115*T115)^2</f>
        <v>4.8000000000000008E-5</v>
      </c>
      <c r="P115" s="140" t="s">
        <v>21</v>
      </c>
      <c r="T115" s="160">
        <v>1</v>
      </c>
      <c r="X115" s="76" t="s">
        <v>281</v>
      </c>
      <c r="Y115" s="288" t="s">
        <v>284</v>
      </c>
      <c r="Z115" s="288" t="s">
        <v>375</v>
      </c>
    </row>
    <row r="116" spans="1:26" ht="14.5" x14ac:dyDescent="0.3">
      <c r="A116" s="136"/>
      <c r="B116" s="137"/>
      <c r="E116" s="158"/>
      <c r="F116" s="149"/>
      <c r="G116" s="136"/>
      <c r="K116" s="158"/>
      <c r="L116" s="136"/>
      <c r="M116" s="136"/>
      <c r="N116" s="136"/>
      <c r="O116" s="161"/>
      <c r="P116" s="140"/>
      <c r="X116" s="323">
        <v>0.06</v>
      </c>
      <c r="Y116" s="324">
        <v>2</v>
      </c>
      <c r="Z116" s="324">
        <v>0.02</v>
      </c>
    </row>
    <row r="117" spans="1:26" x14ac:dyDescent="0.3">
      <c r="A117" s="136"/>
      <c r="B117" s="137"/>
      <c r="H117" s="136" t="s">
        <v>101</v>
      </c>
      <c r="J117" s="136"/>
      <c r="K117" s="136"/>
      <c r="O117" s="160">
        <f>O113+O115</f>
        <v>2.5480000000000004E-3</v>
      </c>
      <c r="P117" s="140" t="s">
        <v>21</v>
      </c>
    </row>
    <row r="118" spans="1:26" ht="7" customHeight="1" x14ac:dyDescent="0.3">
      <c r="B118" s="137"/>
      <c r="K118" s="136"/>
      <c r="O118" s="161"/>
      <c r="P118" s="140"/>
      <c r="Q118" s="136"/>
      <c r="R118" s="57"/>
    </row>
    <row r="119" spans="1:26" x14ac:dyDescent="0.3">
      <c r="A119" s="136"/>
      <c r="B119" s="137"/>
      <c r="H119" s="136" t="s">
        <v>100</v>
      </c>
      <c r="O119" s="160">
        <f>SQRT(O117)</f>
        <v>5.0477717856495852E-2</v>
      </c>
      <c r="P119" s="140" t="s">
        <v>19</v>
      </c>
    </row>
    <row r="120" spans="1:26" ht="7" customHeight="1" x14ac:dyDescent="0.3">
      <c r="B120" s="137"/>
      <c r="K120" s="136"/>
      <c r="O120" s="161"/>
      <c r="P120" s="140"/>
      <c r="Q120" s="136"/>
      <c r="R120" s="57"/>
    </row>
    <row r="121" spans="1:26" x14ac:dyDescent="0.3">
      <c r="A121" s="136"/>
      <c r="B121" s="137"/>
      <c r="H121" s="136" t="s">
        <v>99</v>
      </c>
      <c r="O121" s="160">
        <f>O119*2</f>
        <v>0.1009554357129917</v>
      </c>
      <c r="P121" s="140" t="s">
        <v>19</v>
      </c>
    </row>
    <row r="122" spans="1:26" ht="7" customHeight="1" x14ac:dyDescent="0.3">
      <c r="B122" s="137"/>
      <c r="K122" s="136"/>
      <c r="O122" s="161"/>
      <c r="P122" s="140"/>
      <c r="Q122" s="136"/>
      <c r="R122" s="57"/>
    </row>
    <row r="123" spans="1:26" x14ac:dyDescent="0.3">
      <c r="A123" s="136"/>
      <c r="B123" s="137"/>
      <c r="H123" s="136" t="s">
        <v>113</v>
      </c>
      <c r="O123" s="162">
        <f>F12</f>
        <v>40.473999999999997</v>
      </c>
      <c r="P123" s="140" t="s">
        <v>19</v>
      </c>
    </row>
    <row r="124" spans="1:26" ht="7" customHeight="1" x14ac:dyDescent="0.3">
      <c r="B124" s="137"/>
      <c r="K124" s="136"/>
      <c r="O124" s="161"/>
      <c r="P124" s="140"/>
      <c r="Q124" s="136"/>
      <c r="R124" s="57"/>
    </row>
    <row r="125" spans="1:26" x14ac:dyDescent="0.3">
      <c r="A125" s="136"/>
      <c r="B125" s="137"/>
      <c r="H125" s="136" t="s">
        <v>98</v>
      </c>
      <c r="O125" s="160">
        <f>($O$121/(O123))*100</f>
        <v>0.24943281047831128</v>
      </c>
      <c r="P125" s="140" t="s">
        <v>8</v>
      </c>
    </row>
    <row r="126" spans="1:26" ht="7" customHeight="1" x14ac:dyDescent="0.3">
      <c r="B126" s="141"/>
      <c r="C126" s="142"/>
      <c r="D126" s="142"/>
      <c r="E126" s="142"/>
      <c r="F126" s="142"/>
      <c r="G126" s="142"/>
      <c r="H126" s="143"/>
      <c r="I126" s="142"/>
      <c r="J126" s="142"/>
      <c r="K126" s="143"/>
      <c r="L126" s="142"/>
      <c r="M126" s="142"/>
      <c r="N126" s="142"/>
      <c r="O126" s="143"/>
      <c r="P126" s="144"/>
      <c r="Q126" s="136"/>
      <c r="R126" s="57"/>
    </row>
    <row r="127" spans="1:26" ht="5.15" customHeight="1" x14ac:dyDescent="0.3">
      <c r="A127" s="136"/>
      <c r="B127" s="136"/>
      <c r="C127" s="136"/>
      <c r="D127" s="136"/>
      <c r="E127" s="150"/>
      <c r="F127" s="163"/>
      <c r="G127" s="136"/>
      <c r="H127" s="136"/>
      <c r="I127" s="136"/>
    </row>
    <row r="128" spans="1:26" hidden="1" x14ac:dyDescent="0.3">
      <c r="B128" s="128" t="s">
        <v>97</v>
      </c>
    </row>
    <row r="129" spans="2:16" hidden="1" x14ac:dyDescent="0.3">
      <c r="B129" s="142" t="s">
        <v>227</v>
      </c>
      <c r="C129" s="142"/>
      <c r="D129" s="142"/>
      <c r="E129" s="142"/>
      <c r="F129" s="142"/>
      <c r="G129" s="142"/>
      <c r="H129" s="142"/>
      <c r="I129" s="142"/>
      <c r="J129" s="142"/>
      <c r="K129" s="142"/>
      <c r="L129" s="142"/>
      <c r="M129" s="142"/>
      <c r="N129" s="142"/>
      <c r="O129" s="142"/>
      <c r="P129" s="142"/>
    </row>
    <row r="130" spans="2:16" hidden="1" x14ac:dyDescent="0.3">
      <c r="B130" s="142" t="s">
        <v>228</v>
      </c>
      <c r="C130" s="142"/>
      <c r="D130" s="142"/>
      <c r="E130" s="142"/>
      <c r="F130" s="142"/>
      <c r="G130" s="142"/>
      <c r="H130" s="142"/>
      <c r="I130" s="142"/>
      <c r="J130" s="142"/>
      <c r="K130" s="142"/>
      <c r="L130" s="142"/>
      <c r="M130" s="142"/>
      <c r="N130" s="142"/>
      <c r="O130" s="142"/>
      <c r="P130" s="142"/>
    </row>
    <row r="131" spans="2:16" hidden="1" x14ac:dyDescent="0.3">
      <c r="B131" s="142" t="s">
        <v>229</v>
      </c>
      <c r="C131" s="142"/>
      <c r="D131" s="142"/>
      <c r="E131" s="142"/>
      <c r="F131" s="142"/>
      <c r="G131" s="142"/>
      <c r="H131" s="142"/>
      <c r="I131" s="142"/>
      <c r="J131" s="142"/>
      <c r="K131" s="142"/>
      <c r="L131" s="142"/>
      <c r="M131" s="142"/>
      <c r="N131" s="142"/>
      <c r="O131" s="142"/>
      <c r="P131" s="142"/>
    </row>
    <row r="132" spans="2:16" hidden="1" x14ac:dyDescent="0.3">
      <c r="B132" s="142" t="s">
        <v>230</v>
      </c>
      <c r="C132" s="142"/>
      <c r="D132" s="142"/>
      <c r="E132" s="142"/>
      <c r="F132" s="142"/>
      <c r="G132" s="142"/>
      <c r="H132" s="142"/>
      <c r="I132" s="142"/>
      <c r="J132" s="142"/>
      <c r="K132" s="142"/>
      <c r="L132" s="142"/>
      <c r="M132" s="142"/>
      <c r="N132" s="142"/>
      <c r="O132" s="142"/>
      <c r="P132" s="142"/>
    </row>
    <row r="133" spans="2:16" hidden="1" x14ac:dyDescent="0.3"/>
    <row r="134" spans="2:16" hidden="1" x14ac:dyDescent="0.3"/>
    <row r="142" spans="2:16" x14ac:dyDescent="0.3">
      <c r="B142" s="165" t="s">
        <v>7</v>
      </c>
      <c r="C142" s="165"/>
    </row>
    <row r="143" spans="2:16" x14ac:dyDescent="0.3">
      <c r="B143" s="165" t="s">
        <v>17</v>
      </c>
      <c r="C143" s="165"/>
    </row>
    <row r="144" spans="2:16" x14ac:dyDescent="0.3">
      <c r="B144" s="165" t="s">
        <v>18</v>
      </c>
      <c r="C144" s="165" t="s">
        <v>16</v>
      </c>
    </row>
    <row r="145" spans="2:3" x14ac:dyDescent="0.3">
      <c r="B145" s="165" t="s">
        <v>96</v>
      </c>
      <c r="C145" s="165" t="s">
        <v>15</v>
      </c>
    </row>
    <row r="146" spans="2:3" x14ac:dyDescent="0.3">
      <c r="B146" s="128" t="s">
        <v>168</v>
      </c>
    </row>
    <row r="147" spans="2:3" x14ac:dyDescent="0.3">
      <c r="B147" s="128" t="b">
        <v>0</v>
      </c>
    </row>
  </sheetData>
  <mergeCells count="3">
    <mergeCell ref="B3:P3"/>
    <mergeCell ref="B6:P6"/>
    <mergeCell ref="B4:P4"/>
  </mergeCells>
  <phoneticPr fontId="57" type="noConversion"/>
  <dataValidations count="8">
    <dataValidation type="decimal" operator="greaterThan" allowBlank="1" showInputMessage="1" showErrorMessage="1" errorTitle="Out of range" error="Input has to be positive" sqref="O14 O26 F10 F14:F16 K54 F22:F26 K96 K32 E32 E112 E72 K72 K36 E92 K92 K76 K112 K34 K74 K94 K114 K116 E52 K52 K56 F18:F20" xr:uid="{00000000-0002-0000-0100-000000000000}">
      <formula1>0</formula1>
    </dataValidation>
    <dataValidation type="list" allowBlank="1" showInputMessage="1" showErrorMessage="1" sqref="J73 J53 J115 J33 J113 J93" xr:uid="{00000000-0002-0000-0100-000001000000}">
      <formula1>$C$144:$C$145</formula1>
    </dataValidation>
    <dataValidation type="list" allowBlank="1" showInputMessage="1" showErrorMessage="1" sqref="H73 H55 H53 H115 H33 H113 H93 H35 H75 H95" xr:uid="{00000000-0002-0000-0100-000002000000}">
      <formula1>$B$142:$B$145</formula1>
    </dataValidation>
    <dataValidation type="decimal" operator="greaterThanOrEqual" allowBlank="1" showInputMessage="1" showErrorMessage="1" errorTitle="Out of range" error="Uncertainties cannot be negative" sqref="E93 E33 E113 E73 E35 E75 E95 E115 E53 E55" xr:uid="{00000000-0002-0000-0100-000003000000}">
      <formula1>0</formula1>
    </dataValidation>
    <dataValidation type="decimal" operator="greaterThanOrEqual" allowBlank="1" showInputMessage="1" showErrorMessage="1" errorTitle="Out of range" error="Temperatures have to be above -273 °C" sqref="E76 E56 E54 N19:N21 E36 E96 E34 E74 E94 E114 E116 N15:N17 F12" xr:uid="{00000000-0002-0000-0100-000004000000}">
      <formula1>-273</formula1>
    </dataValidation>
    <dataValidation type="list" allowBlank="1" showInputMessage="1" showErrorMessage="1" sqref="J35" xr:uid="{976C5512-979D-4908-BD59-915906640A0F}">
      <formula1>$C$192:$C$193</formula1>
    </dataValidation>
    <dataValidation type="list" allowBlank="1" showInputMessage="1" showErrorMessage="1" sqref="J75 J55" xr:uid="{C2E4EDA9-B4DF-451D-BA95-8FBA9D5C42D3}">
      <formula1>$C$176:$C$177</formula1>
    </dataValidation>
    <dataValidation type="list" allowBlank="1" showInputMessage="1" showErrorMessage="1" sqref="J95" xr:uid="{A0025ED5-7DD3-4864-B3FF-C677807A8A01}">
      <formula1>$C$160:$C$161</formula1>
    </dataValidation>
  </dataValidations>
  <printOptions horizontalCentered="1"/>
  <pageMargins left="0.19685039370078741" right="0.19685039370078741" top="0.43307086614173229" bottom="0.59055118110236227" header="0.19685039370078741" footer="0.19685039370078741"/>
  <pageSetup paperSize="9" scale="49" orientation="portrait" r:id="rId1"/>
  <headerFooter alignWithMargins="0">
    <oddFooter>Página &amp;P de &amp;N</oddFooter>
  </headerFooter>
  <drawing r:id="rId2"/>
  <legacyDrawing r:id="rId3"/>
  <controls>
    <mc:AlternateContent xmlns:mc="http://schemas.openxmlformats.org/markup-compatibility/2006">
      <mc:Choice Requires="x14">
        <control shapeId="264843" r:id="rId4" name="CheckBox3">
          <controlPr defaultSize="0" autoLine="0" linkedCell="B147" r:id="rId5">
            <anchor moveWithCells="1">
              <from>
                <xdr:col>17</xdr:col>
                <xdr:colOff>488950</xdr:colOff>
                <xdr:row>17</xdr:row>
                <xdr:rowOff>50800</xdr:rowOff>
              </from>
              <to>
                <xdr:col>21</xdr:col>
                <xdr:colOff>565150</xdr:colOff>
                <xdr:row>19</xdr:row>
                <xdr:rowOff>31750</xdr:rowOff>
              </to>
            </anchor>
          </controlPr>
        </control>
      </mc:Choice>
      <mc:Fallback>
        <control shapeId="264843" r:id="rId4" name="CheckBox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0">
    <pageSetUpPr autoPageBreaks="0" fitToPage="1"/>
  </sheetPr>
  <dimension ref="A1:V116"/>
  <sheetViews>
    <sheetView view="pageBreakPreview" topLeftCell="A20" zoomScale="115" zoomScaleNormal="100" zoomScaleSheetLayoutView="115" workbookViewId="0">
      <selection activeCell="G50" sqref="G50"/>
    </sheetView>
  </sheetViews>
  <sheetFormatPr defaultColWidth="9.1796875" defaultRowHeight="12.5" x14ac:dyDescent="0.25"/>
  <cols>
    <col min="1" max="1" width="1.81640625" style="55" customWidth="1"/>
    <col min="2" max="2" width="27.54296875" style="55" customWidth="1"/>
    <col min="3" max="3" width="7.54296875" style="55" customWidth="1"/>
    <col min="4" max="4" width="2.1796875" style="55" customWidth="1"/>
    <col min="5" max="5" width="10" style="55" customWidth="1"/>
    <col min="6" max="6" width="8.54296875" style="55" customWidth="1"/>
    <col min="7" max="7" width="2.54296875" style="55" customWidth="1"/>
    <col min="8" max="8" width="14.54296875" style="55" customWidth="1"/>
    <col min="9" max="9" width="18.1796875" style="55" customWidth="1"/>
    <col min="10" max="10" width="16.54296875" style="55" customWidth="1"/>
    <col min="11" max="11" width="13.453125" style="55" bestFit="1" customWidth="1"/>
    <col min="12" max="12" width="8" style="55" customWidth="1"/>
    <col min="13" max="13" width="9.81640625" style="55" customWidth="1"/>
    <col min="14" max="14" width="10.54296875" style="55" customWidth="1"/>
    <col min="15" max="15" width="10.1796875" style="55" customWidth="1"/>
    <col min="16" max="16" width="7.1796875" style="55" customWidth="1"/>
    <col min="17" max="17" width="1.453125" style="55" customWidth="1"/>
    <col min="18" max="19" width="9.1796875" style="55"/>
    <col min="20" max="20" width="2.54296875" style="55" customWidth="1"/>
    <col min="21" max="16384" width="9.1796875" style="55"/>
  </cols>
  <sheetData>
    <row r="1" spans="1:18" ht="22.5" customHeight="1" x14ac:dyDescent="0.25">
      <c r="B1" s="89"/>
      <c r="C1" s="88"/>
      <c r="D1" s="88"/>
      <c r="E1" s="88"/>
      <c r="F1" s="91"/>
      <c r="G1" s="97"/>
      <c r="H1" s="86"/>
      <c r="I1" s="86"/>
      <c r="J1" s="96"/>
      <c r="K1" s="95"/>
      <c r="L1" s="91"/>
      <c r="M1" s="91"/>
      <c r="N1" s="91"/>
      <c r="O1" s="91"/>
      <c r="P1" s="94"/>
      <c r="Q1" s="57"/>
      <c r="R1" s="57"/>
    </row>
    <row r="2" spans="1:18" x14ac:dyDescent="0.25">
      <c r="B2" s="68"/>
      <c r="F2" s="57"/>
      <c r="G2" s="253"/>
      <c r="H2" s="65"/>
      <c r="I2" s="65"/>
      <c r="J2" s="254"/>
      <c r="K2" s="255"/>
      <c r="L2" s="57"/>
      <c r="M2" s="57"/>
      <c r="N2" s="57"/>
      <c r="O2" s="57"/>
      <c r="P2" s="62"/>
      <c r="Q2" s="57"/>
      <c r="R2" s="57"/>
    </row>
    <row r="3" spans="1:18" x14ac:dyDescent="0.25">
      <c r="B3" s="68"/>
      <c r="F3" s="57"/>
      <c r="G3" s="253"/>
      <c r="H3" s="65"/>
      <c r="I3" s="65"/>
      <c r="J3" s="254"/>
      <c r="K3" s="255"/>
      <c r="L3" s="57"/>
      <c r="M3" s="57"/>
      <c r="N3" s="57"/>
      <c r="O3" s="57"/>
      <c r="P3" s="62"/>
      <c r="Q3" s="57"/>
      <c r="R3" s="57"/>
    </row>
    <row r="4" spans="1:18" ht="13" x14ac:dyDescent="0.25">
      <c r="B4" s="68"/>
      <c r="F4" s="57"/>
      <c r="G4" s="65"/>
      <c r="H4" s="65"/>
      <c r="I4" s="65"/>
      <c r="J4" s="93"/>
      <c r="K4" s="92"/>
      <c r="L4" s="57"/>
      <c r="M4" s="57"/>
      <c r="N4" s="57"/>
      <c r="O4" s="57"/>
      <c r="P4" s="62"/>
      <c r="Q4" s="57"/>
      <c r="R4" s="57"/>
    </row>
    <row r="5" spans="1:18" ht="56.25" customHeight="1" x14ac:dyDescent="0.6">
      <c r="A5" s="128"/>
      <c r="B5" s="538" t="str">
        <f>Report!B1</f>
        <v>Relatório de Cálculo de Incerteza - Nº FORTE-UCG-FE-1231010B-26-04
Uncertainty Calculation Report - Nº FORTE-UCG-FE-1231010B-26-04</v>
      </c>
      <c r="C5" s="539"/>
      <c r="D5" s="539"/>
      <c r="E5" s="539"/>
      <c r="F5" s="539"/>
      <c r="G5" s="539"/>
      <c r="H5" s="539"/>
      <c r="I5" s="539"/>
      <c r="J5" s="539"/>
      <c r="K5" s="539"/>
      <c r="L5" s="539"/>
      <c r="M5" s="539"/>
      <c r="N5" s="539"/>
      <c r="O5" s="539"/>
      <c r="P5" s="540"/>
      <c r="Q5" s="136"/>
      <c r="R5" s="57"/>
    </row>
    <row r="6" spans="1:18" ht="15.5" x14ac:dyDescent="0.3">
      <c r="A6" s="128"/>
      <c r="B6" s="544"/>
      <c r="C6" s="545"/>
      <c r="D6" s="545"/>
      <c r="E6" s="545"/>
      <c r="F6" s="545"/>
      <c r="G6" s="545"/>
      <c r="H6" s="545"/>
      <c r="I6" s="545"/>
      <c r="J6" s="545"/>
      <c r="K6" s="545"/>
      <c r="L6" s="545"/>
      <c r="M6" s="545"/>
      <c r="N6" s="545"/>
      <c r="O6" s="545"/>
      <c r="P6" s="546"/>
      <c r="Q6" s="136"/>
      <c r="R6" s="57"/>
    </row>
    <row r="7" spans="1:18" ht="13" x14ac:dyDescent="0.3">
      <c r="A7" s="128"/>
      <c r="B7" s="276"/>
      <c r="C7" s="277"/>
      <c r="D7" s="277"/>
      <c r="E7" s="277"/>
      <c r="F7" s="277"/>
      <c r="G7" s="277"/>
      <c r="H7" s="277"/>
      <c r="I7" s="277"/>
      <c r="J7" s="277"/>
      <c r="K7" s="277"/>
      <c r="L7" s="277"/>
      <c r="M7" s="277"/>
      <c r="N7" s="277"/>
      <c r="O7" s="277"/>
      <c r="P7" s="278"/>
      <c r="Q7" s="136"/>
      <c r="R7" s="57"/>
    </row>
    <row r="8" spans="1:18" ht="19.5" customHeight="1" x14ac:dyDescent="0.3">
      <c r="A8" s="128"/>
      <c r="B8" s="541"/>
      <c r="C8" s="542"/>
      <c r="D8" s="542"/>
      <c r="E8" s="542"/>
      <c r="F8" s="542"/>
      <c r="G8" s="542"/>
      <c r="H8" s="542"/>
      <c r="I8" s="542"/>
      <c r="J8" s="542"/>
      <c r="K8" s="542"/>
      <c r="L8" s="542"/>
      <c r="M8" s="542"/>
      <c r="N8" s="542"/>
      <c r="O8" s="542"/>
      <c r="P8" s="543"/>
      <c r="Q8" s="136"/>
      <c r="R8" s="57"/>
    </row>
    <row r="9" spans="1:18" ht="5.15" customHeight="1" x14ac:dyDescent="0.3">
      <c r="A9" s="128"/>
      <c r="B9" s="128"/>
      <c r="C9" s="128"/>
      <c r="D9" s="128"/>
      <c r="E9" s="128"/>
      <c r="F9" s="136"/>
      <c r="G9" s="136"/>
      <c r="H9" s="136"/>
      <c r="I9" s="136"/>
      <c r="J9" s="128"/>
      <c r="K9" s="139"/>
      <c r="L9" s="136"/>
      <c r="M9" s="136"/>
      <c r="N9" s="136"/>
      <c r="O9" s="136"/>
      <c r="P9" s="136"/>
      <c r="Q9" s="136"/>
      <c r="R9" s="57"/>
    </row>
    <row r="10" spans="1:18" ht="14" x14ac:dyDescent="0.3">
      <c r="B10" s="107" t="s">
        <v>128</v>
      </c>
      <c r="C10" s="85"/>
      <c r="D10" s="85"/>
      <c r="E10" s="87"/>
      <c r="F10" s="86"/>
      <c r="G10" s="86"/>
      <c r="H10" s="85"/>
      <c r="I10" s="85"/>
      <c r="J10" s="85"/>
      <c r="K10" s="85"/>
      <c r="L10" s="85"/>
      <c r="M10" s="85"/>
      <c r="N10" s="85"/>
      <c r="O10" s="85"/>
      <c r="P10" s="84"/>
      <c r="Q10" s="57"/>
    </row>
    <row r="11" spans="1:18" x14ac:dyDescent="0.25">
      <c r="B11" s="70"/>
      <c r="C11" s="64"/>
      <c r="D11" s="64"/>
      <c r="E11" s="83"/>
      <c r="F11" s="65"/>
      <c r="G11" s="65"/>
      <c r="H11" s="64"/>
      <c r="I11" s="64"/>
      <c r="J11" s="64"/>
      <c r="K11" s="64"/>
      <c r="L11" s="64"/>
      <c r="M11" s="64"/>
      <c r="N11" s="64"/>
      <c r="O11" s="64"/>
      <c r="P11" s="81"/>
      <c r="Q11" s="57"/>
    </row>
    <row r="12" spans="1:18" ht="14.5" x14ac:dyDescent="0.25">
      <c r="B12" s="106" t="s">
        <v>127</v>
      </c>
      <c r="C12" s="57"/>
      <c r="D12" s="57"/>
      <c r="F12" s="73">
        <v>87.76</v>
      </c>
      <c r="G12" s="105" t="s">
        <v>6</v>
      </c>
      <c r="H12" s="64"/>
      <c r="I12" s="105" t="s">
        <v>243</v>
      </c>
      <c r="K12" s="57"/>
      <c r="L12" s="57"/>
      <c r="N12" s="284">
        <v>20</v>
      </c>
      <c r="O12" s="105" t="s">
        <v>19</v>
      </c>
      <c r="P12" s="81"/>
      <c r="Q12" s="57"/>
      <c r="R12" s="64"/>
    </row>
    <row r="13" spans="1:18" x14ac:dyDescent="0.25">
      <c r="B13" s="106"/>
      <c r="C13" s="57"/>
      <c r="D13" s="57"/>
      <c r="F13" s="57"/>
      <c r="G13" s="105"/>
      <c r="H13" s="64"/>
      <c r="I13" s="105"/>
      <c r="K13" s="57"/>
      <c r="L13" s="57"/>
      <c r="N13" s="57"/>
      <c r="O13" s="105"/>
      <c r="P13" s="81"/>
      <c r="Q13" s="57"/>
    </row>
    <row r="14" spans="1:18" ht="14.5" x14ac:dyDescent="0.25">
      <c r="B14" s="106" t="s">
        <v>125</v>
      </c>
      <c r="C14" s="57"/>
      <c r="D14" s="57"/>
      <c r="F14" s="69">
        <f>'Gas parameters'!F12</f>
        <v>40.473999999999997</v>
      </c>
      <c r="G14" s="105" t="s">
        <v>19</v>
      </c>
      <c r="H14" s="64"/>
      <c r="I14" s="105" t="s">
        <v>124</v>
      </c>
      <c r="K14" s="57"/>
      <c r="L14" s="57"/>
      <c r="N14" s="126">
        <v>1.2E-5</v>
      </c>
      <c r="O14" s="105" t="s">
        <v>37</v>
      </c>
      <c r="P14" s="81"/>
      <c r="Q14" s="57"/>
    </row>
    <row r="15" spans="1:18" x14ac:dyDescent="0.25">
      <c r="B15" s="106"/>
      <c r="C15" s="57"/>
      <c r="D15" s="57"/>
      <c r="E15" s="57"/>
      <c r="F15" s="105"/>
      <c r="G15" s="65"/>
      <c r="H15" s="64"/>
      <c r="I15" s="64"/>
      <c r="J15" s="64"/>
      <c r="K15" s="64"/>
      <c r="L15" s="64"/>
      <c r="M15" s="64"/>
      <c r="N15" s="64"/>
      <c r="O15" s="64"/>
      <c r="P15" s="81"/>
      <c r="Q15" s="57"/>
    </row>
    <row r="16" spans="1:18" ht="13" x14ac:dyDescent="0.25">
      <c r="B16" s="66"/>
      <c r="C16" s="64"/>
      <c r="D16" s="64"/>
      <c r="E16" s="82" t="s">
        <v>95</v>
      </c>
      <c r="F16" s="65"/>
      <c r="G16" s="65"/>
      <c r="I16" s="82" t="s">
        <v>240</v>
      </c>
      <c r="J16" s="82" t="s">
        <v>112</v>
      </c>
      <c r="K16" s="82" t="s">
        <v>111</v>
      </c>
      <c r="L16" s="64"/>
      <c r="M16" s="82" t="s">
        <v>109</v>
      </c>
      <c r="N16" s="64"/>
      <c r="O16" s="157" t="s">
        <v>108</v>
      </c>
      <c r="P16" s="81"/>
      <c r="Q16" s="57"/>
      <c r="R16" s="57"/>
    </row>
    <row r="17" spans="2:18" s="76" customFormat="1" ht="12.75" customHeight="1" x14ac:dyDescent="0.25">
      <c r="B17" s="78"/>
      <c r="E17" s="80" t="s">
        <v>107</v>
      </c>
      <c r="G17" s="77"/>
      <c r="I17" s="80" t="s">
        <v>241</v>
      </c>
      <c r="J17" s="80" t="s">
        <v>106</v>
      </c>
      <c r="K17" s="80" t="s">
        <v>105</v>
      </c>
      <c r="M17" s="80" t="s">
        <v>103</v>
      </c>
      <c r="O17" s="168" t="s">
        <v>102</v>
      </c>
      <c r="P17" s="79"/>
      <c r="Q17" s="77"/>
      <c r="R17" s="77"/>
    </row>
    <row r="18" spans="2:18" ht="12.75" customHeight="1" x14ac:dyDescent="0.3">
      <c r="B18" s="547" t="str">
        <f>B12</f>
        <v>Diâmetro interno medido (Internal Diameter)</v>
      </c>
      <c r="C18" s="548"/>
      <c r="D18" s="64"/>
      <c r="E18" s="71"/>
      <c r="F18" s="65"/>
      <c r="G18" s="65"/>
      <c r="J18" s="75"/>
      <c r="K18" s="64"/>
      <c r="L18" s="65"/>
      <c r="M18" s="65"/>
      <c r="N18" s="65"/>
      <c r="O18" s="65"/>
      <c r="P18" s="67"/>
      <c r="Q18" s="57"/>
      <c r="R18" s="57"/>
    </row>
    <row r="19" spans="2:18" ht="12.75" customHeight="1" x14ac:dyDescent="0.25">
      <c r="B19" s="547"/>
      <c r="C19" s="548"/>
      <c r="D19" s="64"/>
      <c r="E19" s="297">
        <v>0.06</v>
      </c>
      <c r="F19" s="65" t="s">
        <v>6</v>
      </c>
      <c r="G19" s="65"/>
      <c r="I19" s="298">
        <v>2.0099999999999998</v>
      </c>
      <c r="J19" s="299" t="s">
        <v>17</v>
      </c>
      <c r="K19" s="300" t="s">
        <v>15</v>
      </c>
      <c r="L19" s="64" t="s">
        <v>6</v>
      </c>
      <c r="M19" s="63">
        <v>1</v>
      </c>
      <c r="N19" s="288" t="s">
        <v>6</v>
      </c>
      <c r="O19" s="63">
        <f>(E19*M19)/I19</f>
        <v>2.9850746268656719E-2</v>
      </c>
      <c r="P19" s="289" t="s">
        <v>6</v>
      </c>
      <c r="Q19" s="57"/>
      <c r="R19" s="57"/>
    </row>
    <row r="20" spans="2:18" ht="12.75" customHeight="1" x14ac:dyDescent="0.25">
      <c r="B20" s="547"/>
      <c r="C20" s="548"/>
      <c r="D20" s="64"/>
      <c r="E20" s="291"/>
      <c r="F20" s="292"/>
      <c r="G20" s="292"/>
      <c r="H20" s="293"/>
      <c r="I20" s="294"/>
      <c r="J20" s="295"/>
      <c r="K20" s="296"/>
      <c r="L20" s="293"/>
      <c r="M20" s="286"/>
      <c r="N20" s="293"/>
      <c r="O20" s="286"/>
      <c r="P20" s="289"/>
      <c r="Q20" s="57"/>
      <c r="R20" s="57"/>
    </row>
    <row r="21" spans="2:18" ht="12.75" customHeight="1" x14ac:dyDescent="0.25">
      <c r="B21" s="301"/>
      <c r="C21" s="109"/>
      <c r="D21" s="64"/>
      <c r="E21" s="99"/>
      <c r="F21" s="65"/>
      <c r="G21" s="65"/>
      <c r="I21" s="82" t="s">
        <v>242</v>
      </c>
      <c r="J21" s="98"/>
      <c r="K21" s="98"/>
      <c r="L21" s="64"/>
      <c r="M21" s="121"/>
      <c r="N21" s="64"/>
      <c r="O21" s="121"/>
      <c r="P21" s="67"/>
      <c r="Q21" s="57"/>
      <c r="R21" s="57"/>
    </row>
    <row r="22" spans="2:18" ht="12.75" customHeight="1" x14ac:dyDescent="0.25">
      <c r="B22" s="101"/>
      <c r="C22" s="100"/>
      <c r="D22" s="64"/>
      <c r="E22" s="99"/>
      <c r="F22" s="65"/>
      <c r="G22" s="65"/>
      <c r="I22" s="80" t="s">
        <v>242</v>
      </c>
      <c r="J22" s="98"/>
      <c r="K22" s="98"/>
      <c r="L22" s="64"/>
      <c r="M22" s="121"/>
      <c r="N22" s="64"/>
      <c r="O22" s="121"/>
      <c r="P22" s="67"/>
      <c r="Q22" s="57"/>
      <c r="R22" s="57"/>
    </row>
    <row r="23" spans="2:18" ht="12.75" customHeight="1" x14ac:dyDescent="0.25">
      <c r="B23" s="549" t="s">
        <v>239</v>
      </c>
      <c r="C23" s="548"/>
      <c r="D23" s="64"/>
      <c r="E23" s="114">
        <f>F12*N14*(F14-'Meter run parameters'!N12)</f>
        <v>2.1561578879999998E-2</v>
      </c>
      <c r="F23" s="285" t="s">
        <v>6</v>
      </c>
      <c r="G23" s="65"/>
      <c r="I23" s="298">
        <f>SQRT(3)</f>
        <v>1.7320508075688772</v>
      </c>
      <c r="J23" s="299" t="s">
        <v>96</v>
      </c>
      <c r="K23" s="300" t="s">
        <v>15</v>
      </c>
      <c r="L23" s="64" t="s">
        <v>6</v>
      </c>
      <c r="M23" s="63">
        <v>1</v>
      </c>
      <c r="N23" s="290" t="s">
        <v>6</v>
      </c>
      <c r="O23" s="63">
        <f>(E23*M23)/I23</f>
        <v>1.2448583370521349E-2</v>
      </c>
      <c r="P23" s="289" t="s">
        <v>6</v>
      </c>
      <c r="Q23" s="57"/>
      <c r="R23" s="57"/>
    </row>
    <row r="24" spans="2:18" ht="12.75" customHeight="1" x14ac:dyDescent="0.25">
      <c r="B24" s="547"/>
      <c r="C24" s="548"/>
      <c r="D24" s="64"/>
      <c r="E24" s="99"/>
      <c r="F24" s="75"/>
      <c r="G24" s="65"/>
      <c r="J24" s="98"/>
      <c r="K24" s="98"/>
      <c r="L24" s="75"/>
      <c r="M24" s="121"/>
      <c r="N24" s="57"/>
      <c r="O24" s="121"/>
      <c r="P24" s="67"/>
      <c r="Q24" s="57"/>
      <c r="R24" s="57"/>
    </row>
    <row r="25" spans="2:18" ht="12.75" hidden="1" customHeight="1" x14ac:dyDescent="0.25">
      <c r="B25" s="547"/>
      <c r="C25" s="548"/>
      <c r="D25" s="64"/>
      <c r="E25" s="73"/>
      <c r="F25" s="75"/>
      <c r="G25" s="65"/>
      <c r="J25" s="74"/>
      <c r="K25" s="108"/>
      <c r="L25" s="75"/>
      <c r="M25" s="63"/>
      <c r="N25" s="57"/>
      <c r="O25" s="63"/>
      <c r="P25" s="289" t="s">
        <v>6</v>
      </c>
      <c r="Q25" s="57"/>
      <c r="R25" s="57"/>
    </row>
    <row r="26" spans="2:18" ht="12.75" hidden="1" customHeight="1" x14ac:dyDescent="0.25">
      <c r="B26" s="547"/>
      <c r="C26" s="548"/>
      <c r="D26" s="64"/>
      <c r="E26" s="99"/>
      <c r="F26" s="75"/>
      <c r="G26" s="65"/>
      <c r="J26" s="98"/>
      <c r="K26" s="98"/>
      <c r="L26" s="75"/>
      <c r="M26" s="98"/>
      <c r="N26" s="57"/>
      <c r="O26" s="121"/>
      <c r="P26" s="67"/>
      <c r="Q26" s="57"/>
      <c r="R26" s="57"/>
    </row>
    <row r="27" spans="2:18" ht="12.75" hidden="1" customHeight="1" x14ac:dyDescent="0.25">
      <c r="B27" s="547"/>
      <c r="C27" s="548"/>
      <c r="D27" s="64"/>
      <c r="E27" s="287"/>
      <c r="F27" s="75"/>
      <c r="G27" s="65"/>
      <c r="J27" s="74"/>
      <c r="K27" s="108"/>
      <c r="L27" s="75"/>
      <c r="M27" s="114"/>
      <c r="N27" s="57"/>
      <c r="O27" s="63"/>
      <c r="P27" s="289" t="s">
        <v>6</v>
      </c>
      <c r="Q27" s="57"/>
      <c r="R27" s="57"/>
    </row>
    <row r="28" spans="2:18" ht="14.5" x14ac:dyDescent="0.3">
      <c r="B28" s="547"/>
      <c r="C28" s="548"/>
      <c r="D28" s="64"/>
      <c r="E28" s="71"/>
      <c r="F28" s="72"/>
      <c r="G28" s="65"/>
      <c r="H28" s="64"/>
      <c r="I28" s="64"/>
      <c r="J28" s="64"/>
      <c r="K28" s="71"/>
      <c r="L28" s="65"/>
      <c r="M28" s="65"/>
      <c r="N28" s="65"/>
      <c r="O28" s="120"/>
      <c r="P28" s="67"/>
      <c r="Q28" s="57"/>
      <c r="R28" s="57"/>
    </row>
    <row r="29" spans="2:18" ht="12.75" customHeight="1" x14ac:dyDescent="0.25">
      <c r="B29" s="66"/>
      <c r="C29" s="64"/>
      <c r="D29" s="64"/>
      <c r="E29" s="64"/>
      <c r="F29" s="64"/>
      <c r="G29" s="64"/>
      <c r="H29" s="65" t="s">
        <v>101</v>
      </c>
      <c r="J29" s="65"/>
      <c r="K29" s="65"/>
      <c r="L29" s="64"/>
      <c r="M29" s="64"/>
      <c r="N29" s="64"/>
      <c r="O29" s="63">
        <f>SUM(O19:O27)</f>
        <v>4.2299329639178068E-2</v>
      </c>
      <c r="P29" s="289" t="s">
        <v>6</v>
      </c>
      <c r="Q29" s="57"/>
      <c r="R29" s="90"/>
    </row>
    <row r="30" spans="2:18" ht="7" customHeight="1" x14ac:dyDescent="0.25">
      <c r="B30" s="66"/>
      <c r="C30" s="64"/>
      <c r="D30" s="64"/>
      <c r="E30" s="64"/>
      <c r="F30" s="64"/>
      <c r="G30" s="64"/>
      <c r="H30" s="65"/>
      <c r="J30" s="64"/>
      <c r="K30" s="65"/>
      <c r="L30" s="64"/>
      <c r="M30" s="64"/>
      <c r="N30" s="64"/>
      <c r="O30" s="120"/>
      <c r="P30" s="67"/>
      <c r="Q30" s="57"/>
      <c r="R30" s="57"/>
    </row>
    <row r="31" spans="2:18" ht="12.75" customHeight="1" x14ac:dyDescent="0.25">
      <c r="B31" s="66"/>
      <c r="C31" s="64"/>
      <c r="D31" s="64"/>
      <c r="E31" s="64"/>
      <c r="F31" s="64"/>
      <c r="G31" s="64"/>
      <c r="H31" s="65" t="s">
        <v>100</v>
      </c>
      <c r="J31" s="64"/>
      <c r="K31" s="64"/>
      <c r="L31" s="64"/>
      <c r="M31" s="64"/>
      <c r="N31" s="64"/>
      <c r="O31" s="63">
        <f>SQRT(O29)</f>
        <v>0.20566800830264795</v>
      </c>
      <c r="P31" s="67" t="s">
        <v>6</v>
      </c>
      <c r="Q31" s="57"/>
      <c r="R31" s="57"/>
    </row>
    <row r="32" spans="2:18" ht="7" customHeight="1" x14ac:dyDescent="0.25">
      <c r="B32" s="66"/>
      <c r="C32" s="64"/>
      <c r="D32" s="64"/>
      <c r="E32" s="64"/>
      <c r="F32" s="64"/>
      <c r="G32" s="64"/>
      <c r="H32" s="65"/>
      <c r="J32" s="64"/>
      <c r="K32" s="65"/>
      <c r="L32" s="64"/>
      <c r="M32" s="64"/>
      <c r="N32" s="64"/>
      <c r="O32" s="120"/>
      <c r="P32" s="67"/>
      <c r="Q32" s="57"/>
      <c r="R32" s="57"/>
    </row>
    <row r="33" spans="2:22" ht="13" x14ac:dyDescent="0.3">
      <c r="B33" s="66"/>
      <c r="C33" s="64"/>
      <c r="D33" s="64"/>
      <c r="E33" s="64"/>
      <c r="F33" s="64"/>
      <c r="G33" s="64"/>
      <c r="H33" s="65" t="s">
        <v>99</v>
      </c>
      <c r="J33" s="64"/>
      <c r="K33" s="64"/>
      <c r="L33" s="64"/>
      <c r="M33" s="64"/>
      <c r="N33" s="64"/>
      <c r="O33" s="63">
        <f>O31*2</f>
        <v>0.4113360166052959</v>
      </c>
      <c r="P33" s="67" t="s">
        <v>6</v>
      </c>
      <c r="Q33" s="57"/>
      <c r="R33" s="57"/>
      <c r="V33" s="307"/>
    </row>
    <row r="34" spans="2:22" ht="7" customHeight="1" x14ac:dyDescent="0.25">
      <c r="B34" s="66"/>
      <c r="C34" s="64"/>
      <c r="D34" s="64"/>
      <c r="E34" s="64"/>
      <c r="F34" s="64"/>
      <c r="G34" s="64"/>
      <c r="H34" s="65"/>
      <c r="J34" s="64"/>
      <c r="K34" s="65"/>
      <c r="L34" s="64"/>
      <c r="M34" s="64"/>
      <c r="N34" s="64"/>
      <c r="O34" s="120"/>
      <c r="P34" s="67"/>
      <c r="Q34" s="57"/>
      <c r="R34" s="57"/>
    </row>
    <row r="35" spans="2:22" x14ac:dyDescent="0.25">
      <c r="B35" s="66"/>
      <c r="C35" s="64"/>
      <c r="D35" s="64"/>
      <c r="E35" s="64"/>
      <c r="F35" s="64"/>
      <c r="G35" s="64"/>
      <c r="H35" s="65" t="s">
        <v>121</v>
      </c>
      <c r="J35" s="64"/>
      <c r="K35" s="64"/>
      <c r="L35" s="64"/>
      <c r="M35" s="64"/>
      <c r="N35" s="64"/>
      <c r="O35" s="114">
        <f>F12</f>
        <v>87.76</v>
      </c>
      <c r="P35" s="67" t="s">
        <v>6</v>
      </c>
      <c r="Q35" s="57"/>
      <c r="R35" s="57"/>
    </row>
    <row r="36" spans="2:22" ht="7" customHeight="1" x14ac:dyDescent="0.25">
      <c r="B36" s="66"/>
      <c r="C36" s="64"/>
      <c r="D36" s="64"/>
      <c r="E36" s="64"/>
      <c r="F36" s="64"/>
      <c r="G36" s="64"/>
      <c r="H36" s="65"/>
      <c r="J36" s="64"/>
      <c r="K36" s="65"/>
      <c r="L36" s="64"/>
      <c r="M36" s="64"/>
      <c r="N36" s="64"/>
      <c r="O36" s="120"/>
      <c r="P36" s="67"/>
      <c r="Q36" s="57"/>
      <c r="R36" s="57"/>
    </row>
    <row r="37" spans="2:22" x14ac:dyDescent="0.25">
      <c r="B37" s="66"/>
      <c r="C37" s="64"/>
      <c r="D37" s="64"/>
      <c r="E37" s="64"/>
      <c r="F37" s="64"/>
      <c r="G37" s="64"/>
      <c r="H37" s="65" t="s">
        <v>98</v>
      </c>
      <c r="J37" s="64"/>
      <c r="K37" s="64"/>
      <c r="L37" s="64"/>
      <c r="M37" s="64"/>
      <c r="N37" s="64"/>
      <c r="O37" s="63">
        <f>O33/O35*100</f>
        <v>0.46870557954113018</v>
      </c>
      <c r="P37" s="67" t="s">
        <v>8</v>
      </c>
    </row>
    <row r="38" spans="2:22" ht="7" customHeight="1" x14ac:dyDescent="0.25">
      <c r="B38" s="61"/>
      <c r="C38" s="60"/>
      <c r="D38" s="60"/>
      <c r="E38" s="60"/>
      <c r="F38" s="60"/>
      <c r="G38" s="60"/>
      <c r="H38" s="59"/>
      <c r="I38" s="56"/>
      <c r="J38" s="60"/>
      <c r="K38" s="59"/>
      <c r="L38" s="60"/>
      <c r="M38" s="60"/>
      <c r="N38" s="60"/>
      <c r="O38" s="59"/>
      <c r="P38" s="58"/>
      <c r="Q38" s="57"/>
      <c r="R38" s="57"/>
    </row>
    <row r="39" spans="2:22" x14ac:dyDescent="0.25">
      <c r="G39" s="65"/>
      <c r="Q39" s="57"/>
      <c r="R39" s="57"/>
    </row>
    <row r="40" spans="2:22" ht="14" x14ac:dyDescent="0.3">
      <c r="B40" s="107" t="s">
        <v>126</v>
      </c>
      <c r="C40" s="85"/>
      <c r="D40" s="85"/>
      <c r="E40" s="87"/>
      <c r="F40" s="86"/>
      <c r="G40" s="86"/>
      <c r="H40" s="85"/>
      <c r="I40" s="85"/>
      <c r="J40" s="85"/>
      <c r="K40" s="85"/>
      <c r="L40" s="85"/>
      <c r="M40" s="85"/>
      <c r="N40" s="85"/>
      <c r="O40" s="85"/>
      <c r="P40" s="84"/>
      <c r="Q40" s="57"/>
    </row>
    <row r="41" spans="2:22" x14ac:dyDescent="0.25">
      <c r="B41" s="70"/>
      <c r="C41" s="64"/>
      <c r="D41" s="64"/>
      <c r="E41" s="83"/>
      <c r="F41" s="65"/>
      <c r="G41" s="65"/>
      <c r="H41" s="64"/>
      <c r="I41" s="64"/>
      <c r="J41" s="64"/>
      <c r="K41" s="64"/>
      <c r="L41" s="64"/>
      <c r="M41" s="64"/>
      <c r="N41" s="64"/>
      <c r="O41" s="64"/>
      <c r="P41" s="81"/>
      <c r="Q41" s="57"/>
    </row>
    <row r="42" spans="2:22" ht="14.5" x14ac:dyDescent="0.25">
      <c r="B42" s="106" t="s">
        <v>120</v>
      </c>
      <c r="C42" s="57"/>
      <c r="D42" s="57"/>
      <c r="F42" s="73">
        <v>37.99</v>
      </c>
      <c r="G42" s="105" t="s">
        <v>6</v>
      </c>
      <c r="H42" s="64"/>
      <c r="I42" s="105" t="s">
        <v>243</v>
      </c>
      <c r="K42" s="57"/>
      <c r="L42" s="57"/>
      <c r="N42" s="73">
        <v>20</v>
      </c>
      <c r="O42" s="105" t="s">
        <v>19</v>
      </c>
      <c r="P42" s="81"/>
      <c r="Q42" s="57"/>
    </row>
    <row r="43" spans="2:22" x14ac:dyDescent="0.25">
      <c r="B43" s="106"/>
      <c r="C43" s="57"/>
      <c r="D43" s="57"/>
      <c r="F43" s="57"/>
      <c r="G43" s="105"/>
      <c r="H43" s="64"/>
      <c r="I43" s="105"/>
      <c r="K43" s="57"/>
      <c r="L43" s="57"/>
      <c r="N43" s="57"/>
      <c r="O43" s="105"/>
      <c r="P43" s="81"/>
      <c r="Q43" s="57"/>
    </row>
    <row r="44" spans="2:22" ht="14.5" x14ac:dyDescent="0.25">
      <c r="B44" s="106" t="s">
        <v>125</v>
      </c>
      <c r="C44" s="57"/>
      <c r="D44" s="57"/>
      <c r="F44" s="69">
        <f>'Gas parameters'!F12</f>
        <v>40.473999999999997</v>
      </c>
      <c r="G44" s="105" t="s">
        <v>19</v>
      </c>
      <c r="H44" s="64"/>
      <c r="I44" s="105" t="s">
        <v>124</v>
      </c>
      <c r="K44" s="57"/>
      <c r="L44" s="57"/>
      <c r="N44" s="126">
        <v>1.6699999999999999E-5</v>
      </c>
      <c r="O44" s="105" t="s">
        <v>37</v>
      </c>
      <c r="P44" s="81"/>
      <c r="Q44" s="57"/>
    </row>
    <row r="45" spans="2:22" x14ac:dyDescent="0.25">
      <c r="B45" s="106"/>
      <c r="C45" s="57"/>
      <c r="D45" s="57"/>
      <c r="E45" s="57"/>
      <c r="F45" s="105"/>
      <c r="G45" s="65"/>
      <c r="H45" s="64"/>
      <c r="I45" s="64"/>
      <c r="J45" s="64"/>
      <c r="K45" s="64"/>
      <c r="L45" s="64"/>
      <c r="M45" s="64"/>
      <c r="N45" s="64"/>
      <c r="O45" s="64"/>
      <c r="P45" s="81"/>
      <c r="Q45" s="57"/>
    </row>
    <row r="46" spans="2:22" ht="13" x14ac:dyDescent="0.25">
      <c r="B46" s="66"/>
      <c r="C46" s="64"/>
      <c r="D46" s="64"/>
      <c r="E46" s="82" t="s">
        <v>95</v>
      </c>
      <c r="F46" s="65"/>
      <c r="G46" s="65"/>
      <c r="I46" s="82" t="s">
        <v>240</v>
      </c>
      <c r="J46" s="82" t="s">
        <v>112</v>
      </c>
      <c r="K46" s="82" t="s">
        <v>111</v>
      </c>
      <c r="L46" s="64"/>
      <c r="M46" s="82" t="s">
        <v>109</v>
      </c>
      <c r="N46" s="64"/>
      <c r="O46" s="157" t="s">
        <v>108</v>
      </c>
      <c r="P46" s="81"/>
      <c r="Q46" s="57"/>
      <c r="R46" s="57"/>
    </row>
    <row r="47" spans="2:22" s="76" customFormat="1" ht="12.75" customHeight="1" x14ac:dyDescent="0.25">
      <c r="B47" s="78"/>
      <c r="E47" s="80" t="s">
        <v>107</v>
      </c>
      <c r="G47" s="77"/>
      <c r="I47" s="80" t="s">
        <v>241</v>
      </c>
      <c r="J47" s="80" t="s">
        <v>106</v>
      </c>
      <c r="K47" s="80" t="s">
        <v>105</v>
      </c>
      <c r="M47" s="80" t="s">
        <v>103</v>
      </c>
      <c r="O47" s="168" t="s">
        <v>102</v>
      </c>
      <c r="P47" s="79"/>
      <c r="Q47" s="77"/>
      <c r="R47" s="77"/>
    </row>
    <row r="48" spans="2:22" ht="12.75" customHeight="1" x14ac:dyDescent="0.3">
      <c r="B48" s="547" t="str">
        <f>B42</f>
        <v>Diâmetro do orificio medido (Orifice bore Diameter)</v>
      </c>
      <c r="C48" s="548"/>
      <c r="D48" s="64"/>
      <c r="E48" s="71"/>
      <c r="F48" s="65"/>
      <c r="G48" s="65"/>
      <c r="J48" s="75"/>
      <c r="K48" s="64"/>
      <c r="L48" s="65"/>
      <c r="M48" s="65"/>
      <c r="N48" s="65"/>
      <c r="O48" s="65"/>
      <c r="P48" s="67"/>
      <c r="Q48" s="57"/>
      <c r="R48" s="57"/>
    </row>
    <row r="49" spans="2:18" ht="12.75" customHeight="1" x14ac:dyDescent="0.25">
      <c r="B49" s="547"/>
      <c r="C49" s="548"/>
      <c r="D49" s="64"/>
      <c r="E49" s="297">
        <v>0.05</v>
      </c>
      <c r="F49" s="65" t="s">
        <v>6</v>
      </c>
      <c r="G49" s="65"/>
      <c r="I49" s="298">
        <v>2</v>
      </c>
      <c r="J49" s="299" t="s">
        <v>17</v>
      </c>
      <c r="K49" s="300" t="s">
        <v>15</v>
      </c>
      <c r="L49" s="64" t="s">
        <v>6</v>
      </c>
      <c r="M49" s="63">
        <v>1</v>
      </c>
      <c r="N49" s="288" t="s">
        <v>6</v>
      </c>
      <c r="O49" s="63">
        <f>(E49*M49)/I49</f>
        <v>2.5000000000000001E-2</v>
      </c>
      <c r="P49" s="289" t="s">
        <v>6</v>
      </c>
      <c r="Q49" s="57"/>
      <c r="R49" s="57"/>
    </row>
    <row r="50" spans="2:18" ht="12.75" customHeight="1" x14ac:dyDescent="0.25">
      <c r="B50" s="547"/>
      <c r="C50" s="548"/>
      <c r="D50" s="64"/>
      <c r="E50" s="291"/>
      <c r="F50" s="292"/>
      <c r="G50" s="292"/>
      <c r="H50" s="293"/>
      <c r="I50" s="294"/>
      <c r="J50" s="295"/>
      <c r="K50" s="296"/>
      <c r="L50" s="293"/>
      <c r="M50" s="286"/>
      <c r="N50" s="293"/>
      <c r="O50" s="286"/>
      <c r="P50" s="289"/>
      <c r="Q50" s="57"/>
      <c r="R50" s="57"/>
    </row>
    <row r="51" spans="2:18" ht="12.75" customHeight="1" x14ac:dyDescent="0.25">
      <c r="B51" s="301"/>
      <c r="C51" s="109"/>
      <c r="D51" s="64"/>
      <c r="E51" s="99"/>
      <c r="F51" s="65"/>
      <c r="G51" s="65"/>
      <c r="I51" s="82" t="s">
        <v>242</v>
      </c>
      <c r="J51" s="98"/>
      <c r="K51" s="98"/>
      <c r="L51" s="64"/>
      <c r="M51" s="121"/>
      <c r="N51" s="64"/>
      <c r="O51" s="121"/>
      <c r="P51" s="67"/>
      <c r="Q51" s="57"/>
      <c r="R51" s="57"/>
    </row>
    <row r="52" spans="2:18" ht="13" x14ac:dyDescent="0.25">
      <c r="B52" s="549" t="s">
        <v>239</v>
      </c>
      <c r="C52" s="550"/>
      <c r="D52" s="64"/>
      <c r="E52" s="99"/>
      <c r="F52" s="65"/>
      <c r="G52" s="65"/>
      <c r="I52" s="80" t="s">
        <v>242</v>
      </c>
      <c r="J52" s="98"/>
      <c r="K52" s="98"/>
      <c r="L52" s="64"/>
      <c r="M52" s="121"/>
      <c r="N52" s="64"/>
      <c r="O52" s="121"/>
      <c r="P52" s="67"/>
      <c r="Q52" s="57"/>
      <c r="R52" s="57"/>
    </row>
    <row r="53" spans="2:18" ht="15" customHeight="1" x14ac:dyDescent="0.25">
      <c r="B53" s="549"/>
      <c r="C53" s="550"/>
      <c r="D53" s="64"/>
      <c r="E53" s="114">
        <f>F42*N44*(F44-'Meter run parameters'!N42)</f>
        <v>1.2989381241999998E-2</v>
      </c>
      <c r="F53" s="285" t="s">
        <v>6</v>
      </c>
      <c r="G53" s="65"/>
      <c r="I53" s="298">
        <f>SQRT(3)</f>
        <v>1.7320508075688772</v>
      </c>
      <c r="J53" s="299" t="s">
        <v>96</v>
      </c>
      <c r="K53" s="300" t="s">
        <v>15</v>
      </c>
      <c r="L53" s="64" t="s">
        <v>6</v>
      </c>
      <c r="M53" s="63">
        <v>1</v>
      </c>
      <c r="N53" s="290" t="s">
        <v>6</v>
      </c>
      <c r="O53" s="63">
        <f>(E53*M53)/I53</f>
        <v>7.4994227566753746E-3</v>
      </c>
      <c r="P53" s="289" t="s">
        <v>6</v>
      </c>
      <c r="Q53" s="57"/>
      <c r="R53" s="57"/>
    </row>
    <row r="54" spans="2:18" ht="13" x14ac:dyDescent="0.25">
      <c r="B54" s="549"/>
      <c r="C54" s="550"/>
      <c r="D54" s="64"/>
      <c r="E54" s="99"/>
      <c r="F54" s="75"/>
      <c r="G54" s="65"/>
      <c r="J54" s="98"/>
      <c r="K54" s="98"/>
      <c r="L54" s="75"/>
      <c r="M54" s="121"/>
      <c r="N54" s="57"/>
      <c r="O54" s="121"/>
      <c r="P54" s="67"/>
      <c r="Q54" s="57"/>
      <c r="R54" s="57"/>
    </row>
    <row r="55" spans="2:18" ht="13" x14ac:dyDescent="0.25">
      <c r="B55" s="549"/>
      <c r="C55" s="550"/>
      <c r="D55" s="64"/>
      <c r="E55" s="99"/>
      <c r="F55" s="75"/>
      <c r="G55" s="65"/>
      <c r="H55" s="98"/>
      <c r="I55" s="64"/>
      <c r="J55" s="98"/>
      <c r="K55" s="121"/>
      <c r="L55" s="75"/>
      <c r="M55" s="121"/>
      <c r="N55" s="57"/>
      <c r="O55" s="121"/>
      <c r="P55" s="67"/>
      <c r="Q55" s="57"/>
      <c r="R55" s="57"/>
    </row>
    <row r="56" spans="2:18" ht="12.75" hidden="1" customHeight="1" x14ac:dyDescent="0.25">
      <c r="B56" s="547" t="str">
        <f>I42</f>
        <v>Temperatura de referência (Measurement Temperature)</v>
      </c>
      <c r="C56" s="548"/>
      <c r="D56" s="64"/>
      <c r="E56" s="73">
        <v>2</v>
      </c>
      <c r="F56" s="75" t="s">
        <v>19</v>
      </c>
      <c r="G56" s="65"/>
      <c r="H56" s="74" t="s">
        <v>17</v>
      </c>
      <c r="I56" s="64"/>
      <c r="J56" s="108" t="s">
        <v>15</v>
      </c>
      <c r="K56" s="63">
        <f>IF(H56=$B$113,E56,IF(H56=$B$114,E56/2,IF(H56=$B$115,E56/3,E56/SQRT(3))))</f>
        <v>1</v>
      </c>
      <c r="L56" s="75" t="s">
        <v>19</v>
      </c>
      <c r="M56" s="63">
        <f>-F42*N44</f>
        <v>-6.34433E-4</v>
      </c>
      <c r="N56" s="57" t="s">
        <v>38</v>
      </c>
      <c r="O56" s="63">
        <f>(K56*M56)^2</f>
        <v>4.0250523148899999E-7</v>
      </c>
      <c r="P56" s="67" t="s">
        <v>36</v>
      </c>
      <c r="Q56" s="57"/>
      <c r="R56" s="57"/>
    </row>
    <row r="57" spans="2:18" ht="13" hidden="1" x14ac:dyDescent="0.25">
      <c r="B57" s="547"/>
      <c r="C57" s="548"/>
      <c r="D57" s="64"/>
      <c r="E57" s="99"/>
      <c r="F57" s="75"/>
      <c r="G57" s="65"/>
      <c r="H57" s="98"/>
      <c r="I57" s="64"/>
      <c r="J57" s="98"/>
      <c r="K57" s="98"/>
      <c r="L57" s="75"/>
      <c r="M57" s="121"/>
      <c r="N57" s="57"/>
      <c r="O57" s="121"/>
      <c r="P57" s="67"/>
      <c r="Q57" s="57"/>
      <c r="R57" s="57"/>
    </row>
    <row r="58" spans="2:18" ht="12.75" hidden="1" customHeight="1" x14ac:dyDescent="0.25">
      <c r="B58" s="547" t="str">
        <f>I44</f>
        <v>Coeficiente de exp. Térmica (Thermal coefficient)</v>
      </c>
      <c r="C58" s="548"/>
      <c r="D58" s="64"/>
      <c r="E58" s="69">
        <f>N44*0.01</f>
        <v>1.67E-7</v>
      </c>
      <c r="F58" s="75" t="s">
        <v>37</v>
      </c>
      <c r="G58" s="65"/>
      <c r="H58" s="74" t="s">
        <v>17</v>
      </c>
      <c r="I58" s="64"/>
      <c r="J58" s="108" t="s">
        <v>15</v>
      </c>
      <c r="K58" s="122">
        <f>IF(H58=$B$113,E58,IF(H58=$B$114,E58/2,IF(H58=$B$115,E58/3,E58/SQRT(3))))</f>
        <v>8.35E-8</v>
      </c>
      <c r="L58" s="75" t="s">
        <v>37</v>
      </c>
      <c r="M58" s="114">
        <f>F42*(F44-N42)</f>
        <v>777.80725999999993</v>
      </c>
      <c r="N58" s="57" t="s">
        <v>39</v>
      </c>
      <c r="O58" s="63">
        <f>(K58*M58)^2</f>
        <v>4.2181006262505361E-9</v>
      </c>
      <c r="P58" s="67" t="s">
        <v>36</v>
      </c>
      <c r="Q58" s="57"/>
      <c r="R58" s="57"/>
    </row>
    <row r="59" spans="2:18" ht="14.5" hidden="1" x14ac:dyDescent="0.3">
      <c r="B59" s="547"/>
      <c r="C59" s="548"/>
      <c r="D59" s="64"/>
      <c r="E59" s="71"/>
      <c r="F59" s="72"/>
      <c r="G59" s="65"/>
      <c r="H59" s="64"/>
      <c r="I59" s="64"/>
      <c r="J59" s="64"/>
      <c r="K59" s="71"/>
      <c r="L59" s="65"/>
      <c r="M59" s="65"/>
      <c r="N59" s="65"/>
      <c r="O59" s="120"/>
      <c r="P59" s="67"/>
      <c r="Q59" s="57"/>
      <c r="R59" s="57"/>
    </row>
    <row r="60" spans="2:18" ht="12.75" customHeight="1" x14ac:dyDescent="0.25">
      <c r="B60" s="66"/>
      <c r="C60" s="64"/>
      <c r="D60" s="64"/>
      <c r="E60" s="64"/>
      <c r="F60" s="64"/>
      <c r="G60" s="64"/>
      <c r="H60" s="65" t="s">
        <v>101</v>
      </c>
      <c r="J60" s="65"/>
      <c r="K60" s="65"/>
      <c r="L60" s="64"/>
      <c r="M60" s="64"/>
      <c r="N60" s="64"/>
      <c r="O60" s="63">
        <f>SUM(O49:O58)</f>
        <v>3.2499829480007493E-2</v>
      </c>
      <c r="P60" s="289" t="s">
        <v>6</v>
      </c>
      <c r="Q60" s="57"/>
      <c r="R60" s="90"/>
    </row>
    <row r="61" spans="2:18" ht="7" customHeight="1" x14ac:dyDescent="0.25">
      <c r="B61" s="66"/>
      <c r="C61" s="64"/>
      <c r="D61" s="64"/>
      <c r="E61" s="64"/>
      <c r="F61" s="64"/>
      <c r="G61" s="64"/>
      <c r="H61" s="65"/>
      <c r="J61" s="64"/>
      <c r="K61" s="65"/>
      <c r="L61" s="64"/>
      <c r="M61" s="64"/>
      <c r="N61" s="64"/>
      <c r="O61" s="120"/>
      <c r="P61" s="67"/>
      <c r="Q61" s="57"/>
      <c r="R61" s="57"/>
    </row>
    <row r="62" spans="2:18" ht="12.75" customHeight="1" x14ac:dyDescent="0.25">
      <c r="B62" s="66"/>
      <c r="C62" s="64"/>
      <c r="D62" s="64"/>
      <c r="E62" s="64"/>
      <c r="F62" s="64"/>
      <c r="G62" s="64"/>
      <c r="H62" s="65" t="s">
        <v>100</v>
      </c>
      <c r="J62" s="64"/>
      <c r="K62" s="64"/>
      <c r="L62" s="64"/>
      <c r="M62" s="64"/>
      <c r="N62" s="64"/>
      <c r="O62" s="63">
        <f>SQRT(O60)</f>
        <v>0.18027709083521259</v>
      </c>
      <c r="P62" s="67" t="s">
        <v>6</v>
      </c>
      <c r="Q62" s="57"/>
      <c r="R62" s="57"/>
    </row>
    <row r="63" spans="2:18" ht="7" customHeight="1" x14ac:dyDescent="0.25">
      <c r="B63" s="66"/>
      <c r="C63" s="64"/>
      <c r="D63" s="64"/>
      <c r="E63" s="64"/>
      <c r="F63" s="64"/>
      <c r="G63" s="64"/>
      <c r="H63" s="65"/>
      <c r="J63" s="64"/>
      <c r="K63" s="65"/>
      <c r="L63" s="64"/>
      <c r="M63" s="64"/>
      <c r="N63" s="64"/>
      <c r="O63" s="120"/>
      <c r="P63" s="67"/>
      <c r="Q63" s="57"/>
      <c r="R63" s="57"/>
    </row>
    <row r="64" spans="2:18" x14ac:dyDescent="0.25">
      <c r="B64" s="66"/>
      <c r="C64" s="64"/>
      <c r="D64" s="64"/>
      <c r="E64" s="64"/>
      <c r="F64" s="64"/>
      <c r="G64" s="64"/>
      <c r="H64" s="65" t="s">
        <v>99</v>
      </c>
      <c r="J64" s="64"/>
      <c r="K64" s="64"/>
      <c r="L64" s="64"/>
      <c r="M64" s="64"/>
      <c r="N64" s="64"/>
      <c r="O64" s="63">
        <f>O62*2</f>
        <v>0.36055418167042519</v>
      </c>
      <c r="P64" s="67" t="s">
        <v>6</v>
      </c>
      <c r="Q64" s="57"/>
      <c r="R64" s="57"/>
    </row>
    <row r="65" spans="2:18" ht="7" customHeight="1" x14ac:dyDescent="0.25">
      <c r="B65" s="66"/>
      <c r="C65" s="64"/>
      <c r="D65" s="64"/>
      <c r="E65" s="64"/>
      <c r="F65" s="64"/>
      <c r="G65" s="64"/>
      <c r="H65" s="65"/>
      <c r="J65" s="64"/>
      <c r="K65" s="65"/>
      <c r="L65" s="64"/>
      <c r="M65" s="64"/>
      <c r="N65" s="64"/>
      <c r="O65" s="120"/>
      <c r="P65" s="67"/>
      <c r="Q65" s="57"/>
      <c r="R65" s="57"/>
    </row>
    <row r="66" spans="2:18" x14ac:dyDescent="0.25">
      <c r="B66" s="66"/>
      <c r="C66" s="64"/>
      <c r="D66" s="64"/>
      <c r="E66" s="64"/>
      <c r="F66" s="64"/>
      <c r="G66" s="64"/>
      <c r="H66" s="65" t="s">
        <v>123</v>
      </c>
      <c r="J66" s="64"/>
      <c r="K66" s="64"/>
      <c r="L66" s="64"/>
      <c r="M66" s="64"/>
      <c r="N66" s="64"/>
      <c r="O66" s="114">
        <f>F42</f>
        <v>37.99</v>
      </c>
      <c r="P66" s="67" t="s">
        <v>6</v>
      </c>
      <c r="Q66" s="57"/>
      <c r="R66" s="57"/>
    </row>
    <row r="67" spans="2:18" ht="7" customHeight="1" x14ac:dyDescent="0.25">
      <c r="B67" s="66"/>
      <c r="C67" s="64"/>
      <c r="D67" s="64"/>
      <c r="E67" s="64"/>
      <c r="F67" s="64"/>
      <c r="G67" s="64"/>
      <c r="H67" s="65"/>
      <c r="J67" s="64"/>
      <c r="K67" s="65"/>
      <c r="L67" s="64"/>
      <c r="M67" s="64"/>
      <c r="N67" s="64"/>
      <c r="O67" s="120"/>
      <c r="P67" s="67"/>
      <c r="Q67" s="57"/>
      <c r="R67" s="57"/>
    </row>
    <row r="68" spans="2:18" x14ac:dyDescent="0.25">
      <c r="B68" s="66"/>
      <c r="C68" s="64"/>
      <c r="D68" s="64"/>
      <c r="E68" s="64"/>
      <c r="F68" s="64"/>
      <c r="G68" s="64"/>
      <c r="H68" s="65" t="s">
        <v>98</v>
      </c>
      <c r="J68" s="64"/>
      <c r="K68" s="64"/>
      <c r="L68" s="64"/>
      <c r="M68" s="64"/>
      <c r="N68" s="64"/>
      <c r="O68" s="63">
        <f>O64/O66*100</f>
        <v>0.94907655085660747</v>
      </c>
      <c r="P68" s="67" t="s">
        <v>8</v>
      </c>
    </row>
    <row r="69" spans="2:18" ht="7" customHeight="1" x14ac:dyDescent="0.25">
      <c r="B69" s="61"/>
      <c r="C69" s="60"/>
      <c r="D69" s="60"/>
      <c r="E69" s="60"/>
      <c r="F69" s="60"/>
      <c r="G69" s="60"/>
      <c r="H69" s="59"/>
      <c r="I69" s="56"/>
      <c r="J69" s="60"/>
      <c r="K69" s="59"/>
      <c r="L69" s="60"/>
      <c r="M69" s="60"/>
      <c r="N69" s="60"/>
      <c r="O69" s="123"/>
      <c r="P69" s="58"/>
      <c r="Q69" s="57"/>
      <c r="R69" s="57"/>
    </row>
    <row r="70" spans="2:18" x14ac:dyDescent="0.25">
      <c r="G70" s="65"/>
      <c r="Q70" s="57"/>
      <c r="R70" s="57"/>
    </row>
    <row r="71" spans="2:18" ht="14.5" x14ac:dyDescent="0.35">
      <c r="B71" s="107" t="s">
        <v>122</v>
      </c>
      <c r="C71" s="85"/>
      <c r="D71" s="85"/>
      <c r="E71" s="87"/>
      <c r="F71" s="86"/>
      <c r="G71" s="86"/>
      <c r="H71" s="85"/>
      <c r="I71" s="85"/>
      <c r="J71" s="85"/>
      <c r="K71" s="85"/>
      <c r="L71" s="85"/>
      <c r="M71" s="85"/>
      <c r="N71" s="85"/>
      <c r="O71" s="85"/>
      <c r="P71" s="84"/>
      <c r="Q71" s="57"/>
    </row>
    <row r="72" spans="2:18" x14ac:dyDescent="0.25">
      <c r="B72" s="70"/>
      <c r="C72" s="64"/>
      <c r="D72" s="64"/>
      <c r="E72" s="83"/>
      <c r="F72" s="65"/>
      <c r="G72" s="65"/>
      <c r="H72" s="64"/>
      <c r="I72" s="64"/>
      <c r="J72" s="64"/>
      <c r="K72" s="64"/>
      <c r="L72" s="64"/>
      <c r="M72" s="64"/>
      <c r="N72" s="64"/>
      <c r="O72" s="64"/>
      <c r="P72" s="81"/>
      <c r="Q72" s="57"/>
    </row>
    <row r="73" spans="2:18" x14ac:dyDescent="0.25">
      <c r="B73" s="106" t="s">
        <v>121</v>
      </c>
      <c r="C73" s="57"/>
      <c r="D73" s="57"/>
      <c r="F73" s="69">
        <f>F12</f>
        <v>87.76</v>
      </c>
      <c r="G73" s="105" t="s">
        <v>6</v>
      </c>
      <c r="H73" s="64"/>
      <c r="I73" s="105" t="s">
        <v>120</v>
      </c>
      <c r="J73" s="57"/>
      <c r="K73" s="57"/>
      <c r="N73" s="114">
        <f>F42</f>
        <v>37.99</v>
      </c>
      <c r="O73" s="105" t="s">
        <v>6</v>
      </c>
      <c r="P73" s="81"/>
      <c r="Q73" s="57"/>
    </row>
    <row r="74" spans="2:18" x14ac:dyDescent="0.25">
      <c r="B74" s="106"/>
      <c r="C74" s="57"/>
      <c r="D74" s="57"/>
      <c r="F74" s="57"/>
      <c r="G74" s="105"/>
      <c r="H74" s="64"/>
      <c r="I74" s="105"/>
      <c r="K74" s="57"/>
      <c r="L74" s="57"/>
      <c r="N74" s="57"/>
      <c r="O74" s="105"/>
      <c r="P74" s="81"/>
      <c r="Q74" s="57"/>
    </row>
    <row r="75" spans="2:18" x14ac:dyDescent="0.25">
      <c r="B75" s="106"/>
      <c r="C75" s="57"/>
      <c r="D75" s="57"/>
      <c r="E75" s="57"/>
      <c r="F75" s="105"/>
      <c r="G75" s="65"/>
      <c r="H75" s="64"/>
      <c r="I75" s="64"/>
      <c r="J75" s="64"/>
      <c r="K75" s="64"/>
      <c r="L75" s="64"/>
      <c r="M75" s="64"/>
      <c r="N75" s="64"/>
      <c r="O75" s="64"/>
      <c r="P75" s="81"/>
      <c r="Q75" s="57"/>
    </row>
    <row r="76" spans="2:18" ht="13" x14ac:dyDescent="0.25">
      <c r="B76" s="66"/>
      <c r="C76" s="64"/>
      <c r="D76" s="64"/>
      <c r="E76" s="82" t="s">
        <v>95</v>
      </c>
      <c r="F76" s="65"/>
      <c r="G76" s="65"/>
      <c r="H76" s="82" t="s">
        <v>112</v>
      </c>
      <c r="I76" s="64"/>
      <c r="J76" s="82"/>
      <c r="K76" s="82" t="s">
        <v>110</v>
      </c>
      <c r="L76" s="64"/>
      <c r="M76" s="82" t="s">
        <v>109</v>
      </c>
      <c r="N76" s="64"/>
      <c r="O76" s="82" t="s">
        <v>108</v>
      </c>
      <c r="P76" s="81"/>
      <c r="Q76" s="57"/>
      <c r="R76" s="57"/>
    </row>
    <row r="77" spans="2:18" s="76" customFormat="1" ht="12.75" customHeight="1" x14ac:dyDescent="0.25">
      <c r="B77" s="78"/>
      <c r="E77" s="80" t="s">
        <v>107</v>
      </c>
      <c r="G77" s="77"/>
      <c r="H77" s="80" t="s">
        <v>106</v>
      </c>
      <c r="J77" s="80"/>
      <c r="K77" s="80" t="s">
        <v>104</v>
      </c>
      <c r="M77" s="80" t="s">
        <v>103</v>
      </c>
      <c r="O77" s="80" t="s">
        <v>102</v>
      </c>
      <c r="P77" s="79"/>
      <c r="Q77" s="77"/>
      <c r="R77" s="77"/>
    </row>
    <row r="78" spans="2:18" ht="12.75" customHeight="1" x14ac:dyDescent="0.3">
      <c r="B78" s="66"/>
      <c r="C78" s="64"/>
      <c r="D78" s="64"/>
      <c r="E78" s="71"/>
      <c r="F78" s="65"/>
      <c r="G78" s="65"/>
      <c r="H78" s="75"/>
      <c r="I78" s="64"/>
      <c r="J78" s="64"/>
      <c r="K78" s="71"/>
      <c r="L78" s="65"/>
      <c r="M78" s="65"/>
      <c r="N78" s="65"/>
      <c r="O78" s="65"/>
      <c r="P78" s="67"/>
      <c r="Q78" s="57"/>
      <c r="R78" s="57"/>
    </row>
    <row r="79" spans="2:18" ht="12.75" customHeight="1" x14ac:dyDescent="0.25">
      <c r="B79" s="547" t="str">
        <f>B73</f>
        <v>Diâmetro interno da tubulação (Pipe Internal Diameter)</v>
      </c>
      <c r="C79" s="548"/>
      <c r="D79" s="64"/>
      <c r="E79" s="63">
        <f>O33</f>
        <v>0.4113360166052959</v>
      </c>
      <c r="F79" s="65" t="s">
        <v>6</v>
      </c>
      <c r="G79" s="65"/>
      <c r="H79" s="103" t="s">
        <v>17</v>
      </c>
      <c r="I79" s="64"/>
      <c r="J79" s="98"/>
      <c r="K79" s="63">
        <f>E79/2</f>
        <v>0.20566800830264795</v>
      </c>
      <c r="L79" s="64" t="s">
        <v>6</v>
      </c>
      <c r="M79" s="63">
        <f>-N73/F73^2</f>
        <v>-4.9326018834826724E-3</v>
      </c>
      <c r="N79" s="64"/>
      <c r="O79" s="104">
        <f>(K79*M79)^2</f>
        <v>1.0291664344665282E-6</v>
      </c>
      <c r="P79" s="67"/>
      <c r="Q79" s="57"/>
      <c r="R79" s="57"/>
    </row>
    <row r="80" spans="2:18" ht="12.75" customHeight="1" x14ac:dyDescent="0.25">
      <c r="B80" s="547"/>
      <c r="C80" s="548"/>
      <c r="D80" s="64"/>
      <c r="E80" s="124"/>
      <c r="F80" s="65"/>
      <c r="G80" s="65"/>
      <c r="H80" s="98"/>
      <c r="I80" s="64"/>
      <c r="J80" s="98"/>
      <c r="K80" s="121"/>
      <c r="L80" s="64"/>
      <c r="M80" s="121"/>
      <c r="N80" s="64"/>
      <c r="O80" s="117"/>
      <c r="P80" s="67"/>
      <c r="Q80" s="57"/>
      <c r="R80" s="57"/>
    </row>
    <row r="81" spans="2:18" ht="12.75" customHeight="1" x14ac:dyDescent="0.25">
      <c r="B81" s="547" t="str">
        <f>I73</f>
        <v>Diâmetro do orificio medido (Orifice bore Diameter)</v>
      </c>
      <c r="C81" s="548"/>
      <c r="D81" s="64"/>
      <c r="E81" s="63">
        <f>O64</f>
        <v>0.36055418167042519</v>
      </c>
      <c r="F81" s="75" t="s">
        <v>6</v>
      </c>
      <c r="G81" s="65"/>
      <c r="H81" s="103" t="s">
        <v>17</v>
      </c>
      <c r="I81" s="64"/>
      <c r="J81" s="98"/>
      <c r="K81" s="63">
        <f>IF(H81=$B$113,E81,IF(H81=$B$114,E81/2,IF(H81=$B$115,E81/3,E81/SQRT(3))))</f>
        <v>0.18027709083521259</v>
      </c>
      <c r="L81" s="75" t="s">
        <v>6</v>
      </c>
      <c r="M81" s="63">
        <f>1/F73</f>
        <v>1.1394712853236098E-2</v>
      </c>
      <c r="N81" s="57"/>
      <c r="O81" s="104">
        <f>(K81*M81)^2</f>
        <v>4.2197609925230494E-6</v>
      </c>
      <c r="P81" s="67"/>
      <c r="Q81" s="57"/>
      <c r="R81" s="57"/>
    </row>
    <row r="82" spans="2:18" ht="12.75" customHeight="1" x14ac:dyDescent="0.25">
      <c r="B82" s="547"/>
      <c r="C82" s="548"/>
      <c r="D82" s="64"/>
      <c r="E82" s="99"/>
      <c r="F82" s="75"/>
      <c r="G82" s="65"/>
      <c r="H82" s="98"/>
      <c r="I82" s="64"/>
      <c r="J82" s="98"/>
      <c r="K82" s="98"/>
      <c r="L82" s="75"/>
      <c r="M82" s="98"/>
      <c r="N82" s="57"/>
      <c r="O82" s="117"/>
      <c r="P82" s="67"/>
      <c r="Q82" s="57"/>
      <c r="R82" s="57"/>
    </row>
    <row r="83" spans="2:18" ht="12.75" hidden="1" customHeight="1" x14ac:dyDescent="0.25">
      <c r="B83" s="101"/>
      <c r="C83" s="100"/>
      <c r="D83" s="64"/>
      <c r="E83" s="99"/>
      <c r="F83" s="75"/>
      <c r="G83" s="65"/>
      <c r="H83" s="64" t="s">
        <v>119</v>
      </c>
      <c r="J83" s="102"/>
      <c r="K83" s="98"/>
      <c r="L83" s="75"/>
      <c r="M83" s="98"/>
      <c r="N83" s="57"/>
      <c r="O83" s="104"/>
      <c r="P83" s="67"/>
      <c r="Q83" s="57"/>
      <c r="R83" s="57"/>
    </row>
    <row r="84" spans="2:18" ht="12.75" hidden="1" customHeight="1" x14ac:dyDescent="0.25">
      <c r="B84" s="101"/>
      <c r="C84" s="100"/>
      <c r="D84" s="64"/>
      <c r="E84" s="99"/>
      <c r="F84" s="75"/>
      <c r="G84" s="65"/>
      <c r="H84" s="64"/>
      <c r="I84" s="64"/>
      <c r="J84" s="64"/>
      <c r="K84" s="98"/>
      <c r="L84" s="75"/>
      <c r="M84" s="98"/>
      <c r="N84" s="57"/>
      <c r="O84" s="117"/>
      <c r="P84" s="67"/>
      <c r="Q84" s="57"/>
      <c r="R84" s="57"/>
    </row>
    <row r="85" spans="2:18" ht="12.75" customHeight="1" x14ac:dyDescent="0.25">
      <c r="B85" s="66"/>
      <c r="C85" s="64"/>
      <c r="D85" s="64"/>
      <c r="E85" s="64"/>
      <c r="F85" s="64"/>
      <c r="G85" s="64"/>
      <c r="H85" s="65" t="s">
        <v>101</v>
      </c>
      <c r="J85" s="65"/>
      <c r="K85" s="65"/>
      <c r="L85" s="64"/>
      <c r="M85" s="64"/>
      <c r="N85" s="64"/>
      <c r="O85" s="104">
        <f>SUM(O79:O83)</f>
        <v>5.2489274269895776E-6</v>
      </c>
      <c r="P85" s="67"/>
      <c r="Q85" s="57"/>
      <c r="R85" s="90"/>
    </row>
    <row r="86" spans="2:18" ht="7" customHeight="1" x14ac:dyDescent="0.25">
      <c r="B86" s="66"/>
      <c r="C86" s="64"/>
      <c r="D86" s="64"/>
      <c r="E86" s="64"/>
      <c r="F86" s="64"/>
      <c r="G86" s="64"/>
      <c r="H86" s="65"/>
      <c r="J86" s="64"/>
      <c r="K86" s="65"/>
      <c r="L86" s="64"/>
      <c r="M86" s="64"/>
      <c r="N86" s="64"/>
      <c r="O86" s="125"/>
      <c r="P86" s="67"/>
      <c r="Q86" s="57"/>
      <c r="R86" s="57"/>
    </row>
    <row r="87" spans="2:18" ht="12.75" customHeight="1" x14ac:dyDescent="0.25">
      <c r="B87" s="66"/>
      <c r="C87" s="64"/>
      <c r="D87" s="64"/>
      <c r="E87" s="64"/>
      <c r="F87" s="64"/>
      <c r="G87" s="64"/>
      <c r="H87" s="65" t="s">
        <v>100</v>
      </c>
      <c r="J87" s="64"/>
      <c r="K87" s="64"/>
      <c r="L87" s="64"/>
      <c r="M87" s="64"/>
      <c r="N87" s="64"/>
      <c r="O87" s="63">
        <f>SQRT(O85)</f>
        <v>2.2910537809029225E-3</v>
      </c>
      <c r="P87" s="67"/>
      <c r="Q87" s="57"/>
      <c r="R87" s="57"/>
    </row>
    <row r="88" spans="2:18" ht="7" customHeight="1" x14ac:dyDescent="0.25">
      <c r="B88" s="66"/>
      <c r="C88" s="64"/>
      <c r="D88" s="64"/>
      <c r="E88" s="64"/>
      <c r="F88" s="64"/>
      <c r="G88" s="64"/>
      <c r="H88" s="65"/>
      <c r="J88" s="64"/>
      <c r="K88" s="65"/>
      <c r="L88" s="64"/>
      <c r="M88" s="64"/>
      <c r="N88" s="64"/>
      <c r="O88" s="125"/>
      <c r="P88" s="67"/>
      <c r="Q88" s="57"/>
      <c r="R88" s="57"/>
    </row>
    <row r="89" spans="2:18" x14ac:dyDescent="0.25">
      <c r="B89" s="66"/>
      <c r="C89" s="64"/>
      <c r="D89" s="64"/>
      <c r="E89" s="64"/>
      <c r="F89" s="64"/>
      <c r="G89" s="64"/>
      <c r="H89" s="65" t="s">
        <v>99</v>
      </c>
      <c r="J89" s="64"/>
      <c r="K89" s="64"/>
      <c r="L89" s="64"/>
      <c r="M89" s="64"/>
      <c r="N89" s="64"/>
      <c r="O89" s="63">
        <f>O87*2</f>
        <v>4.5821075618058451E-3</v>
      </c>
      <c r="P89" s="67"/>
      <c r="Q89" s="57"/>
      <c r="R89" s="57"/>
    </row>
    <row r="90" spans="2:18" ht="7" customHeight="1" x14ac:dyDescent="0.25">
      <c r="B90" s="66"/>
      <c r="C90" s="64"/>
      <c r="D90" s="64"/>
      <c r="E90" s="64"/>
      <c r="F90" s="64"/>
      <c r="G90" s="64"/>
      <c r="H90" s="65"/>
      <c r="J90" s="64"/>
      <c r="K90" s="65"/>
      <c r="L90" s="64"/>
      <c r="M90" s="64"/>
      <c r="N90" s="64"/>
      <c r="O90" s="125"/>
      <c r="P90" s="67"/>
      <c r="Q90" s="57"/>
      <c r="R90" s="57"/>
    </row>
    <row r="91" spans="2:18" x14ac:dyDescent="0.25">
      <c r="B91" s="66"/>
      <c r="C91" s="64"/>
      <c r="D91" s="64"/>
      <c r="E91" s="64"/>
      <c r="F91" s="64"/>
      <c r="G91" s="64"/>
      <c r="H91" s="65" t="str">
        <f>B71</f>
        <v>Razão Beta (Beta) - β</v>
      </c>
      <c r="J91" s="64"/>
      <c r="K91" s="64"/>
      <c r="L91" s="64"/>
      <c r="M91" s="64"/>
      <c r="N91" s="64"/>
      <c r="O91" s="114">
        <f>N73/F73</f>
        <v>0.43288514129443939</v>
      </c>
      <c r="P91" s="67"/>
      <c r="Q91" s="57"/>
      <c r="R91" s="57"/>
    </row>
    <row r="92" spans="2:18" ht="7" customHeight="1" x14ac:dyDescent="0.25">
      <c r="B92" s="66"/>
      <c r="C92" s="64"/>
      <c r="D92" s="64"/>
      <c r="E92" s="64"/>
      <c r="F92" s="64"/>
      <c r="G92" s="64"/>
      <c r="H92" s="65"/>
      <c r="J92" s="64"/>
      <c r="K92" s="65"/>
      <c r="L92" s="64"/>
      <c r="M92" s="64"/>
      <c r="N92" s="64"/>
      <c r="O92" s="125"/>
      <c r="P92" s="67"/>
      <c r="Q92" s="57"/>
      <c r="R92" s="57"/>
    </row>
    <row r="93" spans="2:18" x14ac:dyDescent="0.25">
      <c r="B93" s="66"/>
      <c r="C93" s="64"/>
      <c r="D93" s="64"/>
      <c r="E93" s="64"/>
      <c r="F93" s="64"/>
      <c r="G93" s="64"/>
      <c r="H93" s="65" t="s">
        <v>98</v>
      </c>
      <c r="J93" s="64"/>
      <c r="K93" s="64"/>
      <c r="L93" s="64"/>
      <c r="M93" s="64"/>
      <c r="N93" s="64"/>
      <c r="O93" s="63">
        <f>O89/O91*100</f>
        <v>1.0585042369678361</v>
      </c>
      <c r="P93" s="67" t="s">
        <v>8</v>
      </c>
    </row>
    <row r="94" spans="2:18" ht="7" customHeight="1" x14ac:dyDescent="0.25">
      <c r="B94" s="61"/>
      <c r="C94" s="60"/>
      <c r="D94" s="60"/>
      <c r="E94" s="60"/>
      <c r="F94" s="60"/>
      <c r="G94" s="60"/>
      <c r="H94" s="59"/>
      <c r="I94" s="56"/>
      <c r="J94" s="60"/>
      <c r="K94" s="59"/>
      <c r="L94" s="60"/>
      <c r="M94" s="60"/>
      <c r="N94" s="60"/>
      <c r="O94" s="59"/>
      <c r="P94" s="58"/>
      <c r="Q94" s="57"/>
      <c r="R94" s="57"/>
    </row>
    <row r="96" spans="2:18" hidden="1" x14ac:dyDescent="0.25">
      <c r="B96" s="55" t="s">
        <v>97</v>
      </c>
    </row>
    <row r="97" spans="2:16" ht="13" hidden="1" x14ac:dyDescent="0.3">
      <c r="B97" s="142" t="s">
        <v>231</v>
      </c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</row>
    <row r="98" spans="2:16" ht="13" hidden="1" x14ac:dyDescent="0.3">
      <c r="B98" s="142" t="s">
        <v>232</v>
      </c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</row>
    <row r="99" spans="2:16" hidden="1" x14ac:dyDescent="0.25"/>
    <row r="113" spans="2:3" x14ac:dyDescent="0.25">
      <c r="B113" s="6" t="s">
        <v>7</v>
      </c>
      <c r="C113" s="6"/>
    </row>
    <row r="114" spans="2:3" x14ac:dyDescent="0.25">
      <c r="B114" s="6" t="s">
        <v>17</v>
      </c>
      <c r="C114" s="6"/>
    </row>
    <row r="115" spans="2:3" x14ac:dyDescent="0.25">
      <c r="B115" s="6" t="s">
        <v>18</v>
      </c>
      <c r="C115" s="6" t="s">
        <v>16</v>
      </c>
    </row>
    <row r="116" spans="2:3" x14ac:dyDescent="0.25">
      <c r="B116" s="2" t="s">
        <v>96</v>
      </c>
      <c r="C116" s="6" t="s">
        <v>15</v>
      </c>
    </row>
  </sheetData>
  <mergeCells count="13">
    <mergeCell ref="B81:C82"/>
    <mergeCell ref="B23:C24"/>
    <mergeCell ref="B25:C26"/>
    <mergeCell ref="B27:C28"/>
    <mergeCell ref="B79:C80"/>
    <mergeCell ref="B5:P5"/>
    <mergeCell ref="B6:P6"/>
    <mergeCell ref="B8:P8"/>
    <mergeCell ref="B56:C57"/>
    <mergeCell ref="B58:C59"/>
    <mergeCell ref="B18:C20"/>
    <mergeCell ref="B48:C50"/>
    <mergeCell ref="B52:C55"/>
  </mergeCells>
  <dataValidations count="7">
    <dataValidation type="decimal" operator="greaterThanOrEqual" allowBlank="1" showInputMessage="1" showErrorMessage="1" errorTitle="Out of range" error="Temperatures have to be above -273 °C" sqref="E59 E28" xr:uid="{00000000-0002-0000-0200-000000000000}">
      <formula1>-273</formula1>
    </dataValidation>
    <dataValidation type="decimal" operator="greaterThan" allowBlank="1" showInputMessage="1" showErrorMessage="1" errorTitle="Out of range" error="Temperatures have to be above -273 °C" sqref="N42 N12" xr:uid="{00000000-0002-0000-0200-000001000000}">
      <formula1>-273</formula1>
    </dataValidation>
    <dataValidation type="list" allowBlank="1" showInputMessage="1" showErrorMessage="1" sqref="K19:K20 K27 K23 J56 J58 K25 K49:K50 K53" xr:uid="{00000000-0002-0000-0200-000002000000}">
      <formula1>$C$115:$C$116</formula1>
    </dataValidation>
    <dataValidation type="list" allowBlank="1" showInputMessage="1" showErrorMessage="1" sqref="J19:J20 J27 J23 H56 H58 J25 J49:J50 J53" xr:uid="{00000000-0002-0000-0200-000003000000}">
      <formula1>$B$113:$B$116</formula1>
    </dataValidation>
    <dataValidation type="list" allowBlank="1" showInputMessage="1" showErrorMessage="1" sqref="J83" xr:uid="{00000000-0002-0000-0200-000004000000}">
      <formula1>#REF!</formula1>
    </dataValidation>
    <dataValidation type="decimal" operator="greaterThanOrEqual" allowBlank="1" showInputMessage="1" showErrorMessage="1" errorTitle="Out of range" error="Uncertainties cannot be negative" sqref="E79:E84 E49:E58 E19:E27" xr:uid="{00000000-0002-0000-0200-000005000000}">
      <formula1>0</formula1>
    </dataValidation>
    <dataValidation type="decimal" operator="greaterThan" allowBlank="1" showInputMessage="1" showErrorMessage="1" errorTitle="Out of range" error="Input has to be positive" sqref="K78 E78 F73 K59 N14 N44 E48 K28 E18 F12 F42" xr:uid="{00000000-0002-0000-0200-000006000000}">
      <formula1>0</formula1>
    </dataValidation>
  </dataValidations>
  <printOptions horizontalCentered="1"/>
  <pageMargins left="0.19685039370078741" right="0.19685039370078741" top="0.43307086614173229" bottom="0.59055118110236227" header="0.19685039370078741" footer="0.19685039370078741"/>
  <pageSetup paperSize="9" scale="60" orientation="portrait" r:id="rId1"/>
  <headerFooter alignWithMargins="0">
    <oddFooter>Página &amp;P de &amp;N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1">
    <pageSetUpPr autoPageBreaks="0" fitToPage="1"/>
  </sheetPr>
  <dimension ref="A1:W138"/>
  <sheetViews>
    <sheetView view="pageBreakPreview" topLeftCell="A21" zoomScale="115" zoomScaleNormal="100" zoomScaleSheetLayoutView="115" workbookViewId="0">
      <selection activeCell="F69" sqref="F69"/>
    </sheetView>
  </sheetViews>
  <sheetFormatPr defaultColWidth="9.1796875" defaultRowHeight="13" x14ac:dyDescent="0.3"/>
  <cols>
    <col min="1" max="1" width="1.81640625" style="55" customWidth="1"/>
    <col min="2" max="2" width="27.54296875" style="128" customWidth="1"/>
    <col min="3" max="3" width="7.54296875" style="128" customWidth="1"/>
    <col min="4" max="4" width="3.453125" style="128" customWidth="1"/>
    <col min="5" max="5" width="8.1796875" style="128" customWidth="1"/>
    <col min="6" max="6" width="9.81640625" style="128" customWidth="1"/>
    <col min="7" max="7" width="5.453125" style="128" customWidth="1"/>
    <col min="8" max="8" width="15.54296875" style="128" customWidth="1"/>
    <col min="9" max="9" width="6" style="128" customWidth="1"/>
    <col min="10" max="10" width="10.453125" style="128" customWidth="1"/>
    <col min="11" max="11" width="10.81640625" style="128" customWidth="1"/>
    <col min="12" max="12" width="8" style="128" customWidth="1"/>
    <col min="13" max="13" width="9.81640625" style="128" customWidth="1"/>
    <col min="14" max="14" width="11.453125" style="128" customWidth="1"/>
    <col min="15" max="15" width="10.1796875" style="128" customWidth="1"/>
    <col min="16" max="16" width="7.1796875" style="128" customWidth="1"/>
    <col min="17" max="17" width="1.453125" style="55" customWidth="1"/>
    <col min="18" max="18" width="9.1796875" style="55"/>
    <col min="19" max="19" width="21" style="55" bestFit="1" customWidth="1"/>
    <col min="20" max="20" width="23.453125" style="55" bestFit="1" customWidth="1"/>
    <col min="21" max="21" width="3.1796875" style="55" customWidth="1"/>
    <col min="22" max="22" width="9.1796875" style="55"/>
    <col min="23" max="23" width="9.453125" style="55" bestFit="1" customWidth="1"/>
    <col min="24" max="16384" width="9.1796875" style="55"/>
  </cols>
  <sheetData>
    <row r="1" spans="1:22" ht="22.5" customHeight="1" x14ac:dyDescent="0.3">
      <c r="B1" s="129"/>
      <c r="C1" s="130"/>
      <c r="D1" s="130"/>
      <c r="E1" s="130"/>
      <c r="F1" s="131"/>
      <c r="G1" s="132"/>
      <c r="H1" s="131"/>
      <c r="I1" s="131"/>
      <c r="J1" s="133"/>
      <c r="K1" s="134"/>
      <c r="L1" s="131"/>
      <c r="M1" s="131"/>
      <c r="N1" s="131"/>
      <c r="O1" s="131"/>
      <c r="P1" s="135"/>
      <c r="Q1" s="57"/>
      <c r="R1" s="57"/>
    </row>
    <row r="2" spans="1:22" x14ac:dyDescent="0.3">
      <c r="B2" s="137"/>
      <c r="F2" s="136"/>
      <c r="G2" s="136"/>
      <c r="H2" s="136"/>
      <c r="I2" s="136"/>
      <c r="J2" s="138"/>
      <c r="K2" s="139"/>
      <c r="L2" s="136"/>
      <c r="M2" s="136"/>
      <c r="N2" s="136"/>
      <c r="O2" s="136"/>
      <c r="P2" s="140"/>
      <c r="Q2" s="57"/>
      <c r="R2" s="57"/>
    </row>
    <row r="3" spans="1:22" x14ac:dyDescent="0.3">
      <c r="B3" s="137"/>
      <c r="F3" s="136"/>
      <c r="G3" s="136"/>
      <c r="H3" s="136"/>
      <c r="I3" s="136"/>
      <c r="J3" s="138"/>
      <c r="K3" s="139"/>
      <c r="L3" s="136"/>
      <c r="M3" s="136"/>
      <c r="N3" s="136"/>
      <c r="O3" s="136"/>
      <c r="P3" s="140"/>
      <c r="Q3" s="57"/>
      <c r="R3" s="57"/>
    </row>
    <row r="4" spans="1:22" x14ac:dyDescent="0.3">
      <c r="B4" s="137"/>
      <c r="F4" s="136"/>
      <c r="G4" s="136"/>
      <c r="H4" s="136"/>
      <c r="I4" s="136"/>
      <c r="J4" s="150"/>
      <c r="K4" s="163"/>
      <c r="L4" s="136"/>
      <c r="M4" s="136"/>
      <c r="N4" s="136"/>
      <c r="O4" s="136"/>
      <c r="P4" s="140"/>
      <c r="Q4" s="57"/>
      <c r="R4" s="57"/>
    </row>
    <row r="5" spans="1:22" ht="46.5" customHeight="1" x14ac:dyDescent="0.6">
      <c r="A5" s="128"/>
      <c r="B5" s="538" t="str">
        <f>Report!B1</f>
        <v>Relatório de Cálculo de Incerteza - Nº FORTE-UCG-FE-1231010B-26-04
Uncertainty Calculation Report - Nº FORTE-UCG-FE-1231010B-26-04</v>
      </c>
      <c r="C5" s="539"/>
      <c r="D5" s="539"/>
      <c r="E5" s="539"/>
      <c r="F5" s="539"/>
      <c r="G5" s="539"/>
      <c r="H5" s="539"/>
      <c r="I5" s="539"/>
      <c r="J5" s="539"/>
      <c r="K5" s="539"/>
      <c r="L5" s="539"/>
      <c r="M5" s="539"/>
      <c r="N5" s="539"/>
      <c r="O5" s="539"/>
      <c r="P5" s="540"/>
      <c r="Q5" s="136"/>
      <c r="R5" s="57"/>
    </row>
    <row r="6" spans="1:22" ht="15.5" x14ac:dyDescent="0.3">
      <c r="A6" s="128"/>
      <c r="B6" s="544"/>
      <c r="C6" s="545"/>
      <c r="D6" s="545"/>
      <c r="E6" s="545"/>
      <c r="F6" s="545"/>
      <c r="G6" s="545"/>
      <c r="H6" s="545"/>
      <c r="I6" s="545"/>
      <c r="J6" s="545"/>
      <c r="K6" s="545"/>
      <c r="L6" s="545"/>
      <c r="M6" s="545"/>
      <c r="N6" s="545"/>
      <c r="O6" s="545"/>
      <c r="P6" s="546"/>
      <c r="Q6" s="136"/>
      <c r="R6" s="57"/>
    </row>
    <row r="7" spans="1:22" ht="15.5" x14ac:dyDescent="0.3">
      <c r="A7" s="128"/>
      <c r="B7" s="279"/>
      <c r="C7" s="280"/>
      <c r="D7" s="280"/>
      <c r="E7" s="280"/>
      <c r="F7" s="280"/>
      <c r="G7" s="280"/>
      <c r="H7" s="280"/>
      <c r="I7" s="280"/>
      <c r="J7" s="280"/>
      <c r="K7" s="280"/>
      <c r="L7" s="280"/>
      <c r="M7" s="280"/>
      <c r="N7" s="280"/>
      <c r="O7" s="280"/>
      <c r="P7" s="281"/>
      <c r="Q7" s="136"/>
      <c r="R7" s="57"/>
    </row>
    <row r="8" spans="1:22" ht="19.5" customHeight="1" x14ac:dyDescent="0.3">
      <c r="A8" s="128"/>
      <c r="B8" s="541"/>
      <c r="C8" s="542"/>
      <c r="D8" s="542"/>
      <c r="E8" s="542"/>
      <c r="F8" s="542"/>
      <c r="G8" s="542"/>
      <c r="H8" s="542"/>
      <c r="I8" s="542"/>
      <c r="J8" s="542"/>
      <c r="K8" s="542"/>
      <c r="L8" s="542"/>
      <c r="M8" s="542"/>
      <c r="N8" s="542"/>
      <c r="O8" s="542"/>
      <c r="P8" s="543"/>
      <c r="Q8" s="136"/>
      <c r="R8" s="57"/>
    </row>
    <row r="9" spans="1:22" ht="5.15" customHeight="1" x14ac:dyDescent="0.3">
      <c r="A9" s="128"/>
      <c r="F9" s="136"/>
      <c r="G9" s="136"/>
      <c r="H9" s="136"/>
      <c r="I9" s="136"/>
      <c r="K9" s="139"/>
      <c r="L9" s="136"/>
      <c r="M9" s="136"/>
      <c r="N9" s="136"/>
      <c r="O9" s="136"/>
      <c r="P9" s="136"/>
      <c r="Q9" s="136"/>
      <c r="R9" s="57"/>
    </row>
    <row r="10" spans="1:22" ht="14.5" x14ac:dyDescent="0.35">
      <c r="B10" s="167" t="s">
        <v>144</v>
      </c>
      <c r="C10" s="130"/>
      <c r="D10" s="130"/>
      <c r="E10" s="154"/>
      <c r="F10" s="131"/>
      <c r="G10" s="131"/>
      <c r="H10" s="130"/>
      <c r="I10" s="130"/>
      <c r="J10" s="130"/>
      <c r="K10" s="130"/>
      <c r="L10" s="130"/>
      <c r="M10" s="130"/>
      <c r="N10" s="130"/>
      <c r="O10" s="130"/>
      <c r="P10" s="145"/>
      <c r="Q10" s="57"/>
    </row>
    <row r="11" spans="1:22" ht="14.5" x14ac:dyDescent="0.35">
      <c r="B11" s="187"/>
      <c r="E11" s="156"/>
      <c r="F11" s="136"/>
      <c r="G11" s="136"/>
      <c r="P11" s="146"/>
      <c r="Q11" s="57"/>
    </row>
    <row r="12" spans="1:22" x14ac:dyDescent="0.3">
      <c r="B12" s="173" t="s">
        <v>143</v>
      </c>
      <c r="C12" s="136"/>
      <c r="D12" s="136"/>
      <c r="F12" s="108" t="s">
        <v>48</v>
      </c>
      <c r="I12" s="174"/>
      <c r="J12" s="174" t="s">
        <v>142</v>
      </c>
      <c r="K12" s="136"/>
      <c r="L12" s="136"/>
      <c r="N12" s="160">
        <f>'Gas parameters'!F14</f>
        <v>1.5900000000000001E-2</v>
      </c>
      <c r="O12" s="174" t="s">
        <v>249</v>
      </c>
      <c r="P12" s="146"/>
      <c r="Q12" s="57"/>
      <c r="T12" s="116" t="s">
        <v>141</v>
      </c>
      <c r="U12" s="115"/>
      <c r="V12" s="55">
        <f>1/100</f>
        <v>0.01</v>
      </c>
    </row>
    <row r="13" spans="1:22" ht="7" customHeight="1" x14ac:dyDescent="0.3">
      <c r="B13" s="173"/>
      <c r="C13" s="136"/>
      <c r="D13" s="136"/>
      <c r="F13" s="136"/>
      <c r="G13" s="174"/>
      <c r="I13" s="174"/>
      <c r="K13" s="136"/>
      <c r="L13" s="136"/>
      <c r="N13" s="136"/>
      <c r="O13" s="174"/>
      <c r="P13" s="146"/>
      <c r="Q13" s="57"/>
      <c r="T13" s="113" t="s">
        <v>83</v>
      </c>
      <c r="U13" s="112">
        <f>IF(F12=B113,25.4/F16,IF(F12=B114,0,1))</f>
        <v>1</v>
      </c>
    </row>
    <row r="14" spans="1:22" x14ac:dyDescent="0.3">
      <c r="B14" s="173" t="s">
        <v>131</v>
      </c>
      <c r="C14" s="136"/>
      <c r="D14" s="136"/>
      <c r="F14" s="162">
        <f>'Meter run parameters'!O91</f>
        <v>0.43288514129443939</v>
      </c>
      <c r="G14" s="174"/>
      <c r="I14" s="174"/>
      <c r="J14" s="174" t="s">
        <v>140</v>
      </c>
      <c r="K14" s="136"/>
      <c r="L14" s="136"/>
      <c r="N14" s="160">
        <f>'Metering station'!H11/3600</f>
        <v>0.48830827240223051</v>
      </c>
      <c r="O14" s="174" t="s">
        <v>47</v>
      </c>
      <c r="P14" s="146"/>
      <c r="Q14" s="57"/>
      <c r="T14" s="113" t="s">
        <v>139</v>
      </c>
      <c r="U14" s="112">
        <f>IF(F12=B113,25.4/F16,IF(F12=B114,0,0.47))</f>
        <v>0.47</v>
      </c>
    </row>
    <row r="15" spans="1:22" ht="7" customHeight="1" x14ac:dyDescent="0.3">
      <c r="B15" s="173"/>
      <c r="C15" s="136"/>
      <c r="D15" s="136"/>
      <c r="F15" s="176"/>
      <c r="G15" s="174"/>
      <c r="I15" s="174"/>
      <c r="K15" s="136"/>
      <c r="L15" s="136"/>
      <c r="N15" s="177"/>
      <c r="O15" s="174"/>
      <c r="P15" s="146"/>
      <c r="Q15" s="57"/>
      <c r="T15" s="111"/>
      <c r="U15" s="110"/>
    </row>
    <row r="16" spans="1:22" x14ac:dyDescent="0.3">
      <c r="B16" s="173" t="s">
        <v>138</v>
      </c>
      <c r="C16" s="136"/>
      <c r="D16" s="136"/>
      <c r="F16" s="162">
        <f>'Meter run parameters'!F12</f>
        <v>87.76</v>
      </c>
      <c r="G16" s="174" t="s">
        <v>6</v>
      </c>
      <c r="I16" s="174"/>
      <c r="J16" s="174" t="s">
        <v>137</v>
      </c>
      <c r="K16" s="136"/>
      <c r="L16" s="136"/>
      <c r="N16" s="175">
        <f>4*N14/(PI()*(N12/1000)*F16/1000)</f>
        <v>445564.37686244771</v>
      </c>
      <c r="O16" s="174"/>
      <c r="P16" s="146"/>
      <c r="Q16" s="57"/>
    </row>
    <row r="17" spans="2:18" x14ac:dyDescent="0.3">
      <c r="B17" s="173"/>
      <c r="C17" s="136"/>
      <c r="D17" s="136"/>
      <c r="E17" s="136"/>
      <c r="F17" s="174"/>
      <c r="G17" s="136"/>
      <c r="J17" s="174"/>
      <c r="K17" s="136"/>
      <c r="L17" s="136"/>
      <c r="M17" s="176"/>
      <c r="P17" s="146"/>
      <c r="Q17" s="57"/>
    </row>
    <row r="18" spans="2:18" x14ac:dyDescent="0.3">
      <c r="B18" s="137"/>
      <c r="H18" s="157" t="s">
        <v>95</v>
      </c>
      <c r="I18" s="136"/>
      <c r="J18" s="552" t="s">
        <v>112</v>
      </c>
      <c r="K18" s="552"/>
      <c r="M18" s="157" t="s">
        <v>111</v>
      </c>
      <c r="O18" s="157" t="s">
        <v>108</v>
      </c>
      <c r="P18" s="146"/>
      <c r="Q18" s="57"/>
      <c r="R18" s="57"/>
    </row>
    <row r="19" spans="2:18" s="76" customFormat="1" ht="12.75" customHeight="1" x14ac:dyDescent="0.3">
      <c r="B19" s="137"/>
      <c r="C19" s="128"/>
      <c r="D19" s="128"/>
      <c r="E19" s="128"/>
      <c r="F19" s="128"/>
      <c r="G19" s="128"/>
      <c r="H19" s="168" t="s">
        <v>107</v>
      </c>
      <c r="I19" s="128"/>
      <c r="J19" s="553" t="s">
        <v>106</v>
      </c>
      <c r="K19" s="553"/>
      <c r="L19" s="128"/>
      <c r="M19" s="168" t="s">
        <v>105</v>
      </c>
      <c r="N19" s="128"/>
      <c r="O19" s="168" t="s">
        <v>102</v>
      </c>
      <c r="P19" s="146"/>
      <c r="Q19" s="77"/>
      <c r="R19" s="77"/>
    </row>
    <row r="20" spans="2:18" ht="12.75" customHeight="1" x14ac:dyDescent="0.3">
      <c r="B20" s="137"/>
      <c r="H20" s="158"/>
      <c r="I20" s="136"/>
      <c r="K20" s="151"/>
      <c r="O20" s="158"/>
      <c r="P20" s="140"/>
      <c r="Q20" s="57"/>
      <c r="R20" s="57"/>
    </row>
    <row r="21" spans="2:18" ht="12.75" customHeight="1" x14ac:dyDescent="0.3">
      <c r="B21" s="178"/>
      <c r="C21" s="179"/>
      <c r="H21" s="159">
        <f>IF(F14&lt;0.2,(0.7-F14),IF(F14&lt;0.6,0.5,(1.667*F14-0.5)))+IF(F16&lt;71.12,0.9*(0.75-F14)*(2.8-F16/25.4),0)+IF(AND(F14&gt;0.5,N16&lt;10000),0.5,0)</f>
        <v>0.5</v>
      </c>
      <c r="I21" s="136" t="s">
        <v>8</v>
      </c>
      <c r="J21" s="560" t="s">
        <v>17</v>
      </c>
      <c r="K21" s="561"/>
      <c r="O21" s="160">
        <f>IF(J21=$B$108,H21,IF(J21=$B$109,H21/2,IF(J21=$B$110,H21/3,H21/SQRT(3))))*$O$37/100</f>
        <v>1.7359257246236887E-3</v>
      </c>
      <c r="P21" s="140"/>
      <c r="Q21" s="57"/>
      <c r="R21" s="57"/>
    </row>
    <row r="22" spans="2:18" x14ac:dyDescent="0.3">
      <c r="B22" s="178"/>
      <c r="C22" s="179"/>
      <c r="H22" s="169"/>
      <c r="I22" s="136"/>
      <c r="O22" s="180"/>
      <c r="P22" s="140"/>
      <c r="Q22" s="57"/>
      <c r="R22" s="109"/>
    </row>
    <row r="23" spans="2:18" ht="12.75" customHeight="1" x14ac:dyDescent="0.3">
      <c r="B23" s="181" t="s">
        <v>136</v>
      </c>
      <c r="C23" s="182"/>
      <c r="H23" s="169"/>
      <c r="I23" s="136"/>
      <c r="O23" s="180"/>
      <c r="P23" s="140"/>
      <c r="Q23" s="57"/>
      <c r="R23" s="57"/>
    </row>
    <row r="24" spans="2:18" ht="7" customHeight="1" x14ac:dyDescent="0.3">
      <c r="B24" s="183"/>
      <c r="C24" s="182"/>
      <c r="H24" s="169"/>
      <c r="I24" s="136"/>
      <c r="J24" s="562"/>
      <c r="K24" s="562"/>
      <c r="O24" s="180"/>
      <c r="P24" s="140"/>
      <c r="Q24" s="57"/>
      <c r="R24" s="57"/>
    </row>
    <row r="25" spans="2:18" ht="12.75" customHeight="1" x14ac:dyDescent="0.3">
      <c r="B25" s="556"/>
      <c r="C25" s="557"/>
      <c r="D25" s="557"/>
      <c r="E25" s="558"/>
      <c r="H25" s="108"/>
      <c r="I25" s="136" t="s">
        <v>8</v>
      </c>
      <c r="J25" s="559" t="s">
        <v>17</v>
      </c>
      <c r="K25" s="559"/>
      <c r="M25" s="108" t="s">
        <v>15</v>
      </c>
      <c r="O25" s="160">
        <f>IF(J25=$B$108,H25,IF(J25=$B$109,H25/2,IF(J25=$B$110,H25/3,H25/SQRT(3))))*$O$37/100</f>
        <v>0</v>
      </c>
      <c r="P25" s="140"/>
      <c r="Q25" s="57"/>
      <c r="R25" s="57"/>
    </row>
    <row r="26" spans="2:18" ht="7" customHeight="1" x14ac:dyDescent="0.3">
      <c r="B26" s="183"/>
      <c r="C26" s="182"/>
      <c r="H26" s="169"/>
      <c r="I26" s="136"/>
      <c r="O26" s="180"/>
      <c r="P26" s="140"/>
      <c r="Q26" s="57"/>
      <c r="R26" s="57"/>
    </row>
    <row r="27" spans="2:18" ht="12.75" customHeight="1" x14ac:dyDescent="0.3">
      <c r="B27" s="556"/>
      <c r="C27" s="557"/>
      <c r="D27" s="557"/>
      <c r="E27" s="558"/>
      <c r="H27" s="108"/>
      <c r="I27" s="136" t="s">
        <v>8</v>
      </c>
      <c r="J27" s="559" t="s">
        <v>17</v>
      </c>
      <c r="K27" s="559"/>
      <c r="M27" s="108" t="s">
        <v>15</v>
      </c>
      <c r="O27" s="160">
        <f>IF(J27=$B$108,H27,IF(J27=$B$109,H27/2,IF(J27=$B$110,H27/3,H27/SQRT(3))))*$O$37/100</f>
        <v>0</v>
      </c>
      <c r="P27" s="140"/>
      <c r="Q27" s="57"/>
      <c r="R27" s="57"/>
    </row>
    <row r="28" spans="2:18" ht="7" customHeight="1" x14ac:dyDescent="0.3">
      <c r="B28" s="183"/>
      <c r="C28" s="182"/>
      <c r="H28" s="169"/>
      <c r="I28" s="136"/>
      <c r="O28" s="180"/>
      <c r="P28" s="140"/>
      <c r="Q28" s="57"/>
      <c r="R28" s="57"/>
    </row>
    <row r="29" spans="2:18" ht="12.75" customHeight="1" x14ac:dyDescent="0.3">
      <c r="B29" s="556"/>
      <c r="C29" s="557"/>
      <c r="D29" s="557"/>
      <c r="E29" s="558"/>
      <c r="H29" s="108"/>
      <c r="I29" s="136" t="s">
        <v>8</v>
      </c>
      <c r="J29" s="559" t="s">
        <v>17</v>
      </c>
      <c r="K29" s="559"/>
      <c r="M29" s="108" t="s">
        <v>15</v>
      </c>
      <c r="O29" s="160">
        <f>IF(J29=$B$108,H29,IF(J29=$B$109,H29/2,IF(J29=$B$110,H29/3,H29/SQRT(3))))*$O$37/100</f>
        <v>0</v>
      </c>
      <c r="P29" s="140"/>
      <c r="Q29" s="57"/>
      <c r="R29" s="57"/>
    </row>
    <row r="30" spans="2:18" ht="7" customHeight="1" x14ac:dyDescent="0.3">
      <c r="B30" s="183"/>
      <c r="C30" s="182"/>
      <c r="H30" s="169"/>
      <c r="I30" s="136"/>
      <c r="O30" s="180"/>
      <c r="P30" s="140"/>
      <c r="Q30" s="57"/>
      <c r="R30" s="57"/>
    </row>
    <row r="31" spans="2:18" ht="12.75" customHeight="1" x14ac:dyDescent="0.3">
      <c r="B31" s="137"/>
      <c r="H31" s="136" t="s">
        <v>135</v>
      </c>
      <c r="J31" s="136"/>
      <c r="K31" s="136"/>
      <c r="O31" s="160">
        <f>O21+O25+O27+O29</f>
        <v>1.7359257246236887E-3</v>
      </c>
      <c r="P31" s="140"/>
      <c r="Q31" s="57"/>
      <c r="R31" s="90"/>
    </row>
    <row r="32" spans="2:18" ht="7" customHeight="1" x14ac:dyDescent="0.3">
      <c r="B32" s="137"/>
      <c r="H32" s="136"/>
      <c r="K32" s="136"/>
      <c r="O32" s="161"/>
      <c r="P32" s="140"/>
      <c r="Q32" s="57"/>
      <c r="R32" s="57"/>
    </row>
    <row r="33" spans="2:18" ht="12.75" customHeight="1" x14ac:dyDescent="0.3">
      <c r="B33" s="137"/>
      <c r="H33" s="136" t="s">
        <v>100</v>
      </c>
      <c r="O33" s="160">
        <f>O31</f>
        <v>1.7359257246236887E-3</v>
      </c>
      <c r="P33" s="140"/>
      <c r="Q33" s="57"/>
      <c r="R33" s="57"/>
    </row>
    <row r="34" spans="2:18" ht="7" customHeight="1" x14ac:dyDescent="0.3">
      <c r="B34" s="137"/>
      <c r="H34" s="136"/>
      <c r="K34" s="136"/>
      <c r="O34" s="161"/>
      <c r="P34" s="140"/>
      <c r="Q34" s="57"/>
      <c r="R34" s="57"/>
    </row>
    <row r="35" spans="2:18" x14ac:dyDescent="0.3">
      <c r="B35" s="137"/>
      <c r="H35" s="136" t="s">
        <v>99</v>
      </c>
      <c r="O35" s="160">
        <f>O33*2</f>
        <v>3.4718514492473773E-3</v>
      </c>
      <c r="P35" s="140"/>
      <c r="Q35" s="57"/>
      <c r="R35" s="57"/>
    </row>
    <row r="36" spans="2:18" ht="7" customHeight="1" x14ac:dyDescent="0.3">
      <c r="B36" s="137"/>
      <c r="H36" s="136"/>
      <c r="K36" s="136"/>
      <c r="O36" s="161"/>
      <c r="P36" s="140"/>
      <c r="Q36" s="57"/>
      <c r="R36" s="57"/>
    </row>
    <row r="37" spans="2:18" x14ac:dyDescent="0.3">
      <c r="B37" s="137"/>
      <c r="H37" s="136" t="str">
        <f>B10</f>
        <v>Coeficiente de descarga (Discharge coefficient)</v>
      </c>
      <c r="O37" s="160">
        <f>IF(F16&gt;71.17,0.5961+0.0261*F14^2-0.216*F14^8+0.000521*(F14*1000000/N16)^0.7+(0.0188+0.0063*(19000*F14/N16)^0.8)*F14^3.5*(1000000/N16)^0.3+(0.043+0.08*EXP(-10*U13)-0.123*EXP(-7*U13))*(1-0.11*(19000*F14/N16)^0.8)*(F14^4)/(1-(F14^4))-0.031*(2*U14/(1-F14)-0.8*(2*U14/(1-F14))^1.1)*F14^1.3,0.5961+0.0261*F14^2-0.216*F14^8+0.000521*(F14*1000000/N16)^0.7+(0.0188+0.0063*(19000*F14/N16)^0.8)*F14^3.5*(1000000/N16)^0.3+(0.043+0.08*EXP(-10*U13)-0.123*EXP(-7*U13))*(1-0.11*(19000*F14/N16)^0.8)*(F14^4)/(1-(F14^4))-0.031*(2*U14/(1-F14)-0.8*(2*U14/(1-F14))^1.1)*F14^1.3+0.011*(0.75-F14)*(2.8-F16/25.4))</f>
        <v>0.60134231064280963</v>
      </c>
      <c r="P37" s="140"/>
      <c r="Q37" s="57"/>
      <c r="R37" s="57"/>
    </row>
    <row r="38" spans="2:18" ht="7" customHeight="1" x14ac:dyDescent="0.3">
      <c r="B38" s="137"/>
      <c r="H38" s="136"/>
      <c r="K38" s="136"/>
      <c r="O38" s="161"/>
      <c r="P38" s="140"/>
      <c r="Q38" s="57"/>
      <c r="R38" s="57"/>
    </row>
    <row r="39" spans="2:18" x14ac:dyDescent="0.3">
      <c r="B39" s="137"/>
      <c r="H39" s="136" t="s">
        <v>98</v>
      </c>
      <c r="O39" s="160">
        <f>2*O33/O37*100</f>
        <v>0.57735026918962584</v>
      </c>
      <c r="P39" s="140" t="s">
        <v>8</v>
      </c>
    </row>
    <row r="40" spans="2:18" ht="7" customHeight="1" x14ac:dyDescent="0.3">
      <c r="B40" s="141"/>
      <c r="C40" s="142"/>
      <c r="D40" s="142"/>
      <c r="E40" s="142"/>
      <c r="F40" s="142"/>
      <c r="G40" s="142"/>
      <c r="H40" s="143"/>
      <c r="I40" s="142"/>
      <c r="J40" s="142"/>
      <c r="K40" s="143"/>
      <c r="L40" s="142"/>
      <c r="M40" s="142"/>
      <c r="N40" s="142"/>
      <c r="O40" s="143"/>
      <c r="P40" s="144"/>
      <c r="Q40" s="57"/>
      <c r="R40" s="57"/>
    </row>
    <row r="41" spans="2:18" x14ac:dyDescent="0.3">
      <c r="G41" s="136"/>
      <c r="Q41" s="57"/>
      <c r="R41" s="57"/>
    </row>
    <row r="42" spans="2:18" ht="14.5" x14ac:dyDescent="0.35">
      <c r="B42" s="167" t="s">
        <v>134</v>
      </c>
      <c r="C42" s="130"/>
      <c r="D42" s="130"/>
      <c r="E42" s="154"/>
      <c r="F42" s="131"/>
      <c r="G42" s="131"/>
      <c r="H42" s="130"/>
      <c r="I42" s="130"/>
      <c r="J42" s="130"/>
      <c r="K42" s="130"/>
      <c r="L42" s="130"/>
      <c r="M42" s="130"/>
      <c r="N42" s="130"/>
      <c r="O42" s="130"/>
      <c r="P42" s="145"/>
      <c r="Q42" s="57"/>
    </row>
    <row r="43" spans="2:18" x14ac:dyDescent="0.3">
      <c r="B43" s="155"/>
      <c r="E43" s="156"/>
      <c r="F43" s="136"/>
      <c r="G43" s="136"/>
      <c r="P43" s="146"/>
      <c r="Q43" s="57"/>
    </row>
    <row r="44" spans="2:18" x14ac:dyDescent="0.3">
      <c r="B44" s="173" t="s">
        <v>133</v>
      </c>
      <c r="C44" s="136"/>
      <c r="D44" s="136"/>
      <c r="F44" s="559" t="s">
        <v>41</v>
      </c>
      <c r="G44" s="559"/>
      <c r="I44" s="174" t="s">
        <v>132</v>
      </c>
      <c r="K44" s="136"/>
      <c r="L44" s="136"/>
      <c r="N44" s="283">
        <f>'Sensitivity coefficients'!B59/1000</f>
        <v>1.656822164152292</v>
      </c>
      <c r="O44" s="174" t="s">
        <v>244</v>
      </c>
      <c r="P44" s="146"/>
      <c r="Q44" s="57"/>
    </row>
    <row r="45" spans="2:18" ht="7" customHeight="1" x14ac:dyDescent="0.3">
      <c r="B45" s="173"/>
      <c r="C45" s="136"/>
      <c r="D45" s="136"/>
      <c r="F45" s="136"/>
      <c r="G45" s="174"/>
      <c r="I45" s="174"/>
      <c r="K45" s="136"/>
      <c r="L45" s="136"/>
      <c r="N45" s="136"/>
      <c r="O45" s="174"/>
      <c r="P45" s="146"/>
      <c r="Q45" s="57"/>
    </row>
    <row r="46" spans="2:18" x14ac:dyDescent="0.3">
      <c r="B46" s="173" t="s">
        <v>131</v>
      </c>
      <c r="C46" s="136"/>
      <c r="D46" s="136"/>
      <c r="F46" s="160">
        <f>'Meter run parameters'!O91</f>
        <v>0.43288514129443939</v>
      </c>
      <c r="G46" s="174"/>
      <c r="I46" s="174" t="str">
        <f>IF(L36=I95,"Pressão Upstream (Upstream pressure)","Pressão Downstream (Downstream pressure)")</f>
        <v>Pressão Upstream (Upstream pressure)</v>
      </c>
      <c r="K46" s="136"/>
      <c r="L46" s="136"/>
      <c r="N46" s="159">
        <f>'Gas parameters'!F10</f>
        <v>17092</v>
      </c>
      <c r="O46" s="174" t="s">
        <v>244</v>
      </c>
      <c r="P46" s="146"/>
      <c r="Q46" s="57"/>
    </row>
    <row r="47" spans="2:18" ht="7" customHeight="1" x14ac:dyDescent="0.3">
      <c r="B47" s="173"/>
      <c r="C47" s="136"/>
      <c r="D47" s="136"/>
      <c r="F47" s="176"/>
      <c r="G47" s="174"/>
      <c r="I47" s="174"/>
      <c r="K47" s="136"/>
      <c r="L47" s="136"/>
      <c r="N47" s="177"/>
      <c r="O47" s="174"/>
      <c r="P47" s="146"/>
      <c r="Q47" s="57"/>
    </row>
    <row r="48" spans="2:18" x14ac:dyDescent="0.3">
      <c r="B48" s="173" t="s">
        <v>130</v>
      </c>
      <c r="C48" s="136"/>
      <c r="D48" s="136"/>
      <c r="F48" s="159">
        <f>'Gas parameters'!F16</f>
        <v>1.7769999999999999</v>
      </c>
      <c r="G48" s="174"/>
      <c r="I48" s="174"/>
      <c r="K48" s="136"/>
      <c r="L48" s="136"/>
      <c r="N48" s="177"/>
      <c r="O48" s="174"/>
      <c r="P48" s="146"/>
      <c r="Q48" s="57"/>
    </row>
    <row r="49" spans="2:23" x14ac:dyDescent="0.3">
      <c r="B49" s="173"/>
      <c r="C49" s="136"/>
      <c r="D49" s="136"/>
      <c r="E49" s="136"/>
      <c r="F49" s="174"/>
      <c r="G49" s="136"/>
      <c r="P49" s="146"/>
      <c r="Q49" s="57"/>
    </row>
    <row r="50" spans="2:23" x14ac:dyDescent="0.3">
      <c r="B50" s="137"/>
      <c r="E50" s="157" t="s">
        <v>95</v>
      </c>
      <c r="F50" s="136"/>
      <c r="G50" s="136"/>
      <c r="H50" s="157" t="s">
        <v>112</v>
      </c>
      <c r="J50" s="157" t="s">
        <v>111</v>
      </c>
      <c r="K50" s="157" t="s">
        <v>110</v>
      </c>
      <c r="M50" s="157" t="s">
        <v>109</v>
      </c>
      <c r="O50" s="157" t="s">
        <v>108</v>
      </c>
      <c r="P50" s="146"/>
      <c r="Q50" s="57"/>
      <c r="R50" s="57"/>
    </row>
    <row r="51" spans="2:23" s="76" customFormat="1" ht="12.75" customHeight="1" x14ac:dyDescent="0.3">
      <c r="B51" s="137"/>
      <c r="C51" s="128"/>
      <c r="D51" s="128"/>
      <c r="E51" s="168" t="s">
        <v>107</v>
      </c>
      <c r="F51" s="128"/>
      <c r="G51" s="136"/>
      <c r="H51" s="168" t="s">
        <v>106</v>
      </c>
      <c r="I51" s="128"/>
      <c r="J51" s="168" t="s">
        <v>105</v>
      </c>
      <c r="K51" s="168" t="s">
        <v>104</v>
      </c>
      <c r="L51" s="128"/>
      <c r="M51" s="168" t="s">
        <v>103</v>
      </c>
      <c r="N51" s="128"/>
      <c r="O51" s="168" t="s">
        <v>102</v>
      </c>
      <c r="P51" s="146"/>
      <c r="Q51" s="77"/>
      <c r="R51" s="77"/>
    </row>
    <row r="52" spans="2:23" ht="12.75" customHeight="1" x14ac:dyDescent="0.3">
      <c r="B52" s="137"/>
      <c r="E52" s="158"/>
      <c r="F52" s="136"/>
      <c r="G52" s="136"/>
      <c r="H52" s="151"/>
      <c r="K52" s="158"/>
      <c r="L52" s="136"/>
      <c r="M52" s="136"/>
      <c r="N52" s="136"/>
      <c r="O52" s="136"/>
      <c r="P52" s="140"/>
      <c r="Q52" s="57"/>
      <c r="R52" s="57"/>
    </row>
    <row r="53" spans="2:23" ht="12.75" customHeight="1" x14ac:dyDescent="0.3">
      <c r="B53" s="554" t="str">
        <f>B46</f>
        <v>Razão Beta (Beta) - β</v>
      </c>
      <c r="C53" s="555"/>
      <c r="E53" s="159">
        <f>'Meter run parameters'!O89</f>
        <v>4.5821075618058451E-3</v>
      </c>
      <c r="F53" s="151"/>
      <c r="G53" s="136"/>
      <c r="H53" s="159" t="s">
        <v>17</v>
      </c>
      <c r="K53" s="185">
        <f>IF(H53=$B$108,E53,IF(H53=$B$109,E53/2,IF(H53=$B$110,E53/3,E53/SQRT(3))))</f>
        <v>2.6454810342644245E-3</v>
      </c>
      <c r="L53" s="151"/>
      <c r="M53" s="159">
        <f>IF(F44=B117,-(1.024*F46^3+7.44*F46^7)*(1-((N46-N44)/N46)^(1/F48)),-(1.024*F46^3+7.44*F46^7)*(1-(N46/(N46+N44))^(1/F48)))</f>
        <v>-5.6868246149309638E-6</v>
      </c>
      <c r="O53" s="159">
        <f>(K53*M53)^2</f>
        <v>2.2633357009557855E-16</v>
      </c>
      <c r="P53" s="140"/>
      <c r="Q53" s="57"/>
      <c r="R53" s="57"/>
    </row>
    <row r="54" spans="2:23" ht="12.75" customHeight="1" x14ac:dyDescent="0.3">
      <c r="B54" s="554"/>
      <c r="C54" s="555"/>
      <c r="E54" s="169"/>
      <c r="F54" s="151"/>
      <c r="G54" s="136"/>
      <c r="H54" s="184"/>
      <c r="J54" s="186"/>
      <c r="K54" s="176"/>
      <c r="L54" s="151"/>
      <c r="M54" s="176"/>
      <c r="O54" s="176"/>
      <c r="P54" s="140"/>
      <c r="Q54" s="57"/>
      <c r="R54" s="57"/>
    </row>
    <row r="55" spans="2:23" ht="12.75" customHeight="1" x14ac:dyDescent="0.3">
      <c r="B55" s="554" t="str">
        <f>B48</f>
        <v>Coeficiente Isentrópico (Isentropic exponent) - k</v>
      </c>
      <c r="C55" s="555"/>
      <c r="E55" s="162">
        <f>0.01*F48</f>
        <v>1.7770000000000001E-2</v>
      </c>
      <c r="F55" s="151"/>
      <c r="G55" s="136"/>
      <c r="H55" s="108" t="s">
        <v>17</v>
      </c>
      <c r="J55" s="108" t="s">
        <v>15</v>
      </c>
      <c r="K55" s="159">
        <f>IF(H55=$B$108,E55,IF(H55=$B$109,E55/2,IF(H55=$B$110,E55/3,E55/SQRT(3))))</f>
        <v>1.0259514283499652E-2</v>
      </c>
      <c r="L55" s="151"/>
      <c r="M55" s="159">
        <f>IF(F44=B117,-(0.351+0.256*F46^4+0.93*F46^8)*((N46-N44)/N46)^(1/F48)*LN((N46-N44)/N46)/F48^2,-(0.351+0.256*F46^4+0.93*F46^8)*(N46/(N46+N44))^(1/F48)*LN(N46/(N46+N44))/F48^2)</f>
        <v>1.1084966046071089E-5</v>
      </c>
      <c r="N55" s="136"/>
      <c r="O55" s="159">
        <f>(K55*M55)^2</f>
        <v>1.2933686660599732E-14</v>
      </c>
      <c r="P55" s="140"/>
      <c r="Q55" s="57"/>
      <c r="R55" s="57"/>
    </row>
    <row r="56" spans="2:23" ht="12.75" customHeight="1" x14ac:dyDescent="0.3">
      <c r="B56" s="554"/>
      <c r="C56" s="555"/>
      <c r="E56" s="169"/>
      <c r="F56" s="151"/>
      <c r="G56" s="136"/>
      <c r="H56" s="176"/>
      <c r="I56" s="176"/>
      <c r="J56" s="176"/>
      <c r="K56" s="176"/>
      <c r="L56" s="151"/>
      <c r="M56" s="176"/>
      <c r="N56" s="136"/>
      <c r="O56" s="176"/>
      <c r="P56" s="140"/>
      <c r="Q56" s="57"/>
      <c r="R56" s="57"/>
    </row>
    <row r="57" spans="2:23" ht="12.75" customHeight="1" x14ac:dyDescent="0.3">
      <c r="B57" s="554" t="str">
        <f>I44</f>
        <v>Pressão Diferencial (Differential pressure)</v>
      </c>
      <c r="C57" s="555"/>
      <c r="E57" s="159">
        <f>SQRT('Gas parameters'!O41^2)</f>
        <v>4.3666314852477794E-2</v>
      </c>
      <c r="F57" s="151" t="s">
        <v>244</v>
      </c>
      <c r="G57" s="136"/>
      <c r="H57" s="159" t="s">
        <v>17</v>
      </c>
      <c r="J57" s="158"/>
      <c r="K57" s="160">
        <f>IF(H57=$B$108,E57,IF(H57=$B$109,E57/2,IF(H57=$B$110,E57/3,E57/SQRT(3))))</f>
        <v>2.521075863459701E-2</v>
      </c>
      <c r="L57" s="151" t="s">
        <v>244</v>
      </c>
      <c r="M57" s="159">
        <f>IF(F44=B117,-(0.351+0.256*F46^4+0.93*F46^8)/F48/N46*(1-N44/1/N46)^(1/F48-1),(0.351+0.256*F46^4+0.93*F46^8)/F48/N46/(1+N44/1/N46)^(1/F48+1))</f>
        <v>1.1888439477574783E-5</v>
      </c>
      <c r="N57" s="136" t="s">
        <v>248</v>
      </c>
      <c r="O57" s="159">
        <f>(K57*M57)^2</f>
        <v>8.9830027254601874E-14</v>
      </c>
      <c r="P57" s="140"/>
      <c r="Q57" s="57"/>
      <c r="R57" s="57"/>
      <c r="W57" s="303">
        <v>1.2E-5</v>
      </c>
    </row>
    <row r="58" spans="2:23" ht="12.75" customHeight="1" x14ac:dyDescent="0.3">
      <c r="B58" s="554"/>
      <c r="C58" s="555"/>
      <c r="E58" s="169"/>
      <c r="F58" s="151"/>
      <c r="G58" s="136"/>
      <c r="H58" s="176"/>
      <c r="I58" s="176"/>
      <c r="J58" s="158"/>
      <c r="K58" s="176"/>
      <c r="L58" s="151"/>
      <c r="M58" s="176"/>
      <c r="N58" s="136"/>
      <c r="O58" s="176"/>
      <c r="P58" s="140"/>
      <c r="Q58" s="57"/>
      <c r="R58" s="57"/>
    </row>
    <row r="59" spans="2:23" ht="12.75" customHeight="1" x14ac:dyDescent="0.3">
      <c r="B59" s="554" t="str">
        <f>I46</f>
        <v>Pressão Upstream (Upstream pressure)</v>
      </c>
      <c r="C59" s="555"/>
      <c r="E59" s="159">
        <f>'Gas parameters'!O101</f>
        <v>13.973608457851299</v>
      </c>
      <c r="F59" s="151" t="s">
        <v>244</v>
      </c>
      <c r="G59" s="136"/>
      <c r="H59" s="159" t="s">
        <v>17</v>
      </c>
      <c r="J59" s="158"/>
      <c r="K59" s="159">
        <f>IF(H59=$B$108,E59,IF(H59=$B$109,E59/2,IF(H59=$B$110,E59/3,E59/SQRT(3))))</f>
        <v>8.0676666046908796</v>
      </c>
      <c r="L59" s="151" t="s">
        <v>244</v>
      </c>
      <c r="M59" s="175">
        <f>IF(F44=B117,(0.351+0.256*F46^4+0.93*F46^8)*N44/1/F48/N46^2*(1-N44/1/N46)^(1/F48-1),-(0.351+0.256*F46^4+0.93*F46^8)/F48*N44/1/N46^2/(1+N44/1/N46)^(1/F48+1))</f>
        <v>-1.1524122410267373E-9</v>
      </c>
      <c r="N59" s="136" t="s">
        <v>248</v>
      </c>
      <c r="O59" s="305">
        <f>(K59*M59)^2</f>
        <v>8.6439373593527401E-17</v>
      </c>
      <c r="P59" s="140"/>
      <c r="Q59" s="57"/>
      <c r="R59" s="57"/>
    </row>
    <row r="60" spans="2:23" ht="14.5" x14ac:dyDescent="0.3">
      <c r="B60" s="554"/>
      <c r="C60" s="555"/>
      <c r="E60" s="158"/>
      <c r="F60" s="149"/>
      <c r="G60" s="136"/>
      <c r="H60" s="176"/>
      <c r="I60" s="176"/>
      <c r="J60" s="176"/>
      <c r="K60" s="158"/>
      <c r="L60" s="136"/>
      <c r="M60" s="136"/>
      <c r="N60" s="136"/>
      <c r="O60" s="136"/>
      <c r="P60" s="140"/>
      <c r="Q60" s="57"/>
      <c r="R60" s="57"/>
    </row>
    <row r="61" spans="2:23" ht="12.75" customHeight="1" x14ac:dyDescent="0.3">
      <c r="B61" s="554" t="s">
        <v>129</v>
      </c>
      <c r="C61" s="555"/>
      <c r="E61" s="159">
        <f>O69*3.5*N44/10/N46/10/F48</f>
        <v>1.9092160305831244E-6</v>
      </c>
      <c r="F61" s="151"/>
      <c r="G61" s="136"/>
      <c r="H61" s="159" t="s">
        <v>17</v>
      </c>
      <c r="J61" s="158"/>
      <c r="K61" s="159">
        <f>IF(H61=$B$108,E61,IF(H61=$B$109,E61/2,IF(H61=$B$110,E61/3,E61/SQRT(3))))</f>
        <v>1.1022863891983157E-6</v>
      </c>
      <c r="L61" s="151"/>
      <c r="M61" s="159">
        <v>1</v>
      </c>
      <c r="N61" s="136"/>
      <c r="O61" s="159">
        <f>(K61*M61)^2</f>
        <v>1.2150352838118607E-12</v>
      </c>
      <c r="P61" s="140"/>
      <c r="Q61" s="57"/>
      <c r="R61" s="57"/>
    </row>
    <row r="62" spans="2:23" ht="14.5" x14ac:dyDescent="0.3">
      <c r="B62" s="554"/>
      <c r="C62" s="555"/>
      <c r="E62" s="158"/>
      <c r="F62" s="149"/>
      <c r="G62" s="136"/>
      <c r="K62" s="158"/>
      <c r="L62" s="136"/>
      <c r="M62" s="136"/>
      <c r="N62" s="136"/>
      <c r="O62" s="136"/>
      <c r="P62" s="140"/>
      <c r="Q62" s="57"/>
      <c r="R62" s="57"/>
    </row>
    <row r="63" spans="2:23" ht="12.75" customHeight="1" x14ac:dyDescent="0.3">
      <c r="B63" s="137"/>
      <c r="H63" s="136" t="s">
        <v>101</v>
      </c>
      <c r="J63" s="136"/>
      <c r="K63" s="136"/>
      <c r="O63" s="175">
        <f>SUM(O53:O61)</f>
        <v>1.3181117706707515E-12</v>
      </c>
      <c r="P63" s="140"/>
      <c r="Q63" s="57"/>
      <c r="R63" s="90"/>
    </row>
    <row r="64" spans="2:23" ht="7" customHeight="1" x14ac:dyDescent="0.3">
      <c r="B64" s="137"/>
      <c r="H64" s="136"/>
      <c r="K64" s="136"/>
      <c r="O64" s="136"/>
      <c r="P64" s="140"/>
      <c r="Q64" s="57"/>
      <c r="R64" s="57"/>
    </row>
    <row r="65" spans="2:18" ht="12.75" customHeight="1" x14ac:dyDescent="0.3">
      <c r="B65" s="137"/>
      <c r="H65" s="136" t="s">
        <v>100</v>
      </c>
      <c r="O65" s="175">
        <f>SQRT(O63)</f>
        <v>1.148090488886112E-6</v>
      </c>
      <c r="P65" s="140"/>
      <c r="Q65" s="57"/>
      <c r="R65" s="57"/>
    </row>
    <row r="66" spans="2:18" ht="7" customHeight="1" x14ac:dyDescent="0.3">
      <c r="B66" s="137"/>
      <c r="H66" s="136"/>
      <c r="K66" s="136"/>
      <c r="O66" s="161"/>
      <c r="P66" s="140"/>
      <c r="Q66" s="57"/>
      <c r="R66" s="57"/>
    </row>
    <row r="67" spans="2:18" x14ac:dyDescent="0.3">
      <c r="B67" s="137"/>
      <c r="H67" s="136" t="s">
        <v>99</v>
      </c>
      <c r="O67" s="175">
        <f>O65*2</f>
        <v>2.2961809777722239E-6</v>
      </c>
      <c r="P67" s="140"/>
      <c r="Q67" s="57"/>
      <c r="R67" s="57"/>
    </row>
    <row r="68" spans="2:18" ht="7" customHeight="1" x14ac:dyDescent="0.3">
      <c r="B68" s="137"/>
      <c r="H68" s="136"/>
      <c r="K68" s="136"/>
      <c r="O68" s="136"/>
      <c r="P68" s="140"/>
      <c r="Q68" s="57"/>
      <c r="R68" s="57"/>
    </row>
    <row r="69" spans="2:18" x14ac:dyDescent="0.3">
      <c r="B69" s="137"/>
      <c r="H69" s="136" t="str">
        <f>B42</f>
        <v>Fator de expansão (Expansibility factor)</v>
      </c>
      <c r="O69" s="306">
        <f>'Sensitivity coefficients'!B79</f>
        <v>0.9999802995685616</v>
      </c>
      <c r="P69" s="140"/>
      <c r="Q69" s="57"/>
      <c r="R69" s="57"/>
    </row>
    <row r="70" spans="2:18" ht="7" customHeight="1" x14ac:dyDescent="0.3">
      <c r="B70" s="137"/>
      <c r="H70" s="136"/>
      <c r="K70" s="136"/>
      <c r="O70" s="136"/>
      <c r="P70" s="140"/>
      <c r="Q70" s="57"/>
      <c r="R70" s="57"/>
    </row>
    <row r="71" spans="2:18" x14ac:dyDescent="0.3">
      <c r="B71" s="137"/>
      <c r="H71" s="136" t="s">
        <v>98</v>
      </c>
      <c r="O71" s="160">
        <f>2*O65/O69*100</f>
        <v>2.2962262144193282E-4</v>
      </c>
      <c r="P71" s="140" t="s">
        <v>8</v>
      </c>
    </row>
    <row r="72" spans="2:18" ht="7" customHeight="1" x14ac:dyDescent="0.3">
      <c r="B72" s="141"/>
      <c r="C72" s="142"/>
      <c r="D72" s="142"/>
      <c r="E72" s="142"/>
      <c r="F72" s="142"/>
      <c r="G72" s="142"/>
      <c r="H72" s="143"/>
      <c r="I72" s="142"/>
      <c r="J72" s="142"/>
      <c r="K72" s="143"/>
      <c r="L72" s="142"/>
      <c r="M72" s="142"/>
      <c r="N72" s="142"/>
      <c r="O72" s="143"/>
      <c r="P72" s="144"/>
      <c r="Q72" s="57"/>
      <c r="R72" s="57"/>
    </row>
    <row r="73" spans="2:18" x14ac:dyDescent="0.3">
      <c r="G73" s="136"/>
      <c r="Q73" s="57"/>
      <c r="R73" s="57"/>
    </row>
    <row r="74" spans="2:18" ht="14.5" x14ac:dyDescent="0.35">
      <c r="B74" s="167" t="s">
        <v>215</v>
      </c>
      <c r="C74" s="130"/>
      <c r="D74" s="130"/>
      <c r="E74" s="154"/>
      <c r="F74" s="131"/>
      <c r="G74" s="131"/>
      <c r="H74" s="130"/>
      <c r="I74" s="130"/>
      <c r="J74" s="130"/>
      <c r="K74" s="130"/>
      <c r="L74" s="130"/>
      <c r="M74" s="130"/>
      <c r="N74" s="130"/>
      <c r="O74" s="130"/>
      <c r="P74" s="145"/>
      <c r="Q74" s="57"/>
      <c r="R74" s="57"/>
    </row>
    <row r="75" spans="2:18" x14ac:dyDescent="0.3">
      <c r="B75" s="155"/>
      <c r="E75" s="156"/>
      <c r="F75" s="136"/>
      <c r="G75" s="136"/>
      <c r="P75" s="146"/>
      <c r="Q75" s="57"/>
      <c r="R75" s="57"/>
    </row>
    <row r="76" spans="2:18" x14ac:dyDescent="0.3">
      <c r="B76" s="137"/>
      <c r="E76" s="157" t="s">
        <v>95</v>
      </c>
      <c r="F76" s="136"/>
      <c r="G76" s="136"/>
      <c r="H76" s="157" t="s">
        <v>366</v>
      </c>
      <c r="J76" s="157" t="s">
        <v>111</v>
      </c>
      <c r="K76" s="157" t="s">
        <v>110</v>
      </c>
      <c r="M76" s="551" t="s">
        <v>367</v>
      </c>
      <c r="N76" s="394"/>
      <c r="O76" s="157" t="s">
        <v>108</v>
      </c>
      <c r="P76" s="146"/>
      <c r="Q76" s="57"/>
      <c r="R76" s="57"/>
    </row>
    <row r="77" spans="2:18" x14ac:dyDescent="0.3">
      <c r="B77" s="137"/>
      <c r="E77" s="168" t="s">
        <v>107</v>
      </c>
      <c r="G77" s="136"/>
      <c r="H77" s="168" t="s">
        <v>368</v>
      </c>
      <c r="J77" s="168" t="s">
        <v>105</v>
      </c>
      <c r="K77" s="168" t="s">
        <v>104</v>
      </c>
      <c r="M77" s="551"/>
      <c r="O77" s="168" t="s">
        <v>102</v>
      </c>
      <c r="P77" s="146"/>
      <c r="Q77" s="57"/>
      <c r="R77" s="57"/>
    </row>
    <row r="78" spans="2:18" x14ac:dyDescent="0.3">
      <c r="B78" s="137"/>
      <c r="E78" s="158"/>
      <c r="F78" s="136"/>
      <c r="G78" s="136"/>
      <c r="H78" s="151"/>
      <c r="K78" s="158"/>
      <c r="L78" s="136"/>
      <c r="N78" s="136"/>
      <c r="O78" s="136"/>
      <c r="P78" s="140"/>
      <c r="Q78" s="57"/>
      <c r="R78" s="57"/>
    </row>
    <row r="79" spans="2:18" x14ac:dyDescent="0.3">
      <c r="B79" s="137" t="s">
        <v>369</v>
      </c>
      <c r="E79" s="160">
        <f>'Gas parameters'!E113</f>
        <v>0.1</v>
      </c>
      <c r="F79" s="136" t="s">
        <v>19</v>
      </c>
      <c r="G79" s="136"/>
      <c r="H79" s="108" t="s">
        <v>17</v>
      </c>
      <c r="J79" s="108" t="s">
        <v>15</v>
      </c>
      <c r="K79" s="160">
        <f>E79/2</f>
        <v>0.05</v>
      </c>
      <c r="M79" s="160">
        <f>-((('Gas parameters'!L20/1000)*(('Gas parameters'!F10*1000)+('Gas parameters'!O12*1000)))/('Gas parameters'!L18*'Gas parameters'!L22*(('Gas parameters'!F12+273.15)^2)))</f>
        <v>-0.47650258249957067</v>
      </c>
      <c r="O79" s="395">
        <f>(K79*M79)^2</f>
        <v>5.6763677782190047E-4</v>
      </c>
      <c r="P79" s="140" t="s">
        <v>33</v>
      </c>
      <c r="Q79" s="57"/>
      <c r="R79" s="57"/>
    </row>
    <row r="80" spans="2:18" ht="14.5" x14ac:dyDescent="0.3">
      <c r="B80" s="137"/>
      <c r="E80" s="158"/>
      <c r="F80" s="149"/>
      <c r="G80" s="136"/>
      <c r="K80" s="158"/>
      <c r="L80" s="136"/>
      <c r="M80" s="158"/>
      <c r="N80" s="136"/>
      <c r="O80" s="161"/>
      <c r="P80" s="140"/>
      <c r="Q80" s="57"/>
      <c r="R80" s="57"/>
    </row>
    <row r="81" spans="2:18" x14ac:dyDescent="0.3">
      <c r="B81" s="137" t="s">
        <v>370</v>
      </c>
      <c r="E81" s="160">
        <f>'Gas parameters'!O20/1000</f>
        <v>4.2999999999999995E-5</v>
      </c>
      <c r="F81" s="136" t="s">
        <v>371</v>
      </c>
      <c r="G81" s="136"/>
      <c r="H81" s="108" t="s">
        <v>17</v>
      </c>
      <c r="J81" s="108" t="s">
        <v>15</v>
      </c>
      <c r="K81" s="160">
        <f>E81/2</f>
        <v>2.1499999999999997E-5</v>
      </c>
      <c r="M81" s="162">
        <f>((('Gas parameters'!F10*1000)+('Gas parameters'!O12*1000))/('Gas parameters'!L18*'Gas parameters'!L22*('Gas parameters'!F12+273.15)))</f>
        <v>8207.9774775550795</v>
      </c>
      <c r="O81" s="395">
        <f>(K81*M81)^2</f>
        <v>3.1142195877255776E-2</v>
      </c>
      <c r="P81" s="140" t="s">
        <v>33</v>
      </c>
      <c r="Q81" s="57"/>
      <c r="R81" s="57"/>
    </row>
    <row r="82" spans="2:18" ht="14.5" x14ac:dyDescent="0.3">
      <c r="B82" s="137"/>
      <c r="E82" s="158"/>
      <c r="F82" s="149"/>
      <c r="G82" s="136"/>
      <c r="K82" s="158"/>
      <c r="L82" s="136"/>
      <c r="M82" s="158"/>
      <c r="N82" s="136"/>
      <c r="O82" s="161"/>
      <c r="P82" s="140"/>
      <c r="Q82" s="57"/>
      <c r="R82" s="57"/>
    </row>
    <row r="83" spans="2:18" x14ac:dyDescent="0.3">
      <c r="B83" s="137" t="s">
        <v>372</v>
      </c>
      <c r="E83" s="396">
        <f>'Gas parameters'!E93*1000</f>
        <v>7260</v>
      </c>
      <c r="F83" s="136" t="s">
        <v>80</v>
      </c>
      <c r="G83" s="136"/>
      <c r="H83" s="108" t="s">
        <v>17</v>
      </c>
      <c r="J83" s="108" t="s">
        <v>15</v>
      </c>
      <c r="K83" s="396">
        <f>E83/2</f>
        <v>3630</v>
      </c>
      <c r="M83" s="175">
        <f>('Gas parameters'!L20/1000)/('Gas parameters'!L18*'Gas parameters'!L22*('Gas parameters'!F12+273.15))</f>
        <v>8.691899090713713E-6</v>
      </c>
      <c r="O83" s="395">
        <f>(K83*M83)^2</f>
        <v>9.9550306496512574E-4</v>
      </c>
      <c r="P83" s="140" t="s">
        <v>33</v>
      </c>
      <c r="Q83" s="57"/>
      <c r="R83" s="57"/>
    </row>
    <row r="84" spans="2:18" ht="14.5" x14ac:dyDescent="0.3">
      <c r="B84" s="137"/>
      <c r="E84" s="158"/>
      <c r="F84" s="149"/>
      <c r="G84" s="136"/>
      <c r="K84" s="158"/>
      <c r="L84" s="136"/>
      <c r="M84" s="158"/>
      <c r="N84" s="136"/>
      <c r="O84" s="161"/>
      <c r="P84" s="140"/>
      <c r="Q84" s="57"/>
      <c r="R84" s="57"/>
    </row>
    <row r="85" spans="2:18" x14ac:dyDescent="0.3">
      <c r="B85" s="137" t="s">
        <v>359</v>
      </c>
      <c r="E85" s="397">
        <f>'Gas parameters'!O18</f>
        <v>1.1000000000000001E-3</v>
      </c>
      <c r="F85" s="136"/>
      <c r="G85" s="136"/>
      <c r="H85" s="108" t="s">
        <v>17</v>
      </c>
      <c r="J85" s="108" t="s">
        <v>15</v>
      </c>
      <c r="K85" s="175">
        <f>E85/2</f>
        <v>5.5000000000000003E-4</v>
      </c>
      <c r="M85" s="175">
        <f>-((('Gas parameters'!L20/1000)*(('Gas parameters'!F10*1000)+('Gas parameters'!O12*1000)))/(('Gas parameters'!L18^2)*'Gas parameters'!L22*('Gas parameters'!F12+273.15)))</f>
        <v>-186.0359092914793</v>
      </c>
      <c r="O85" s="395">
        <f>(K85*M85)^2</f>
        <v>1.0469331262637023E-2</v>
      </c>
      <c r="P85" s="140" t="s">
        <v>33</v>
      </c>
      <c r="Q85" s="57"/>
      <c r="R85" s="57"/>
    </row>
    <row r="86" spans="2:18" ht="14.5" x14ac:dyDescent="0.3">
      <c r="B86" s="137"/>
      <c r="E86" s="158"/>
      <c r="F86" s="149"/>
      <c r="G86" s="136"/>
      <c r="K86" s="158"/>
      <c r="L86" s="136"/>
      <c r="M86" s="136"/>
      <c r="N86" s="136"/>
      <c r="O86" s="161"/>
      <c r="P86" s="140"/>
      <c r="Q86" s="57"/>
      <c r="R86" s="57"/>
    </row>
    <row r="87" spans="2:18" ht="14.5" x14ac:dyDescent="0.3">
      <c r="B87" s="137"/>
      <c r="E87" s="158"/>
      <c r="F87" s="149"/>
      <c r="G87" s="136"/>
      <c r="K87" s="158"/>
      <c r="L87" s="136"/>
      <c r="M87" s="136"/>
      <c r="N87" s="136"/>
      <c r="O87" s="161"/>
      <c r="P87" s="140"/>
      <c r="Q87" s="57"/>
      <c r="R87" s="57"/>
    </row>
    <row r="88" spans="2:18" ht="14.5" x14ac:dyDescent="0.3">
      <c r="B88" s="137"/>
      <c r="E88" s="158"/>
      <c r="F88" s="149"/>
      <c r="G88" s="136"/>
      <c r="K88" s="158"/>
      <c r="L88" s="136"/>
      <c r="M88" s="136"/>
      <c r="N88" s="136"/>
      <c r="O88" s="161"/>
      <c r="P88" s="140"/>
      <c r="Q88" s="57"/>
      <c r="R88" s="57"/>
    </row>
    <row r="89" spans="2:18" ht="14.5" x14ac:dyDescent="0.3">
      <c r="B89" s="137"/>
      <c r="E89" s="158"/>
      <c r="F89" s="149"/>
      <c r="G89" s="136"/>
      <c r="K89" s="158"/>
      <c r="L89" s="136"/>
      <c r="M89" s="136"/>
      <c r="N89" s="136"/>
      <c r="O89" s="161"/>
      <c r="P89" s="140"/>
      <c r="Q89" s="57"/>
      <c r="R89" s="57"/>
    </row>
    <row r="90" spans="2:18" x14ac:dyDescent="0.3">
      <c r="B90" s="137"/>
      <c r="H90" s="136" t="s">
        <v>101</v>
      </c>
      <c r="J90" s="136"/>
      <c r="K90" s="136"/>
      <c r="O90" s="395">
        <f>SUM(O79,O81,O83,O85)</f>
        <v>4.3174666982679827E-2</v>
      </c>
      <c r="P90" s="140" t="s">
        <v>33</v>
      </c>
      <c r="Q90" s="57"/>
      <c r="R90" s="57"/>
    </row>
    <row r="91" spans="2:18" x14ac:dyDescent="0.3">
      <c r="B91" s="137"/>
      <c r="K91" s="136"/>
      <c r="O91" s="161"/>
      <c r="P91" s="140"/>
      <c r="Q91" s="57"/>
      <c r="R91" s="57"/>
    </row>
    <row r="92" spans="2:18" x14ac:dyDescent="0.3">
      <c r="B92" s="137"/>
      <c r="H92" s="136" t="s">
        <v>100</v>
      </c>
      <c r="O92" s="160">
        <f>SQRT(O90)</f>
        <v>0.20778514620318708</v>
      </c>
      <c r="P92" s="140" t="s">
        <v>20</v>
      </c>
      <c r="Q92" s="57"/>
      <c r="R92" s="57"/>
    </row>
    <row r="93" spans="2:18" x14ac:dyDescent="0.3">
      <c r="B93" s="137"/>
      <c r="K93" s="136"/>
      <c r="O93" s="161"/>
      <c r="P93" s="140"/>
      <c r="Q93" s="57"/>
      <c r="R93" s="57"/>
    </row>
    <row r="94" spans="2:18" x14ac:dyDescent="0.3">
      <c r="B94" s="137"/>
      <c r="H94" s="136" t="s">
        <v>99</v>
      </c>
      <c r="O94" s="160">
        <f>2*O92</f>
        <v>0.41557029240637416</v>
      </c>
      <c r="P94" s="140" t="s">
        <v>20</v>
      </c>
      <c r="Q94" s="57"/>
      <c r="R94" s="57"/>
    </row>
    <row r="95" spans="2:18" x14ac:dyDescent="0.3">
      <c r="B95" s="137"/>
      <c r="K95" s="136"/>
      <c r="O95" s="161"/>
      <c r="P95" s="140"/>
      <c r="Q95" s="57"/>
      <c r="R95" s="57"/>
    </row>
    <row r="96" spans="2:18" x14ac:dyDescent="0.3">
      <c r="B96" s="137"/>
      <c r="H96" s="136" t="s">
        <v>218</v>
      </c>
      <c r="O96" s="162">
        <f>'Gas parameters'!F18</f>
        <v>149.44264593384534</v>
      </c>
      <c r="P96" s="140" t="s">
        <v>20</v>
      </c>
      <c r="Q96" s="57"/>
      <c r="R96" s="57"/>
    </row>
    <row r="97" spans="1:20" x14ac:dyDescent="0.3">
      <c r="B97" s="137"/>
      <c r="K97" s="136"/>
      <c r="O97" s="161"/>
      <c r="P97" s="140"/>
      <c r="Q97" s="57"/>
      <c r="R97" s="57"/>
    </row>
    <row r="98" spans="1:20" x14ac:dyDescent="0.3">
      <c r="B98" s="137"/>
      <c r="H98" s="136" t="s">
        <v>98</v>
      </c>
      <c r="O98" s="160">
        <f>O92*200/O96</f>
        <v>0.27808012218301942</v>
      </c>
      <c r="P98" s="164" t="s">
        <v>8</v>
      </c>
      <c r="Q98" s="57"/>
      <c r="R98" s="57"/>
    </row>
    <row r="99" spans="1:20" x14ac:dyDescent="0.3">
      <c r="B99" s="141"/>
      <c r="C99" s="142"/>
      <c r="D99" s="142"/>
      <c r="E99" s="142"/>
      <c r="F99" s="142"/>
      <c r="G99" s="142"/>
      <c r="H99" s="143"/>
      <c r="I99" s="142"/>
      <c r="J99" s="142"/>
      <c r="K99" s="143"/>
      <c r="L99" s="142"/>
      <c r="M99" s="142"/>
      <c r="N99" s="142"/>
      <c r="O99" s="143"/>
      <c r="P99" s="144"/>
      <c r="Q99" s="57"/>
      <c r="R99" s="57"/>
    </row>
    <row r="100" spans="1:20" x14ac:dyDescent="0.3">
      <c r="B100" s="398"/>
      <c r="H100" s="136"/>
      <c r="K100" s="136"/>
      <c r="O100" s="136"/>
      <c r="P100" s="136"/>
      <c r="Q100" s="57"/>
      <c r="R100" s="57"/>
    </row>
    <row r="101" spans="1:20" ht="14.5" hidden="1" x14ac:dyDescent="0.35">
      <c r="A101" s="136"/>
      <c r="B101" s="167" t="s">
        <v>215</v>
      </c>
      <c r="C101" s="130"/>
      <c r="D101" s="130"/>
      <c r="E101" s="154"/>
      <c r="F101" s="131"/>
      <c r="G101" s="131"/>
      <c r="H101" s="130"/>
      <c r="I101" s="130"/>
      <c r="J101" s="130"/>
      <c r="K101" s="130"/>
      <c r="L101" s="130"/>
      <c r="M101" s="130"/>
      <c r="N101" s="130"/>
      <c r="O101" s="130"/>
      <c r="P101" s="145"/>
      <c r="Q101" s="128"/>
    </row>
    <row r="102" spans="1:20" hidden="1" x14ac:dyDescent="0.3">
      <c r="A102" s="136"/>
      <c r="B102" s="155"/>
      <c r="E102" s="156"/>
      <c r="F102" s="136"/>
      <c r="G102" s="136"/>
      <c r="P102" s="146"/>
      <c r="Q102" s="128"/>
    </row>
    <row r="103" spans="1:20" hidden="1" x14ac:dyDescent="0.3">
      <c r="A103" s="136"/>
      <c r="B103" s="137"/>
      <c r="E103" s="157" t="s">
        <v>95</v>
      </c>
      <c r="F103" s="136"/>
      <c r="G103" s="136"/>
      <c r="H103" s="157" t="s">
        <v>112</v>
      </c>
      <c r="J103" s="157" t="s">
        <v>111</v>
      </c>
      <c r="K103" s="157" t="s">
        <v>110</v>
      </c>
      <c r="O103" s="157" t="s">
        <v>108</v>
      </c>
      <c r="P103" s="146"/>
      <c r="Q103" s="128"/>
      <c r="T103" s="157" t="s">
        <v>109</v>
      </c>
    </row>
    <row r="104" spans="1:20" s="76" customFormat="1" hidden="1" x14ac:dyDescent="0.3">
      <c r="A104" s="148"/>
      <c r="B104" s="137"/>
      <c r="C104" s="128"/>
      <c r="D104" s="128"/>
      <c r="E104" s="168" t="s">
        <v>107</v>
      </c>
      <c r="F104" s="128"/>
      <c r="G104" s="136"/>
      <c r="H104" s="168" t="s">
        <v>106</v>
      </c>
      <c r="I104" s="128"/>
      <c r="J104" s="168" t="s">
        <v>105</v>
      </c>
      <c r="K104" s="168" t="s">
        <v>104</v>
      </c>
      <c r="L104" s="128"/>
      <c r="N104" s="128"/>
      <c r="O104" s="168" t="s">
        <v>102</v>
      </c>
      <c r="P104" s="146"/>
      <c r="Q104" s="152"/>
      <c r="S104" s="257" t="s">
        <v>222</v>
      </c>
      <c r="T104" s="168" t="s">
        <v>103</v>
      </c>
    </row>
    <row r="105" spans="1:20" ht="5.15" hidden="1" customHeight="1" x14ac:dyDescent="0.3">
      <c r="A105" s="136"/>
      <c r="B105" s="137"/>
      <c r="E105" s="158"/>
      <c r="F105" s="136"/>
      <c r="G105" s="136"/>
      <c r="H105" s="151"/>
      <c r="K105" s="158"/>
      <c r="L105" s="136"/>
      <c r="N105" s="136"/>
      <c r="O105" s="136"/>
      <c r="P105" s="140"/>
      <c r="Q105" s="128"/>
      <c r="S105" s="57"/>
      <c r="T105" s="136"/>
    </row>
    <row r="106" spans="1:20" hidden="1" x14ac:dyDescent="0.3">
      <c r="A106" s="136"/>
      <c r="B106" s="137" t="s">
        <v>216</v>
      </c>
      <c r="E106" s="399">
        <v>1E-3</v>
      </c>
      <c r="F106" s="136" t="s">
        <v>20</v>
      </c>
      <c r="G106" s="136"/>
      <c r="H106" s="108" t="s">
        <v>17</v>
      </c>
      <c r="J106" s="108" t="s">
        <v>15</v>
      </c>
      <c r="K106" s="160">
        <f>E106/2</f>
        <v>5.0000000000000001E-4</v>
      </c>
      <c r="L106" s="128" t="s">
        <v>20</v>
      </c>
      <c r="O106" s="395">
        <f>(K106*T106)^2</f>
        <v>2.4999999999999999E-7</v>
      </c>
      <c r="P106" s="140" t="s">
        <v>33</v>
      </c>
      <c r="Q106" s="128"/>
      <c r="S106" s="256">
        <v>1.5E-3</v>
      </c>
      <c r="T106" s="160">
        <v>1</v>
      </c>
    </row>
    <row r="107" spans="1:20" ht="14.5" hidden="1" x14ac:dyDescent="0.3">
      <c r="A107" s="136"/>
      <c r="B107" s="137" t="s">
        <v>217</v>
      </c>
      <c r="E107" s="158"/>
      <c r="F107" s="149"/>
      <c r="G107" s="136"/>
      <c r="K107" s="158"/>
      <c r="L107" s="136"/>
      <c r="M107" s="136"/>
      <c r="N107" s="136"/>
      <c r="O107" s="161"/>
      <c r="P107" s="140"/>
      <c r="Q107" s="128"/>
    </row>
    <row r="108" spans="1:20" hidden="1" x14ac:dyDescent="0.3">
      <c r="A108" s="136"/>
      <c r="B108" s="137"/>
      <c r="E108" s="400"/>
      <c r="H108" s="136" t="s">
        <v>101</v>
      </c>
      <c r="J108" s="136"/>
      <c r="K108" s="136"/>
      <c r="O108" s="395">
        <f>O106</f>
        <v>2.4999999999999999E-7</v>
      </c>
      <c r="P108" s="140" t="s">
        <v>33</v>
      </c>
      <c r="Q108" s="128"/>
    </row>
    <row r="109" spans="1:20" ht="7.15" hidden="1" customHeight="1" x14ac:dyDescent="0.3">
      <c r="A109" s="128"/>
      <c r="B109" s="137"/>
      <c r="K109" s="136"/>
      <c r="O109" s="161"/>
      <c r="P109" s="140"/>
      <c r="Q109" s="136"/>
      <c r="R109" s="57"/>
    </row>
    <row r="110" spans="1:20" hidden="1" x14ac:dyDescent="0.3">
      <c r="A110" s="136"/>
      <c r="B110" s="137"/>
      <c r="H110" s="136" t="s">
        <v>100</v>
      </c>
      <c r="O110" s="160">
        <f>SQRT(O108)</f>
        <v>5.0000000000000001E-4</v>
      </c>
      <c r="P110" s="140" t="s">
        <v>20</v>
      </c>
      <c r="Q110" s="128"/>
    </row>
    <row r="111" spans="1:20" ht="7.15" hidden="1" customHeight="1" x14ac:dyDescent="0.3">
      <c r="A111" s="128"/>
      <c r="B111" s="137"/>
      <c r="K111" s="136"/>
      <c r="O111" s="161"/>
      <c r="P111" s="140"/>
      <c r="Q111" s="136"/>
      <c r="R111" s="57"/>
    </row>
    <row r="112" spans="1:20" hidden="1" x14ac:dyDescent="0.3">
      <c r="A112" s="136"/>
      <c r="B112" s="137"/>
      <c r="H112" s="136" t="s">
        <v>99</v>
      </c>
      <c r="O112" s="160">
        <f>2*O110</f>
        <v>1E-3</v>
      </c>
      <c r="P112" s="140" t="s">
        <v>20</v>
      </c>
      <c r="Q112" s="128"/>
    </row>
    <row r="113" spans="1:18" ht="7.15" hidden="1" customHeight="1" x14ac:dyDescent="0.3">
      <c r="A113" s="128"/>
      <c r="B113" s="137"/>
      <c r="K113" s="136"/>
      <c r="O113" s="161"/>
      <c r="P113" s="140"/>
      <c r="Q113" s="136"/>
      <c r="R113" s="57"/>
    </row>
    <row r="114" spans="1:18" hidden="1" x14ac:dyDescent="0.3">
      <c r="A114" s="128"/>
      <c r="B114" s="137"/>
      <c r="H114" s="136" t="s">
        <v>218</v>
      </c>
      <c r="O114" s="162">
        <f>'Gas parameters'!F18</f>
        <v>149.44264593384534</v>
      </c>
      <c r="P114" s="140" t="s">
        <v>20</v>
      </c>
      <c r="Q114" s="128"/>
    </row>
    <row r="115" spans="1:18" ht="7.15" hidden="1" customHeight="1" x14ac:dyDescent="0.3">
      <c r="A115" s="128"/>
      <c r="B115" s="137"/>
      <c r="K115" s="136"/>
      <c r="O115" s="161"/>
      <c r="P115" s="140"/>
      <c r="Q115" s="136"/>
      <c r="R115" s="57"/>
    </row>
    <row r="116" spans="1:18" hidden="1" x14ac:dyDescent="0.3">
      <c r="A116" s="128"/>
      <c r="B116" s="137"/>
      <c r="H116" s="136" t="s">
        <v>98</v>
      </c>
      <c r="O116" s="160">
        <f>O110*200/O114</f>
        <v>6.691530344307983E-4</v>
      </c>
      <c r="P116" s="164" t="s">
        <v>8</v>
      </c>
      <c r="Q116" s="128"/>
    </row>
    <row r="117" spans="1:18" ht="7.15" hidden="1" customHeight="1" x14ac:dyDescent="0.3">
      <c r="A117" s="128"/>
      <c r="B117" s="141"/>
      <c r="C117" s="142"/>
      <c r="D117" s="142"/>
      <c r="E117" s="142"/>
      <c r="F117" s="142"/>
      <c r="G117" s="142"/>
      <c r="H117" s="143"/>
      <c r="I117" s="142"/>
      <c r="J117" s="142"/>
      <c r="K117" s="143"/>
      <c r="L117" s="142"/>
      <c r="M117" s="142"/>
      <c r="N117" s="142"/>
      <c r="O117" s="143"/>
      <c r="P117" s="144"/>
      <c r="Q117" s="136"/>
      <c r="R117" s="57"/>
    </row>
    <row r="118" spans="1:18" hidden="1" x14ac:dyDescent="0.3"/>
    <row r="119" spans="1:18" ht="14.5" x14ac:dyDescent="0.35">
      <c r="B119" s="167" t="s">
        <v>373</v>
      </c>
      <c r="C119" s="130"/>
      <c r="D119" s="130"/>
      <c r="E119" s="154"/>
      <c r="F119" s="131"/>
      <c r="G119" s="131"/>
      <c r="H119" s="130"/>
      <c r="I119" s="130"/>
      <c r="J119" s="130"/>
      <c r="K119" s="130"/>
      <c r="L119" s="130"/>
      <c r="M119" s="130"/>
      <c r="N119" s="130"/>
      <c r="O119" s="130"/>
      <c r="P119" s="145"/>
    </row>
    <row r="120" spans="1:18" x14ac:dyDescent="0.3">
      <c r="B120" s="155"/>
      <c r="E120" s="156"/>
      <c r="F120" s="136"/>
      <c r="G120" s="136"/>
      <c r="P120" s="146"/>
    </row>
    <row r="121" spans="1:18" x14ac:dyDescent="0.3">
      <c r="B121" s="137"/>
      <c r="E121" s="157" t="s">
        <v>95</v>
      </c>
      <c r="F121" s="136"/>
      <c r="G121" s="136"/>
      <c r="H121" s="157" t="s">
        <v>366</v>
      </c>
      <c r="J121" s="157" t="s">
        <v>111</v>
      </c>
      <c r="K121" s="157" t="s">
        <v>110</v>
      </c>
      <c r="M121" s="551" t="s">
        <v>367</v>
      </c>
      <c r="N121" s="394"/>
      <c r="O121" s="157" t="s">
        <v>108</v>
      </c>
      <c r="P121" s="146"/>
    </row>
    <row r="122" spans="1:18" x14ac:dyDescent="0.3">
      <c r="B122" s="137"/>
      <c r="E122" s="168" t="s">
        <v>107</v>
      </c>
      <c r="G122" s="136"/>
      <c r="H122" s="168" t="s">
        <v>368</v>
      </c>
      <c r="J122" s="168" t="s">
        <v>105</v>
      </c>
      <c r="K122" s="168" t="s">
        <v>104</v>
      </c>
      <c r="M122" s="551"/>
      <c r="O122" s="168" t="s">
        <v>102</v>
      </c>
      <c r="P122" s="146"/>
    </row>
    <row r="123" spans="1:18" x14ac:dyDescent="0.3">
      <c r="B123" s="137"/>
      <c r="E123" s="158"/>
      <c r="F123" s="136"/>
      <c r="G123" s="136"/>
      <c r="H123" s="151"/>
      <c r="K123" s="158"/>
      <c r="L123" s="136"/>
      <c r="N123" s="136"/>
      <c r="O123" s="136"/>
      <c r="P123" s="140"/>
    </row>
    <row r="124" spans="1:18" ht="14.5" x14ac:dyDescent="0.3">
      <c r="B124" s="137"/>
      <c r="E124" s="158"/>
      <c r="F124" s="149"/>
      <c r="G124" s="136"/>
      <c r="K124" s="158"/>
      <c r="L124" s="136"/>
      <c r="M124" s="158"/>
      <c r="N124" s="136"/>
      <c r="O124" s="161"/>
      <c r="P124" s="140"/>
    </row>
    <row r="125" spans="1:18" x14ac:dyDescent="0.3">
      <c r="B125" s="137" t="s">
        <v>370</v>
      </c>
      <c r="E125" s="397">
        <f>'Gas parameters'!O20/1000</f>
        <v>4.2999999999999995E-5</v>
      </c>
      <c r="F125" s="136" t="s">
        <v>371</v>
      </c>
      <c r="G125" s="136"/>
      <c r="H125" s="108" t="s">
        <v>17</v>
      </c>
      <c r="J125" s="108" t="s">
        <v>15</v>
      </c>
      <c r="K125" s="160">
        <f>E125/2</f>
        <v>2.1499999999999997E-5</v>
      </c>
      <c r="M125" s="397">
        <f>(('Gas parameters'!O12*1000)/('Gas parameters'!L18*'Gas parameters'!L22*(20+273.15)))</f>
        <v>51.750230312848629</v>
      </c>
      <c r="N125" s="128" t="s">
        <v>374</v>
      </c>
      <c r="O125" s="395">
        <f>(K125*M125)^2</f>
        <v>1.2379454094783469E-6</v>
      </c>
      <c r="P125" s="140" t="s">
        <v>33</v>
      </c>
    </row>
    <row r="126" spans="1:18" ht="14.5" x14ac:dyDescent="0.3">
      <c r="B126" s="137"/>
      <c r="E126" s="158"/>
      <c r="F126" s="149"/>
      <c r="G126" s="136"/>
      <c r="K126" s="158"/>
      <c r="L126" s="136"/>
      <c r="M126" s="158"/>
      <c r="N126" s="136"/>
      <c r="O126" s="161"/>
      <c r="P126" s="140"/>
    </row>
    <row r="127" spans="1:18" x14ac:dyDescent="0.3">
      <c r="B127" s="137" t="s">
        <v>359</v>
      </c>
      <c r="E127" s="397">
        <f>'Gas parameters'!O18</f>
        <v>1.1000000000000001E-3</v>
      </c>
      <c r="F127" s="136"/>
      <c r="G127" s="136"/>
      <c r="H127" s="108" t="s">
        <v>17</v>
      </c>
      <c r="J127" s="108" t="s">
        <v>15</v>
      </c>
      <c r="K127" s="175">
        <f>E127/2</f>
        <v>5.5000000000000003E-4</v>
      </c>
      <c r="M127" s="175">
        <f>-((('Gas parameters'!L20/1000)*('Gas parameters'!O12*1000))/(('Gas parameters'!L18^2)*'Gas parameters'!L22*(20+273.15)))</f>
        <v>-1.1729322087713621</v>
      </c>
      <c r="O127" s="175">
        <f>(K127*M127)^2</f>
        <v>4.16170414827913E-7</v>
      </c>
      <c r="P127" s="140" t="s">
        <v>33</v>
      </c>
    </row>
    <row r="128" spans="1:18" x14ac:dyDescent="0.3">
      <c r="B128" s="137"/>
      <c r="P128" s="146"/>
    </row>
    <row r="129" spans="2:16" x14ac:dyDescent="0.3">
      <c r="B129" s="137"/>
      <c r="H129" s="136" t="s">
        <v>101</v>
      </c>
      <c r="J129" s="136"/>
      <c r="K129" s="136"/>
      <c r="O129" s="395">
        <f>SUM(O125,O127)</f>
        <v>1.65411582430626E-6</v>
      </c>
      <c r="P129" s="140" t="s">
        <v>33</v>
      </c>
    </row>
    <row r="130" spans="2:16" x14ac:dyDescent="0.3">
      <c r="B130" s="137"/>
      <c r="K130" s="136"/>
      <c r="O130" s="161"/>
      <c r="P130" s="140"/>
    </row>
    <row r="131" spans="2:16" s="57" customFormat="1" x14ac:dyDescent="0.3">
      <c r="B131" s="189"/>
      <c r="C131" s="136"/>
      <c r="D131" s="136"/>
      <c r="E131" s="136"/>
      <c r="F131" s="136"/>
      <c r="G131" s="136"/>
      <c r="H131" s="136" t="s">
        <v>100</v>
      </c>
      <c r="I131" s="128"/>
      <c r="J131" s="128"/>
      <c r="K131" s="128"/>
      <c r="L131" s="128"/>
      <c r="M131" s="128"/>
      <c r="N131" s="128"/>
      <c r="O131" s="160">
        <f>SQRT(O129)</f>
        <v>1.2861243424748092E-3</v>
      </c>
      <c r="P131" s="140" t="s">
        <v>20</v>
      </c>
    </row>
    <row r="132" spans="2:16" s="57" customFormat="1" x14ac:dyDescent="0.3">
      <c r="B132" s="189"/>
      <c r="C132" s="136"/>
      <c r="D132" s="136"/>
      <c r="E132" s="136"/>
      <c r="F132" s="136"/>
      <c r="G132" s="136"/>
      <c r="H132" s="128"/>
      <c r="I132" s="128"/>
      <c r="J132" s="128"/>
      <c r="K132" s="136"/>
      <c r="L132" s="128"/>
      <c r="M132" s="128"/>
      <c r="N132" s="128"/>
      <c r="O132" s="161"/>
      <c r="P132" s="140"/>
    </row>
    <row r="133" spans="2:16" s="57" customFormat="1" x14ac:dyDescent="0.3">
      <c r="B133" s="189"/>
      <c r="C133" s="136"/>
      <c r="D133" s="136"/>
      <c r="E133" s="136"/>
      <c r="F133" s="136"/>
      <c r="G133" s="136"/>
      <c r="H133" s="136" t="s">
        <v>99</v>
      </c>
      <c r="I133" s="128"/>
      <c r="J133" s="128"/>
      <c r="K133" s="128"/>
      <c r="L133" s="128"/>
      <c r="M133" s="128"/>
      <c r="N133" s="128"/>
      <c r="O133" s="160">
        <f>2*O131</f>
        <v>2.5722486849496184E-3</v>
      </c>
      <c r="P133" s="140" t="s">
        <v>20</v>
      </c>
    </row>
    <row r="134" spans="2:16" s="57" customFormat="1" x14ac:dyDescent="0.25">
      <c r="B134" s="210"/>
      <c r="C134" s="143"/>
      <c r="D134" s="143"/>
      <c r="E134" s="143"/>
      <c r="F134" s="143"/>
      <c r="G134" s="143"/>
      <c r="H134" s="143"/>
      <c r="I134" s="143"/>
      <c r="J134" s="143"/>
      <c r="K134" s="143"/>
      <c r="L134" s="143"/>
      <c r="M134" s="143"/>
      <c r="N134" s="143"/>
      <c r="O134" s="143"/>
      <c r="P134" s="144"/>
    </row>
    <row r="135" spans="2:16" s="57" customFormat="1" x14ac:dyDescent="0.25">
      <c r="B135" s="136"/>
      <c r="C135" s="136"/>
      <c r="D135" s="136"/>
      <c r="E135" s="136"/>
      <c r="F135" s="136"/>
      <c r="G135" s="136"/>
      <c r="H135" s="136"/>
      <c r="I135" s="136"/>
      <c r="J135" s="136"/>
      <c r="K135" s="136"/>
      <c r="L135" s="136"/>
      <c r="M135" s="136"/>
      <c r="N135" s="136"/>
      <c r="O135" s="136"/>
      <c r="P135" s="136"/>
    </row>
    <row r="136" spans="2:16" s="57" customFormat="1" x14ac:dyDescent="0.25">
      <c r="B136" s="136"/>
      <c r="C136" s="136"/>
      <c r="D136" s="136"/>
      <c r="E136" s="136"/>
      <c r="F136" s="136"/>
      <c r="G136" s="136"/>
      <c r="H136" s="136"/>
      <c r="I136" s="136"/>
      <c r="J136" s="136"/>
      <c r="K136" s="136"/>
      <c r="L136" s="136"/>
      <c r="M136" s="136"/>
      <c r="N136" s="136"/>
      <c r="O136" s="136"/>
      <c r="P136" s="136"/>
    </row>
    <row r="137" spans="2:16" s="57" customFormat="1" x14ac:dyDescent="0.25">
      <c r="B137" s="136"/>
      <c r="C137" s="136"/>
      <c r="D137" s="136"/>
      <c r="E137" s="136"/>
      <c r="F137" s="136"/>
      <c r="G137" s="136"/>
      <c r="H137" s="136"/>
      <c r="I137" s="136"/>
      <c r="J137" s="136"/>
      <c r="K137" s="136"/>
      <c r="L137" s="136"/>
      <c r="M137" s="136"/>
      <c r="N137" s="136"/>
      <c r="O137" s="136"/>
      <c r="P137" s="136"/>
    </row>
    <row r="138" spans="2:16" s="57" customFormat="1" x14ac:dyDescent="0.25">
      <c r="B138" s="136"/>
      <c r="C138" s="136"/>
      <c r="D138" s="136"/>
      <c r="E138" s="136"/>
      <c r="F138" s="136"/>
      <c r="G138" s="136"/>
      <c r="H138" s="136"/>
      <c r="I138" s="136"/>
      <c r="J138" s="136"/>
      <c r="K138" s="136"/>
      <c r="L138" s="136"/>
      <c r="M138" s="136"/>
      <c r="N138" s="136"/>
      <c r="O138" s="136"/>
      <c r="P138" s="136"/>
    </row>
  </sheetData>
  <mergeCells count="21">
    <mergeCell ref="B57:C58"/>
    <mergeCell ref="B59:C60"/>
    <mergeCell ref="J21:K21"/>
    <mergeCell ref="J24:K24"/>
    <mergeCell ref="J25:K25"/>
    <mergeCell ref="M76:M77"/>
    <mergeCell ref="M121:M122"/>
    <mergeCell ref="B5:P5"/>
    <mergeCell ref="B6:P6"/>
    <mergeCell ref="B8:P8"/>
    <mergeCell ref="J18:K18"/>
    <mergeCell ref="J19:K19"/>
    <mergeCell ref="B55:C56"/>
    <mergeCell ref="B25:E25"/>
    <mergeCell ref="B27:E27"/>
    <mergeCell ref="B29:E29"/>
    <mergeCell ref="J29:K29"/>
    <mergeCell ref="F44:G44"/>
    <mergeCell ref="J27:K27"/>
    <mergeCell ref="B53:C54"/>
    <mergeCell ref="B61:C62"/>
  </mergeCells>
  <dataValidations count="10">
    <dataValidation type="list" allowBlank="1" showInputMessage="1" showErrorMessage="1" sqref="M25 J55 M29 M27" xr:uid="{00000000-0002-0000-0300-000000000000}">
      <formula1>$C$110:$C$111</formula1>
    </dataValidation>
    <dataValidation type="list" allowBlank="1" showInputMessage="1" showErrorMessage="1" sqref="J25:K25 H55 J29:K29 J27:K27" xr:uid="{00000000-0002-0000-0300-000001000000}">
      <formula1>$B$108:$B$111</formula1>
    </dataValidation>
    <dataValidation type="list" allowBlank="1" showInputMessage="1" showErrorMessage="1" sqref="F12" xr:uid="{00000000-0002-0000-0300-000002000000}">
      <formula1>$B$113:$B$115</formula1>
    </dataValidation>
    <dataValidation type="list" allowBlank="1" showInputMessage="1" showErrorMessage="1" sqref="F44:G44" xr:uid="{00000000-0002-0000-0300-000003000000}">
      <formula1>$B$117:$B$118</formula1>
    </dataValidation>
    <dataValidation type="decimal" operator="greaterThanOrEqual" allowBlank="1" showInputMessage="1" showErrorMessage="1" errorTitle="Out of range" error="Temperatures have to be above -273 °C" sqref="E60 E62 E107 E80 E82 E84 E86:E89 E124 E126" xr:uid="{00000000-0002-0000-0300-000004000000}">
      <formula1>-273</formula1>
    </dataValidation>
    <dataValidation type="list" allowBlank="1" showInputMessage="1" showErrorMessage="1" sqref="J54 H30 H54" xr:uid="{00000000-0002-0000-0300-000005000000}">
      <formula1>#REF!</formula1>
    </dataValidation>
    <dataValidation type="decimal" operator="greaterThanOrEqual" allowBlank="1" showInputMessage="1" showErrorMessage="1" errorTitle="Out of range" error="Uncertainties cannot be negative" sqref="H21:H29 E61 E30 E53:E59 E106 E79 E81 E83 E85 E125 E127" xr:uid="{00000000-0002-0000-0300-000007000000}">
      <formula1>0</formula1>
    </dataValidation>
    <dataValidation type="decimal" operator="greaterThan" allowBlank="1" showInputMessage="1" showErrorMessage="1" errorTitle="Out of range" error="Input has to be positive" sqref="H20 N15 K60 K62 J57:J59 J61 N47:N48 K52 E52 O20 E105 K105 K107 E78 K78 K80 K82 K84 K86:K89 M80 M82 M84 E123 K123:K124 K126 M124 M126" xr:uid="{00000000-0002-0000-0300-000008000000}">
      <formula1>0</formula1>
    </dataValidation>
    <dataValidation type="list" allowBlank="1" showInputMessage="1" showErrorMessage="1" sqref="H125 H127 H106 H79 H81 H83 H85" xr:uid="{6EA5CE9A-B1C6-4DD4-800F-AC0DFB0F23AA}">
      <formula1>$B$143:$B$146</formula1>
    </dataValidation>
    <dataValidation type="list" allowBlank="1" showInputMessage="1" showErrorMessage="1" sqref="J125 J127 J106 J79 J81 J83 J85" xr:uid="{F1520F1A-8F4E-4722-8FD5-195995995E2E}">
      <formula1>$C$145:$C$146</formula1>
    </dataValidation>
  </dataValidations>
  <printOptions horizontalCentered="1"/>
  <pageMargins left="0.19685039370078741" right="0.19685039370078741" top="0.43307086614173229" bottom="0.59055118110236227" header="0.19685039370078741" footer="0.19685039370078741"/>
  <pageSetup paperSize="9" scale="52" orientation="portrait" r:id="rId1"/>
  <headerFooter alignWithMargins="0">
    <oddFooter>Página &amp;P de &amp;N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2">
    <pageSetUpPr autoPageBreaks="0" fitToPage="1"/>
  </sheetPr>
  <dimension ref="A1:X85"/>
  <sheetViews>
    <sheetView view="pageBreakPreview" zoomScale="115" zoomScaleNormal="100" zoomScaleSheetLayoutView="115" workbookViewId="0">
      <selection activeCell="F25" sqref="F25"/>
    </sheetView>
  </sheetViews>
  <sheetFormatPr defaultColWidth="9.1796875" defaultRowHeight="13" x14ac:dyDescent="0.25"/>
  <cols>
    <col min="1" max="1" width="1.81640625" style="57" customWidth="1"/>
    <col min="2" max="2" width="2.453125" style="136" customWidth="1"/>
    <col min="3" max="3" width="29.1796875" style="136" customWidth="1"/>
    <col min="4" max="4" width="9.453125" style="136" customWidth="1"/>
    <col min="5" max="5" width="1.453125" style="136" customWidth="1"/>
    <col min="6" max="6" width="12.54296875" style="136" customWidth="1"/>
    <col min="7" max="7" width="6.54296875" style="136" customWidth="1"/>
    <col min="8" max="8" width="22.1796875" style="136" bestFit="1" customWidth="1"/>
    <col min="9" max="9" width="1.81640625" style="136" customWidth="1"/>
    <col min="10" max="10" width="0.81640625" style="136" customWidth="1"/>
    <col min="11" max="11" width="2" style="136" customWidth="1"/>
    <col min="12" max="12" width="1" style="136" customWidth="1"/>
    <col min="13" max="13" width="8.453125" style="136" customWidth="1"/>
    <col min="14" max="14" width="4.54296875" style="136" customWidth="1"/>
    <col min="15" max="15" width="1.1796875" style="136" customWidth="1"/>
    <col min="16" max="16" width="10.1796875" style="136" customWidth="1"/>
    <col min="17" max="17" width="13.1796875" style="136" customWidth="1"/>
    <col min="18" max="18" width="11.54296875" style="136" customWidth="1"/>
    <col min="19" max="19" width="7.54296875" style="136" customWidth="1"/>
    <col min="20" max="20" width="1.54296875" style="57" customWidth="1"/>
    <col min="21" max="23" width="9.1796875" style="57"/>
    <col min="24" max="24" width="10" style="57" bestFit="1" customWidth="1"/>
    <col min="25" max="16384" width="9.1796875" style="57"/>
  </cols>
  <sheetData>
    <row r="1" spans="1:22" ht="10.5" customHeight="1" x14ac:dyDescent="0.25">
      <c r="B1" s="188"/>
      <c r="C1" s="131"/>
      <c r="D1" s="131"/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5"/>
    </row>
    <row r="2" spans="1:22" ht="18" customHeight="1" x14ac:dyDescent="0.3">
      <c r="B2" s="189"/>
      <c r="D2" s="190"/>
      <c r="E2" s="190"/>
      <c r="F2" s="190"/>
      <c r="G2" s="190"/>
      <c r="H2" s="190"/>
      <c r="I2" s="190"/>
      <c r="J2" s="190"/>
      <c r="K2" s="190"/>
      <c r="L2" s="190"/>
      <c r="M2" s="190"/>
      <c r="S2" s="140"/>
    </row>
    <row r="3" spans="1:22" x14ac:dyDescent="0.25">
      <c r="B3" s="189"/>
      <c r="D3" s="191"/>
      <c r="S3" s="140"/>
    </row>
    <row r="4" spans="1:22" ht="19.5" customHeight="1" x14ac:dyDescent="0.25">
      <c r="B4" s="189"/>
      <c r="D4" s="191"/>
      <c r="S4" s="140"/>
    </row>
    <row r="5" spans="1:22" s="55" customFormat="1" ht="48" customHeight="1" x14ac:dyDescent="0.6">
      <c r="A5" s="128"/>
      <c r="B5" s="538" t="str">
        <f>Report!B1</f>
        <v>Relatório de Cálculo de Incerteza - Nº FORTE-UCG-FE-1231010B-26-04
Uncertainty Calculation Report - Nº FORTE-UCG-FE-1231010B-26-04</v>
      </c>
      <c r="C5" s="539"/>
      <c r="D5" s="539"/>
      <c r="E5" s="539"/>
      <c r="F5" s="539"/>
      <c r="G5" s="539"/>
      <c r="H5" s="539"/>
      <c r="I5" s="539"/>
      <c r="J5" s="539"/>
      <c r="K5" s="539"/>
      <c r="L5" s="539"/>
      <c r="M5" s="539"/>
      <c r="N5" s="539"/>
      <c r="O5" s="539"/>
      <c r="P5" s="539"/>
      <c r="Q5" s="539"/>
      <c r="R5" s="539"/>
      <c r="S5" s="540"/>
    </row>
    <row r="6" spans="1:22" s="55" customFormat="1" ht="15.5" x14ac:dyDescent="0.3">
      <c r="A6" s="128"/>
      <c r="B6" s="544"/>
      <c r="C6" s="545"/>
      <c r="D6" s="545"/>
      <c r="E6" s="545"/>
      <c r="F6" s="545"/>
      <c r="G6" s="545"/>
      <c r="H6" s="545"/>
      <c r="I6" s="545"/>
      <c r="J6" s="545"/>
      <c r="K6" s="545"/>
      <c r="L6" s="545"/>
      <c r="M6" s="545"/>
      <c r="N6" s="545"/>
      <c r="O6" s="545"/>
      <c r="P6" s="545"/>
      <c r="Q6" s="545"/>
      <c r="R6" s="545"/>
      <c r="S6" s="546"/>
    </row>
    <row r="7" spans="1:22" s="55" customFormat="1" ht="15.5" x14ac:dyDescent="0.3">
      <c r="A7" s="128"/>
      <c r="B7" s="279"/>
      <c r="C7" s="280"/>
      <c r="D7" s="280"/>
      <c r="E7" s="280"/>
      <c r="F7" s="280"/>
      <c r="G7" s="280"/>
      <c r="H7" s="280"/>
      <c r="I7" s="280"/>
      <c r="J7" s="280"/>
      <c r="K7" s="280"/>
      <c r="L7" s="280"/>
      <c r="M7" s="280"/>
      <c r="N7" s="280"/>
      <c r="O7" s="280"/>
      <c r="P7" s="280"/>
      <c r="Q7" s="280"/>
      <c r="R7" s="280"/>
      <c r="S7" s="281"/>
    </row>
    <row r="8" spans="1:22" s="55" customFormat="1" ht="19.5" customHeight="1" x14ac:dyDescent="0.3">
      <c r="A8" s="128"/>
      <c r="B8" s="541"/>
      <c r="C8" s="542"/>
      <c r="D8" s="542"/>
      <c r="E8" s="542"/>
      <c r="F8" s="542"/>
      <c r="G8" s="542"/>
      <c r="H8" s="542"/>
      <c r="I8" s="542"/>
      <c r="J8" s="542"/>
      <c r="K8" s="542"/>
      <c r="L8" s="542"/>
      <c r="M8" s="542"/>
      <c r="N8" s="542"/>
      <c r="O8" s="542"/>
      <c r="P8" s="542"/>
      <c r="Q8" s="542"/>
      <c r="R8" s="542"/>
      <c r="S8" s="543"/>
      <c r="V8" s="55">
        <f>IF('Gas parameters'!B147=TRUE,('Gas parameters'!O81),'Gas parameters'!O41)</f>
        <v>4.3666314852477794E-2</v>
      </c>
    </row>
    <row r="9" spans="1:22" s="55" customFormat="1" ht="5.15" customHeight="1" x14ac:dyDescent="0.3">
      <c r="A9" s="128"/>
      <c r="B9" s="128"/>
      <c r="C9" s="128"/>
      <c r="D9" s="128"/>
      <c r="E9" s="128"/>
      <c r="F9" s="136"/>
      <c r="G9" s="136"/>
      <c r="H9" s="136"/>
      <c r="I9" s="136"/>
      <c r="J9" s="128"/>
      <c r="K9" s="139"/>
      <c r="L9" s="136"/>
      <c r="M9" s="136"/>
      <c r="N9" s="136"/>
      <c r="O9" s="136"/>
      <c r="P9" s="136"/>
      <c r="Q9" s="136"/>
      <c r="R9" s="136"/>
      <c r="S9" s="128"/>
    </row>
    <row r="10" spans="1:22" ht="20.25" customHeight="1" x14ac:dyDescent="0.25">
      <c r="A10" s="62"/>
      <c r="B10" s="188"/>
      <c r="C10" s="192"/>
      <c r="D10" s="131"/>
      <c r="E10" s="131"/>
      <c r="F10" s="131"/>
      <c r="G10" s="192"/>
      <c r="H10" s="131"/>
      <c r="I10" s="131"/>
      <c r="J10" s="131"/>
      <c r="K10" s="131"/>
      <c r="L10" s="131"/>
      <c r="M10" s="131"/>
      <c r="N10" s="131"/>
      <c r="O10" s="131"/>
      <c r="P10" s="131"/>
      <c r="Q10" s="131"/>
      <c r="R10" s="131"/>
      <c r="S10" s="135"/>
    </row>
    <row r="11" spans="1:22" ht="15" customHeight="1" x14ac:dyDescent="0.25">
      <c r="A11" s="62"/>
      <c r="E11" s="193"/>
      <c r="F11" s="239" t="s">
        <v>140</v>
      </c>
      <c r="G11" s="193"/>
      <c r="H11" s="372">
        <v>1757.9097806480299</v>
      </c>
      <c r="I11" s="193"/>
      <c r="J11" s="193"/>
      <c r="K11" s="194"/>
      <c r="L11" s="194"/>
      <c r="M11" s="194" t="s">
        <v>59</v>
      </c>
      <c r="N11" s="193"/>
      <c r="O11" s="193"/>
      <c r="P11" s="193"/>
      <c r="Q11" s="193"/>
      <c r="S11" s="140"/>
    </row>
    <row r="12" spans="1:22" ht="2.25" hidden="1" customHeight="1" x14ac:dyDescent="0.25">
      <c r="A12" s="62"/>
      <c r="C12" s="174"/>
      <c r="F12" s="169"/>
      <c r="G12" s="172" t="s">
        <v>148</v>
      </c>
      <c r="H12" s="195">
        <f>'Gas parameters'!F18*PI()*'Meter run parameters'!F12^2*0.000001/4*3600</f>
        <v>3254.3192830063695</v>
      </c>
      <c r="K12" s="136" t="s">
        <v>59</v>
      </c>
      <c r="S12" s="140"/>
    </row>
    <row r="13" spans="1:22" ht="12.75" customHeight="1" x14ac:dyDescent="0.25">
      <c r="A13" s="62"/>
      <c r="C13" s="174"/>
      <c r="F13" s="169"/>
      <c r="S13" s="140"/>
    </row>
    <row r="14" spans="1:22" ht="14.5" x14ac:dyDescent="0.25">
      <c r="A14" s="62"/>
      <c r="B14" s="196"/>
      <c r="C14" s="174"/>
      <c r="G14" s="174"/>
      <c r="S14" s="140"/>
    </row>
    <row r="15" spans="1:22" x14ac:dyDescent="0.25">
      <c r="A15" s="62"/>
      <c r="C15" s="197"/>
      <c r="D15" s="198"/>
      <c r="E15" s="197"/>
      <c r="F15" s="157" t="s">
        <v>250</v>
      </c>
      <c r="G15" s="157"/>
      <c r="H15" s="157" t="s">
        <v>251</v>
      </c>
      <c r="I15" s="157"/>
      <c r="J15" s="157"/>
      <c r="K15" s="157"/>
      <c r="L15" s="199"/>
      <c r="M15" s="157" t="s">
        <v>256</v>
      </c>
      <c r="N15" s="157"/>
      <c r="O15" s="157"/>
      <c r="P15" s="157" t="s">
        <v>109</v>
      </c>
      <c r="Q15" s="191"/>
      <c r="R15" s="157" t="s">
        <v>108</v>
      </c>
      <c r="S15" s="140"/>
    </row>
    <row r="16" spans="1:22" x14ac:dyDescent="0.25">
      <c r="A16" s="62"/>
      <c r="C16" s="200" t="s">
        <v>147</v>
      </c>
      <c r="D16" s="201"/>
      <c r="E16" s="200"/>
      <c r="F16" s="202" t="s">
        <v>107</v>
      </c>
      <c r="G16" s="203"/>
      <c r="H16" s="202" t="s">
        <v>106</v>
      </c>
      <c r="I16" s="203"/>
      <c r="J16" s="203"/>
      <c r="K16" s="202"/>
      <c r="L16" s="204"/>
      <c r="M16" s="202" t="s">
        <v>257</v>
      </c>
      <c r="N16" s="203"/>
      <c r="O16" s="205"/>
      <c r="P16" s="202" t="s">
        <v>103</v>
      </c>
      <c r="Q16" s="204"/>
      <c r="R16" s="168" t="s">
        <v>102</v>
      </c>
      <c r="S16" s="140"/>
    </row>
    <row r="17" spans="1:24" x14ac:dyDescent="0.25">
      <c r="A17" s="62"/>
      <c r="E17" s="150"/>
      <c r="F17" s="150"/>
      <c r="G17" s="139"/>
      <c r="H17" s="206"/>
      <c r="I17" s="150"/>
      <c r="J17" s="150"/>
      <c r="M17" s="206"/>
      <c r="N17" s="206"/>
      <c r="O17" s="150"/>
      <c r="P17" s="207"/>
      <c r="R17" s="208"/>
      <c r="S17" s="140"/>
    </row>
    <row r="18" spans="1:24" ht="7" customHeight="1" x14ac:dyDescent="0.3">
      <c r="A18" s="62"/>
      <c r="C18" s="235"/>
      <c r="D18" s="236"/>
      <c r="E18" s="150"/>
      <c r="F18" s="209"/>
      <c r="G18" s="151"/>
      <c r="H18" s="176"/>
      <c r="I18" s="150"/>
      <c r="J18" s="150"/>
      <c r="K18" s="128"/>
      <c r="M18" s="180"/>
      <c r="N18" s="151"/>
      <c r="O18" s="150"/>
      <c r="P18" s="176"/>
      <c r="R18" s="206"/>
      <c r="S18" s="140"/>
      <c r="U18" s="109" t="s">
        <v>167</v>
      </c>
    </row>
    <row r="19" spans="1:24" ht="12.75" customHeight="1" x14ac:dyDescent="0.3">
      <c r="A19" s="62"/>
      <c r="C19" s="235" t="s">
        <v>146</v>
      </c>
      <c r="D19" s="236"/>
      <c r="E19" s="150"/>
      <c r="F19" s="162">
        <f>'Meter run parameters'!E49</f>
        <v>0.05</v>
      </c>
      <c r="G19" s="151" t="s">
        <v>6</v>
      </c>
      <c r="H19" s="159" t="s">
        <v>253</v>
      </c>
      <c r="I19" s="150"/>
      <c r="J19" s="150"/>
      <c r="K19" s="128"/>
      <c r="M19" s="162">
        <f>F19/'Meter run parameters'!I19</f>
        <v>2.4875621890547268E-2</v>
      </c>
      <c r="N19" s="151" t="s">
        <v>6</v>
      </c>
      <c r="O19" s="150"/>
      <c r="P19" s="162">
        <f>'Sensitivity coefficients'!B8/(1-'Sensitivity coefficients'!B18)</f>
        <v>92.428184859621652</v>
      </c>
      <c r="Q19" s="136" t="s">
        <v>89</v>
      </c>
      <c r="R19" s="162">
        <f>(M19*P19)^2</f>
        <v>5.2863600878965844</v>
      </c>
      <c r="S19" s="140" t="s">
        <v>82</v>
      </c>
    </row>
    <row r="20" spans="1:24" ht="7" customHeight="1" x14ac:dyDescent="0.3">
      <c r="A20" s="62"/>
      <c r="C20" s="235"/>
      <c r="D20" s="236"/>
      <c r="E20" s="150"/>
      <c r="F20" s="209"/>
      <c r="G20" s="151"/>
      <c r="H20" s="176"/>
      <c r="I20" s="150"/>
      <c r="J20" s="150"/>
      <c r="K20" s="128"/>
      <c r="M20" s="180"/>
      <c r="N20" s="151"/>
      <c r="O20" s="150"/>
      <c r="P20" s="176"/>
      <c r="R20" s="206"/>
      <c r="S20" s="140"/>
    </row>
    <row r="21" spans="1:24" ht="12.75" customHeight="1" x14ac:dyDescent="0.3">
      <c r="A21" s="62"/>
      <c r="C21" s="235" t="s">
        <v>127</v>
      </c>
      <c r="D21" s="236"/>
      <c r="E21" s="150"/>
      <c r="F21" s="162">
        <f>'Meter run parameters'!E19</f>
        <v>0.06</v>
      </c>
      <c r="G21" s="151" t="s">
        <v>6</v>
      </c>
      <c r="H21" s="159" t="s">
        <v>253</v>
      </c>
      <c r="I21" s="150"/>
      <c r="J21" s="150"/>
      <c r="K21" s="128"/>
      <c r="M21" s="162">
        <f>F21/'Meter run parameters'!I49</f>
        <v>0.03</v>
      </c>
      <c r="N21" s="151" t="s">
        <v>6</v>
      </c>
      <c r="O21" s="150"/>
      <c r="P21" s="162">
        <f>'Sensitivity coefficients'!B8/(1-'Sensitivity coefficients'!B18)</f>
        <v>92.428184859621652</v>
      </c>
      <c r="Q21" s="136" t="s">
        <v>89</v>
      </c>
      <c r="R21" s="162">
        <f>(M21*P21)^2</f>
        <v>7.6886724207999544</v>
      </c>
      <c r="S21" s="140" t="s">
        <v>82</v>
      </c>
    </row>
    <row r="22" spans="1:24" ht="7" customHeight="1" x14ac:dyDescent="0.3">
      <c r="A22" s="62"/>
      <c r="C22" s="235"/>
      <c r="D22" s="236"/>
      <c r="E22" s="150"/>
      <c r="F22" s="209"/>
      <c r="G22" s="151"/>
      <c r="H22" s="176"/>
      <c r="I22" s="150"/>
      <c r="J22" s="150"/>
      <c r="K22" s="128"/>
      <c r="M22" s="226"/>
      <c r="N22" s="151"/>
      <c r="O22" s="150"/>
      <c r="P22" s="176"/>
      <c r="R22" s="206"/>
      <c r="S22" s="140"/>
    </row>
    <row r="23" spans="1:24" ht="12.75" customHeight="1" x14ac:dyDescent="0.3">
      <c r="A23" s="62"/>
      <c r="C23" s="235" t="s">
        <v>144</v>
      </c>
      <c r="D23" s="236"/>
      <c r="E23" s="150"/>
      <c r="F23" s="185">
        <f>'Coef Disc &amp; Expansao'!O35</f>
        <v>3.4718514492473773E-3</v>
      </c>
      <c r="G23" s="151"/>
      <c r="H23" s="159" t="s">
        <v>252</v>
      </c>
      <c r="I23" s="150"/>
      <c r="J23" s="150"/>
      <c r="K23" s="128"/>
      <c r="M23" s="283">
        <f>IF(H23=$C$78,F23,IF(H23=$C$79,F23/2,IF(H23=$C$80,F23/3,F23/SQRT(3))))</f>
        <v>1.7359257246236887E-3</v>
      </c>
      <c r="N23" s="151"/>
      <c r="O23" s="150"/>
      <c r="P23" s="162">
        <f>'Sensitivity coefficients'!B9/(1-'Sensitivity coefficients'!B18)</f>
        <v>2919.5906230708638</v>
      </c>
      <c r="Q23" s="136" t="s">
        <v>59</v>
      </c>
      <c r="R23" s="162">
        <f>(M23*P23)^2</f>
        <v>25.686574892274468</v>
      </c>
      <c r="S23" s="140" t="s">
        <v>82</v>
      </c>
    </row>
    <row r="24" spans="1:24" ht="7" customHeight="1" x14ac:dyDescent="0.3">
      <c r="A24" s="62"/>
      <c r="C24" s="235"/>
      <c r="D24" s="236"/>
      <c r="E24" s="150"/>
      <c r="F24" s="209"/>
      <c r="G24" s="151"/>
      <c r="H24" s="176"/>
      <c r="I24" s="150"/>
      <c r="J24" s="150"/>
      <c r="K24" s="128"/>
      <c r="M24" s="180"/>
      <c r="N24" s="151"/>
      <c r="O24" s="150"/>
      <c r="P24" s="176"/>
      <c r="R24" s="206"/>
      <c r="S24" s="140"/>
    </row>
    <row r="25" spans="1:24" ht="12.75" customHeight="1" x14ac:dyDescent="0.3">
      <c r="A25" s="62"/>
      <c r="C25" s="563" t="s">
        <v>117</v>
      </c>
      <c r="D25" s="563"/>
      <c r="E25" s="150"/>
      <c r="F25" s="258">
        <f>'Gas parameters'!O41</f>
        <v>4.3666314852477794E-2</v>
      </c>
      <c r="G25" s="151" t="s">
        <v>244</v>
      </c>
      <c r="H25" s="159" t="s">
        <v>253</v>
      </c>
      <c r="I25" s="150"/>
      <c r="J25" s="150"/>
      <c r="K25" s="128"/>
      <c r="M25" s="283">
        <f>F25/'Gas parameters'!G33</f>
        <v>2.1724534752476515E-2</v>
      </c>
      <c r="N25" s="151" t="s">
        <v>244</v>
      </c>
      <c r="O25" s="150"/>
      <c r="P25" s="162">
        <f>'Sensitivity coefficients'!B10/(1-'Sensitivity coefficients'!B18)/100</f>
        <v>529.83156834662407</v>
      </c>
      <c r="Q25" s="136" t="s">
        <v>247</v>
      </c>
      <c r="R25" s="160">
        <f>(M25*P25)^2</f>
        <v>132.48802635356958</v>
      </c>
      <c r="S25" s="140" t="s">
        <v>82</v>
      </c>
    </row>
    <row r="26" spans="1:24" ht="7" customHeight="1" x14ac:dyDescent="0.3">
      <c r="A26" s="62"/>
      <c r="C26" s="563"/>
      <c r="D26" s="563"/>
      <c r="E26" s="150"/>
      <c r="F26" s="209"/>
      <c r="G26" s="151"/>
      <c r="H26" s="176"/>
      <c r="I26" s="150"/>
      <c r="J26" s="150"/>
      <c r="K26" s="128"/>
      <c r="M26" s="180"/>
      <c r="N26" s="151"/>
      <c r="O26" s="150"/>
      <c r="P26" s="176"/>
      <c r="R26" s="206"/>
      <c r="S26" s="140"/>
    </row>
    <row r="27" spans="1:24" ht="12.75" customHeight="1" x14ac:dyDescent="0.3">
      <c r="A27" s="62"/>
      <c r="C27" s="235" t="s">
        <v>215</v>
      </c>
      <c r="D27" s="236"/>
      <c r="E27" s="150"/>
      <c r="F27" s="185">
        <f>'Coef Disc &amp; Expansao'!O94</f>
        <v>0.41557029240637416</v>
      </c>
      <c r="G27" s="151" t="s">
        <v>20</v>
      </c>
      <c r="H27" s="159" t="s">
        <v>252</v>
      </c>
      <c r="I27" s="150"/>
      <c r="J27" s="150"/>
      <c r="K27" s="128"/>
      <c r="M27" s="283">
        <f>IF(H27=$C$78,F27,IF(H27=$C$79,F27/2,IF(H27=$C$80,F27/3,F27/SQRT(3))))</f>
        <v>0.20778514620318708</v>
      </c>
      <c r="N27" s="151" t="s">
        <v>20</v>
      </c>
      <c r="O27" s="150"/>
      <c r="P27" s="162">
        <f>'Sensitivity coefficients'!B11/(1-'Sensitivity coefficients'!B18)</f>
        <v>5.8740708197367839</v>
      </c>
      <c r="Q27" s="136" t="s">
        <v>90</v>
      </c>
      <c r="R27" s="162">
        <f>(M27*P27)^2</f>
        <v>1.4897292770309614</v>
      </c>
      <c r="S27" s="140" t="s">
        <v>82</v>
      </c>
    </row>
    <row r="28" spans="1:24" ht="7" customHeight="1" x14ac:dyDescent="0.3">
      <c r="A28" s="62"/>
      <c r="C28" s="235"/>
      <c r="D28" s="236"/>
      <c r="E28" s="150"/>
      <c r="F28" s="209"/>
      <c r="G28" s="151"/>
      <c r="H28" s="176"/>
      <c r="I28" s="150"/>
      <c r="J28" s="150"/>
      <c r="K28" s="128"/>
      <c r="M28" s="180"/>
      <c r="N28" s="151"/>
      <c r="O28" s="150"/>
      <c r="P28" s="176"/>
      <c r="R28" s="206"/>
      <c r="S28" s="140"/>
    </row>
    <row r="29" spans="1:24" ht="12.75" customHeight="1" x14ac:dyDescent="0.3">
      <c r="A29" s="62"/>
      <c r="C29" s="235" t="s">
        <v>134</v>
      </c>
      <c r="D29" s="236"/>
      <c r="E29" s="150"/>
      <c r="F29" s="185">
        <f>'Coef Disc &amp; Expansao'!O67</f>
        <v>2.2961809777722239E-6</v>
      </c>
      <c r="G29" s="151"/>
      <c r="H29" s="159" t="s">
        <v>252</v>
      </c>
      <c r="I29" s="150"/>
      <c r="J29" s="150"/>
      <c r="K29" s="128"/>
      <c r="M29" s="160">
        <f>IF(H29=$C$78,F29,IF(H29=$C$79,F29/2,IF(H29=$C$80,F29/3,F29/SQRT(3))))</f>
        <v>1.148090488886112E-6</v>
      </c>
      <c r="N29" s="151"/>
      <c r="O29" s="150"/>
      <c r="P29" s="162">
        <f>'Sensitivity coefficients'!B12/(1-'Sensitivity coefficients'!B18)</f>
        <v>1755.7079596127976</v>
      </c>
      <c r="Q29" s="136" t="s">
        <v>59</v>
      </c>
      <c r="R29" s="162">
        <f>(M29*P29)^2</f>
        <v>4.0630932934515281E-6</v>
      </c>
      <c r="S29" s="140" t="s">
        <v>82</v>
      </c>
    </row>
    <row r="30" spans="1:24" ht="7" customHeight="1" x14ac:dyDescent="0.3">
      <c r="A30" s="62"/>
      <c r="C30" s="235"/>
      <c r="D30" s="236"/>
      <c r="E30" s="150"/>
      <c r="F30" s="176"/>
      <c r="G30" s="151"/>
      <c r="H30" s="176"/>
      <c r="I30" s="150"/>
      <c r="J30" s="150"/>
      <c r="K30" s="128"/>
      <c r="M30" s="176"/>
      <c r="N30" s="151"/>
      <c r="O30" s="150"/>
      <c r="P30" s="176"/>
      <c r="R30" s="206"/>
      <c r="S30" s="140"/>
    </row>
    <row r="31" spans="1:24" x14ac:dyDescent="0.25">
      <c r="A31" s="62"/>
      <c r="B31" s="210"/>
      <c r="C31" s="143"/>
      <c r="D31" s="143"/>
      <c r="E31" s="143"/>
      <c r="F31" s="143"/>
      <c r="G31" s="143"/>
      <c r="H31" s="171"/>
      <c r="I31" s="171"/>
      <c r="J31" s="171"/>
      <c r="K31" s="143"/>
      <c r="L31" s="143"/>
      <c r="M31" s="211"/>
      <c r="N31" s="143"/>
      <c r="O31" s="143"/>
      <c r="P31" s="143"/>
      <c r="Q31" s="143"/>
      <c r="R31" s="212"/>
      <c r="S31" s="144"/>
      <c r="X31" s="57">
        <f>0.0000001</f>
        <v>9.9999999999999995E-8</v>
      </c>
    </row>
    <row r="32" spans="1:24" ht="7" customHeight="1" x14ac:dyDescent="0.25">
      <c r="H32" s="150"/>
      <c r="I32" s="150"/>
      <c r="J32" s="150"/>
      <c r="M32" s="213"/>
      <c r="R32" s="214"/>
    </row>
    <row r="33" spans="2:19" ht="9" customHeight="1" x14ac:dyDescent="0.25">
      <c r="B33" s="188"/>
      <c r="C33" s="131"/>
      <c r="D33" s="131"/>
      <c r="E33" s="131"/>
      <c r="F33" s="131"/>
      <c r="G33" s="131"/>
      <c r="H33" s="215"/>
      <c r="I33" s="215"/>
      <c r="J33" s="131"/>
      <c r="K33" s="131"/>
      <c r="L33" s="131"/>
      <c r="M33" s="215"/>
      <c r="N33" s="215"/>
      <c r="O33" s="216"/>
      <c r="P33" s="131"/>
      <c r="Q33" s="217"/>
      <c r="R33" s="218"/>
      <c r="S33" s="135"/>
    </row>
    <row r="34" spans="2:19" ht="14.5" x14ac:dyDescent="0.25">
      <c r="B34" s="189"/>
      <c r="C34" s="219" t="s">
        <v>145</v>
      </c>
      <c r="H34" s="150"/>
      <c r="I34" s="150"/>
      <c r="M34" s="150"/>
      <c r="N34" s="150"/>
      <c r="O34" s="220"/>
      <c r="Q34" s="221"/>
      <c r="R34" s="214"/>
      <c r="S34" s="140"/>
    </row>
    <row r="35" spans="2:19" x14ac:dyDescent="0.25">
      <c r="B35" s="189"/>
      <c r="C35" s="191"/>
      <c r="H35" s="150"/>
      <c r="I35" s="150"/>
      <c r="M35" s="150"/>
      <c r="N35" s="150"/>
      <c r="O35" s="220"/>
      <c r="Q35" s="221"/>
      <c r="R35" s="214"/>
      <c r="S35" s="140"/>
    </row>
    <row r="36" spans="2:19" x14ac:dyDescent="0.25">
      <c r="B36" s="189"/>
      <c r="F36" s="136" t="s">
        <v>254</v>
      </c>
      <c r="I36" s="150"/>
      <c r="M36" s="150"/>
      <c r="N36" s="150"/>
      <c r="Q36" s="208"/>
      <c r="R36" s="162">
        <f>SUM(R18:R30)</f>
        <v>172.63936709466483</v>
      </c>
      <c r="S36" s="140" t="s">
        <v>82</v>
      </c>
    </row>
    <row r="37" spans="2:19" s="55" customFormat="1" ht="7" customHeight="1" x14ac:dyDescent="0.3">
      <c r="B37" s="137"/>
      <c r="C37" s="128"/>
      <c r="D37" s="128"/>
      <c r="E37" s="128"/>
      <c r="F37" s="128"/>
      <c r="G37" s="128"/>
      <c r="H37" s="136"/>
      <c r="I37" s="128"/>
      <c r="J37" s="128"/>
      <c r="K37" s="136"/>
      <c r="L37" s="128"/>
      <c r="M37" s="128"/>
      <c r="N37" s="128"/>
      <c r="O37" s="136"/>
      <c r="P37" s="136"/>
      <c r="Q37" s="136"/>
      <c r="R37" s="136"/>
      <c r="S37" s="146"/>
    </row>
    <row r="38" spans="2:19" x14ac:dyDescent="0.25">
      <c r="B38" s="189"/>
      <c r="F38" s="136" t="s">
        <v>100</v>
      </c>
      <c r="I38" s="150"/>
      <c r="M38" s="150"/>
      <c r="N38" s="150"/>
      <c r="O38" s="150"/>
      <c r="Q38" s="222"/>
      <c r="R38" s="162">
        <f>SQRT(R36)</f>
        <v>13.139230079980518</v>
      </c>
      <c r="S38" s="140" t="s">
        <v>59</v>
      </c>
    </row>
    <row r="39" spans="2:19" s="55" customFormat="1" ht="7" customHeight="1" x14ac:dyDescent="0.3">
      <c r="B39" s="137"/>
      <c r="C39" s="128"/>
      <c r="D39" s="128"/>
      <c r="E39" s="128"/>
      <c r="F39" s="128"/>
      <c r="G39" s="128"/>
      <c r="H39" s="136"/>
      <c r="I39" s="128"/>
      <c r="J39" s="128"/>
      <c r="K39" s="136"/>
      <c r="L39" s="128"/>
      <c r="M39" s="128"/>
      <c r="N39" s="128"/>
      <c r="O39" s="136"/>
      <c r="P39" s="136"/>
      <c r="Q39" s="136"/>
      <c r="R39" s="136"/>
      <c r="S39" s="146"/>
    </row>
    <row r="40" spans="2:19" x14ac:dyDescent="0.25">
      <c r="B40" s="189"/>
      <c r="F40" s="136" t="s">
        <v>99</v>
      </c>
      <c r="I40" s="223"/>
      <c r="K40" s="224"/>
      <c r="Q40" s="222"/>
      <c r="R40" s="162">
        <f>R38*2</f>
        <v>26.278460159961035</v>
      </c>
      <c r="S40" s="140" t="s">
        <v>59</v>
      </c>
    </row>
    <row r="41" spans="2:19" s="55" customFormat="1" ht="7" customHeight="1" x14ac:dyDescent="0.3">
      <c r="B41" s="137"/>
      <c r="C41" s="128"/>
      <c r="D41" s="128"/>
      <c r="E41" s="128"/>
      <c r="F41" s="128"/>
      <c r="G41" s="128"/>
      <c r="H41" s="136"/>
      <c r="I41" s="128"/>
      <c r="J41" s="128"/>
      <c r="K41" s="136"/>
      <c r="L41" s="128"/>
      <c r="M41" s="128"/>
      <c r="N41" s="128"/>
      <c r="O41" s="136"/>
      <c r="P41" s="136"/>
      <c r="Q41" s="136"/>
      <c r="R41" s="136"/>
      <c r="S41" s="146"/>
    </row>
    <row r="42" spans="2:19" ht="15" x14ac:dyDescent="0.3">
      <c r="B42" s="189"/>
      <c r="D42" s="225"/>
      <c r="E42" s="225"/>
      <c r="F42" s="136" t="s">
        <v>194</v>
      </c>
      <c r="I42" s="223"/>
      <c r="K42" s="128"/>
      <c r="M42" s="128"/>
      <c r="N42" s="223"/>
      <c r="Q42" s="226"/>
      <c r="R42" s="162">
        <f>H11</f>
        <v>1757.9097806480299</v>
      </c>
      <c r="S42" s="140" t="s">
        <v>59</v>
      </c>
    </row>
    <row r="43" spans="2:19" s="55" customFormat="1" ht="7" customHeight="1" x14ac:dyDescent="0.3">
      <c r="B43" s="137"/>
      <c r="C43" s="128"/>
      <c r="D43" s="128"/>
      <c r="E43" s="128"/>
      <c r="F43" s="128"/>
      <c r="G43" s="128"/>
      <c r="H43" s="136"/>
      <c r="I43" s="128"/>
      <c r="J43" s="128"/>
      <c r="K43" s="136"/>
      <c r="L43" s="128"/>
      <c r="M43" s="128"/>
      <c r="N43" s="128"/>
      <c r="O43" s="136"/>
      <c r="P43" s="136"/>
      <c r="Q43" s="136"/>
      <c r="R43" s="136"/>
      <c r="S43" s="146"/>
    </row>
    <row r="44" spans="2:19" x14ac:dyDescent="0.3">
      <c r="B44" s="189"/>
      <c r="C44" s="199"/>
      <c r="F44" s="136" t="s">
        <v>98</v>
      </c>
      <c r="I44" s="223"/>
      <c r="K44" s="224"/>
      <c r="M44" s="128"/>
      <c r="N44" s="223"/>
      <c r="Q44" s="222"/>
      <c r="R44" s="160">
        <f>2*R38/R42*100</f>
        <v>1.4948696713134977</v>
      </c>
      <c r="S44" s="140" t="s">
        <v>8</v>
      </c>
    </row>
    <row r="45" spans="2:19" s="55" customFormat="1" ht="7" customHeight="1" x14ac:dyDescent="0.3">
      <c r="B45" s="141"/>
      <c r="C45" s="142"/>
      <c r="D45" s="142"/>
      <c r="E45" s="142"/>
      <c r="F45" s="142"/>
      <c r="G45" s="142"/>
      <c r="H45" s="143"/>
      <c r="I45" s="142"/>
      <c r="J45" s="142"/>
      <c r="K45" s="143"/>
      <c r="L45" s="142"/>
      <c r="M45" s="142"/>
      <c r="N45" s="142"/>
      <c r="O45" s="143"/>
      <c r="P45" s="143"/>
      <c r="Q45" s="143"/>
      <c r="R45" s="143"/>
      <c r="S45" s="227"/>
    </row>
    <row r="46" spans="2:19" s="55" customFormat="1" ht="7" customHeight="1" x14ac:dyDescent="0.3">
      <c r="B46" s="128"/>
      <c r="C46" s="128"/>
      <c r="D46" s="128"/>
      <c r="E46" s="128"/>
      <c r="F46" s="128"/>
      <c r="G46" s="128"/>
      <c r="H46" s="136"/>
      <c r="I46" s="128"/>
      <c r="J46" s="128"/>
      <c r="K46" s="136"/>
      <c r="L46" s="128"/>
      <c r="M46" s="128"/>
      <c r="N46" s="128"/>
      <c r="O46" s="136"/>
      <c r="P46" s="136"/>
      <c r="Q46" s="136"/>
      <c r="R46" s="136"/>
      <c r="S46" s="128"/>
    </row>
    <row r="47" spans="2:19" s="55" customFormat="1" ht="7" customHeight="1" x14ac:dyDescent="0.3">
      <c r="B47" s="129"/>
      <c r="C47" s="130"/>
      <c r="D47" s="130"/>
      <c r="E47" s="130"/>
      <c r="F47" s="130"/>
      <c r="G47" s="130"/>
      <c r="H47" s="131"/>
      <c r="I47" s="130"/>
      <c r="J47" s="130"/>
      <c r="K47" s="131"/>
      <c r="L47" s="130"/>
      <c r="M47" s="130"/>
      <c r="N47" s="130"/>
      <c r="O47" s="131"/>
      <c r="P47" s="131"/>
      <c r="Q47" s="131"/>
      <c r="R47" s="131"/>
      <c r="S47" s="145"/>
    </row>
    <row r="48" spans="2:19" s="55" customFormat="1" x14ac:dyDescent="0.3">
      <c r="B48" s="137"/>
      <c r="C48" s="128"/>
      <c r="D48" s="128"/>
      <c r="E48" s="128"/>
      <c r="F48" s="128"/>
      <c r="G48" s="128"/>
      <c r="H48" s="136"/>
      <c r="I48" s="128"/>
      <c r="J48" s="128"/>
      <c r="K48" s="136"/>
      <c r="L48" s="128"/>
      <c r="M48" s="128"/>
      <c r="N48" s="128"/>
      <c r="O48" s="136"/>
      <c r="P48" s="136"/>
      <c r="Q48" s="136"/>
      <c r="R48" s="136"/>
      <c r="S48" s="146"/>
    </row>
    <row r="49" spans="2:23" s="55" customFormat="1" ht="15.5" x14ac:dyDescent="0.3">
      <c r="B49" s="137"/>
      <c r="C49" s="174"/>
      <c r="D49" s="136"/>
      <c r="E49" s="193"/>
      <c r="F49" s="239" t="s">
        <v>191</v>
      </c>
      <c r="G49" s="193"/>
      <c r="H49" s="240">
        <f>H11/'Gas parameters'!O14</f>
        <v>2317.3079101608619</v>
      </c>
      <c r="I49" s="193"/>
      <c r="J49" s="193"/>
      <c r="K49" s="194"/>
      <c r="L49" s="194"/>
      <c r="M49" s="194" t="s">
        <v>190</v>
      </c>
      <c r="N49" s="136"/>
      <c r="O49" s="136"/>
      <c r="P49" s="136"/>
      <c r="Q49" s="136"/>
      <c r="R49" s="136"/>
      <c r="S49" s="146"/>
    </row>
    <row r="50" spans="2:23" x14ac:dyDescent="0.25">
      <c r="B50" s="189"/>
      <c r="C50" s="57"/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  <c r="O50" s="57"/>
      <c r="P50" s="57"/>
      <c r="S50" s="140"/>
    </row>
    <row r="51" spans="2:23" ht="7" customHeight="1" x14ac:dyDescent="0.25">
      <c r="B51" s="189"/>
      <c r="C51" s="174"/>
      <c r="E51" s="193"/>
      <c r="F51" s="239"/>
      <c r="G51" s="193"/>
      <c r="H51" s="242"/>
      <c r="I51" s="193"/>
      <c r="J51" s="193"/>
      <c r="K51" s="194"/>
      <c r="L51" s="194"/>
      <c r="M51" s="194"/>
      <c r="S51" s="140"/>
    </row>
    <row r="52" spans="2:23" x14ac:dyDescent="0.25">
      <c r="B52" s="189"/>
      <c r="C52" s="197"/>
      <c r="D52" s="198"/>
      <c r="E52" s="197"/>
      <c r="F52" s="157" t="s">
        <v>95</v>
      </c>
      <c r="G52" s="157"/>
      <c r="H52" s="157" t="s">
        <v>112</v>
      </c>
      <c r="I52" s="157"/>
      <c r="J52" s="157"/>
      <c r="K52" s="157"/>
      <c r="L52" s="199"/>
      <c r="M52" s="157" t="s">
        <v>110</v>
      </c>
      <c r="N52" s="157"/>
      <c r="O52" s="157"/>
      <c r="P52" s="157" t="s">
        <v>109</v>
      </c>
      <c r="Q52" s="191"/>
      <c r="R52" s="157" t="s">
        <v>108</v>
      </c>
      <c r="S52" s="140"/>
    </row>
    <row r="53" spans="2:23" x14ac:dyDescent="0.25">
      <c r="B53" s="189"/>
      <c r="C53" s="200" t="s">
        <v>147</v>
      </c>
      <c r="D53" s="201"/>
      <c r="E53" s="200"/>
      <c r="F53" s="202" t="s">
        <v>107</v>
      </c>
      <c r="G53" s="203"/>
      <c r="H53" s="202" t="s">
        <v>106</v>
      </c>
      <c r="I53" s="203"/>
      <c r="J53" s="203"/>
      <c r="K53" s="202"/>
      <c r="L53" s="204"/>
      <c r="M53" s="202" t="s">
        <v>105</v>
      </c>
      <c r="N53" s="203"/>
      <c r="O53" s="205"/>
      <c r="P53" s="202" t="s">
        <v>103</v>
      </c>
      <c r="Q53" s="204"/>
      <c r="R53" s="202" t="s">
        <v>102</v>
      </c>
      <c r="S53" s="140"/>
    </row>
    <row r="54" spans="2:23" x14ac:dyDescent="0.25">
      <c r="B54" s="189"/>
      <c r="E54" s="150"/>
      <c r="F54" s="150"/>
      <c r="G54" s="139"/>
      <c r="H54" s="206"/>
      <c r="I54" s="150"/>
      <c r="J54" s="150"/>
      <c r="M54" s="206"/>
      <c r="N54" s="206"/>
      <c r="O54" s="150"/>
      <c r="P54" s="207"/>
      <c r="R54" s="208"/>
      <c r="S54" s="140"/>
    </row>
    <row r="55" spans="2:23" x14ac:dyDescent="0.3">
      <c r="B55" s="189"/>
      <c r="C55" s="235" t="s">
        <v>195</v>
      </c>
      <c r="D55" s="236"/>
      <c r="E55" s="150"/>
      <c r="F55" s="162">
        <f>R40/'Gas parameters'!O14</f>
        <v>34.640733139943364</v>
      </c>
      <c r="G55" s="140" t="s">
        <v>198</v>
      </c>
      <c r="H55" s="159" t="s">
        <v>17</v>
      </c>
      <c r="I55" s="150"/>
      <c r="J55" s="150"/>
      <c r="K55" s="128"/>
      <c r="M55" s="162">
        <f>IF(H55=$C$78,F55,IF(H55=$C$79,F55/2,IF(H55=$C$80,F55/3,F55/SQRT(3))))</f>
        <v>17.320366569971682</v>
      </c>
      <c r="N55" s="189" t="s">
        <v>198</v>
      </c>
      <c r="O55" s="150"/>
      <c r="P55" s="162">
        <f>1/'Gas parameters'!O14</f>
        <v>1.3182177695755337</v>
      </c>
      <c r="Q55" s="140" t="s">
        <v>199</v>
      </c>
      <c r="R55" s="241">
        <f>(M55*P55)^2</f>
        <v>521.30090841676406</v>
      </c>
      <c r="S55" s="140" t="s">
        <v>197</v>
      </c>
      <c r="W55" s="257" t="s">
        <v>221</v>
      </c>
    </row>
    <row r="56" spans="2:23" ht="7" customHeight="1" x14ac:dyDescent="0.3">
      <c r="B56" s="189"/>
      <c r="C56" s="235"/>
      <c r="D56" s="236"/>
      <c r="E56" s="150"/>
      <c r="F56" s="209"/>
      <c r="G56" s="151"/>
      <c r="H56" s="176"/>
      <c r="I56" s="150"/>
      <c r="J56" s="150"/>
      <c r="K56" s="128"/>
      <c r="M56" s="180"/>
      <c r="N56" s="151"/>
      <c r="O56" s="150"/>
      <c r="P56" s="176"/>
      <c r="R56" s="206"/>
      <c r="S56" s="140"/>
      <c r="U56" s="109" t="s">
        <v>167</v>
      </c>
    </row>
    <row r="57" spans="2:23" ht="14.5" x14ac:dyDescent="0.3">
      <c r="B57" s="189"/>
      <c r="C57" s="235" t="s">
        <v>212</v>
      </c>
      <c r="D57" s="236"/>
      <c r="E57" s="150"/>
      <c r="F57" s="160">
        <f>'Coef Disc &amp; Expansao'!O133</f>
        <v>2.5722486849496184E-3</v>
      </c>
      <c r="G57" s="151" t="s">
        <v>196</v>
      </c>
      <c r="H57" s="159" t="s">
        <v>17</v>
      </c>
      <c r="I57" s="150"/>
      <c r="J57" s="150"/>
      <c r="K57" s="128"/>
      <c r="M57" s="160">
        <f>IF(H57=$C$78,F57,IF(H57=$C$79,F57/2,IF(H57=$C$80,F57/3,F57/SQRT(3))))</f>
        <v>1.2861243424748092E-3</v>
      </c>
      <c r="N57" s="151" t="s">
        <v>196</v>
      </c>
      <c r="O57" s="150"/>
      <c r="P57" s="162">
        <f>-H11/('Gas parameters'!O14^2)</f>
        <v>-3054.716464751993</v>
      </c>
      <c r="Q57" s="136" t="s">
        <v>200</v>
      </c>
      <c r="R57" s="241">
        <f>(M57*P57)^2</f>
        <v>15.435038883265694</v>
      </c>
      <c r="S57" s="140" t="s">
        <v>197</v>
      </c>
      <c r="W57" s="256">
        <v>1.5E-3</v>
      </c>
    </row>
    <row r="58" spans="2:23" s="55" customFormat="1" ht="7" customHeight="1" x14ac:dyDescent="0.3">
      <c r="B58" s="141"/>
      <c r="C58" s="142"/>
      <c r="D58" s="142"/>
      <c r="E58" s="142"/>
      <c r="F58" s="142"/>
      <c r="G58" s="142"/>
      <c r="H58" s="143"/>
      <c r="I58" s="142"/>
      <c r="J58" s="142"/>
      <c r="K58" s="143"/>
      <c r="L58" s="142"/>
      <c r="M58" s="142"/>
      <c r="N58" s="142"/>
      <c r="O58" s="143"/>
      <c r="P58" s="143"/>
      <c r="Q58" s="143"/>
      <c r="R58" s="143"/>
      <c r="S58" s="227"/>
    </row>
    <row r="59" spans="2:23" s="55" customFormat="1" ht="7" customHeight="1" x14ac:dyDescent="0.3">
      <c r="B59" s="128"/>
      <c r="C59" s="128"/>
      <c r="D59" s="128"/>
      <c r="E59" s="128"/>
      <c r="F59" s="128"/>
      <c r="G59" s="128"/>
      <c r="H59" s="136"/>
      <c r="I59" s="128"/>
      <c r="J59" s="128"/>
      <c r="K59" s="136"/>
      <c r="L59" s="128"/>
      <c r="M59" s="128"/>
      <c r="N59" s="128"/>
      <c r="O59" s="136"/>
      <c r="P59" s="136"/>
      <c r="Q59" s="136"/>
      <c r="R59" s="136"/>
      <c r="S59" s="128"/>
    </row>
    <row r="60" spans="2:23" ht="9" customHeight="1" x14ac:dyDescent="0.25">
      <c r="B60" s="188"/>
      <c r="C60" s="131"/>
      <c r="D60" s="131"/>
      <c r="E60" s="131"/>
      <c r="F60" s="131"/>
      <c r="G60" s="131"/>
      <c r="H60" s="215"/>
      <c r="I60" s="215"/>
      <c r="J60" s="131"/>
      <c r="K60" s="131"/>
      <c r="L60" s="131"/>
      <c r="M60" s="215"/>
      <c r="N60" s="215"/>
      <c r="O60" s="216"/>
      <c r="P60" s="131"/>
      <c r="Q60" s="217"/>
      <c r="R60" s="218"/>
      <c r="S60" s="135"/>
    </row>
    <row r="61" spans="2:23" ht="14.5" x14ac:dyDescent="0.25">
      <c r="B61" s="189"/>
      <c r="C61" s="219" t="s">
        <v>192</v>
      </c>
      <c r="H61" s="150"/>
      <c r="I61" s="150"/>
      <c r="M61" s="150"/>
      <c r="N61" s="150"/>
      <c r="O61" s="220"/>
      <c r="Q61" s="221"/>
      <c r="R61" s="214"/>
      <c r="S61" s="140"/>
    </row>
    <row r="62" spans="2:23" x14ac:dyDescent="0.25">
      <c r="B62" s="189"/>
      <c r="C62" s="191"/>
      <c r="H62" s="150"/>
      <c r="I62" s="150"/>
      <c r="M62" s="150"/>
      <c r="N62" s="150"/>
      <c r="O62" s="220"/>
      <c r="Q62" s="221"/>
      <c r="R62" s="214"/>
      <c r="S62" s="140"/>
    </row>
    <row r="63" spans="2:23" x14ac:dyDescent="0.25">
      <c r="B63" s="189"/>
      <c r="F63" s="136" t="s">
        <v>101</v>
      </c>
      <c r="I63" s="150"/>
      <c r="M63" s="150"/>
      <c r="N63" s="150"/>
      <c r="Q63" s="208"/>
      <c r="R63" s="162">
        <f>SUM(R55:R57)</f>
        <v>536.73594730002981</v>
      </c>
      <c r="S63" s="140" t="s">
        <v>197</v>
      </c>
    </row>
    <row r="64" spans="2:23" s="55" customFormat="1" ht="7" customHeight="1" x14ac:dyDescent="0.3">
      <c r="B64" s="137"/>
      <c r="C64" s="128"/>
      <c r="D64" s="128"/>
      <c r="E64" s="128"/>
      <c r="F64" s="128"/>
      <c r="G64" s="128"/>
      <c r="H64" s="136"/>
      <c r="I64" s="128"/>
      <c r="J64" s="128"/>
      <c r="K64" s="136"/>
      <c r="L64" s="128"/>
      <c r="M64" s="128"/>
      <c r="N64" s="128"/>
      <c r="O64" s="136"/>
      <c r="P64" s="136"/>
      <c r="Q64" s="136"/>
      <c r="R64" s="136"/>
      <c r="S64" s="146"/>
    </row>
    <row r="65" spans="2:19" x14ac:dyDescent="0.25">
      <c r="B65" s="189"/>
      <c r="F65" s="136" t="s">
        <v>100</v>
      </c>
      <c r="I65" s="150"/>
      <c r="M65" s="150"/>
      <c r="N65" s="150"/>
      <c r="O65" s="150"/>
      <c r="Q65" s="222"/>
      <c r="R65" s="162">
        <f>SQRT(R63)</f>
        <v>23.167562394434807</v>
      </c>
      <c r="S65" s="140" t="s">
        <v>198</v>
      </c>
    </row>
    <row r="66" spans="2:19" s="55" customFormat="1" ht="7" customHeight="1" x14ac:dyDescent="0.3">
      <c r="B66" s="137"/>
      <c r="C66" s="128"/>
      <c r="D66" s="128"/>
      <c r="E66" s="128"/>
      <c r="F66" s="128"/>
      <c r="G66" s="128"/>
      <c r="H66" s="136"/>
      <c r="I66" s="128"/>
      <c r="J66" s="128"/>
      <c r="K66" s="136"/>
      <c r="L66" s="128"/>
      <c r="M66" s="128"/>
      <c r="N66" s="128"/>
      <c r="O66" s="136"/>
      <c r="P66" s="136"/>
      <c r="Q66" s="136"/>
      <c r="R66" s="136"/>
      <c r="S66" s="146"/>
    </row>
    <row r="67" spans="2:19" x14ac:dyDescent="0.25">
      <c r="B67" s="189"/>
      <c r="F67" s="136" t="s">
        <v>99</v>
      </c>
      <c r="I67" s="223"/>
      <c r="K67" s="224"/>
      <c r="Q67" s="222"/>
      <c r="R67" s="162">
        <f>R65*2</f>
        <v>46.335124788869614</v>
      </c>
      <c r="S67" s="140" t="s">
        <v>198</v>
      </c>
    </row>
    <row r="68" spans="2:19" s="55" customFormat="1" ht="7" customHeight="1" x14ac:dyDescent="0.3">
      <c r="B68" s="137"/>
      <c r="C68" s="128"/>
      <c r="D68" s="128"/>
      <c r="E68" s="128"/>
      <c r="F68" s="128"/>
      <c r="G68" s="128"/>
      <c r="H68" s="136"/>
      <c r="I68" s="128"/>
      <c r="J68" s="128"/>
      <c r="K68" s="136"/>
      <c r="L68" s="128"/>
      <c r="M68" s="128"/>
      <c r="N68" s="128"/>
      <c r="O68" s="136"/>
      <c r="P68" s="136"/>
      <c r="Q68" s="136"/>
      <c r="R68" s="136"/>
      <c r="S68" s="146"/>
    </row>
    <row r="69" spans="2:19" x14ac:dyDescent="0.3">
      <c r="B69" s="189"/>
      <c r="D69" s="225"/>
      <c r="E69" s="225"/>
      <c r="F69" s="136" t="s">
        <v>193</v>
      </c>
      <c r="I69" s="223"/>
      <c r="K69" s="128"/>
      <c r="M69" s="128"/>
      <c r="N69" s="223"/>
      <c r="Q69" s="226"/>
      <c r="R69" s="162">
        <f>H49</f>
        <v>2317.3079101608619</v>
      </c>
      <c r="S69" s="140" t="s">
        <v>198</v>
      </c>
    </row>
    <row r="70" spans="2:19" s="55" customFormat="1" ht="7" customHeight="1" x14ac:dyDescent="0.3">
      <c r="B70" s="137"/>
      <c r="C70" s="128"/>
      <c r="D70" s="128"/>
      <c r="E70" s="128"/>
      <c r="F70" s="128"/>
      <c r="G70" s="128"/>
      <c r="H70" s="136"/>
      <c r="I70" s="128"/>
      <c r="J70" s="128"/>
      <c r="K70" s="136"/>
      <c r="L70" s="128"/>
      <c r="M70" s="128"/>
      <c r="N70" s="128"/>
      <c r="O70" s="136"/>
      <c r="P70" s="136"/>
      <c r="Q70" s="136"/>
      <c r="R70" s="136"/>
      <c r="S70" s="146"/>
    </row>
    <row r="71" spans="2:19" x14ac:dyDescent="0.3">
      <c r="B71" s="189"/>
      <c r="C71" s="199"/>
      <c r="F71" s="136" t="s">
        <v>98</v>
      </c>
      <c r="I71" s="223"/>
      <c r="K71" s="224"/>
      <c r="M71" s="128"/>
      <c r="N71" s="223"/>
      <c r="Q71" s="222"/>
      <c r="R71" s="160">
        <f>2*R65/R69*100</f>
        <v>1.9995238693011297</v>
      </c>
      <c r="S71" s="140" t="s">
        <v>8</v>
      </c>
    </row>
    <row r="72" spans="2:19" s="55" customFormat="1" ht="7" customHeight="1" x14ac:dyDescent="0.3">
      <c r="B72" s="141"/>
      <c r="C72" s="142"/>
      <c r="D72" s="142"/>
      <c r="E72" s="142"/>
      <c r="F72" s="142"/>
      <c r="G72" s="142"/>
      <c r="H72" s="143"/>
      <c r="I72" s="142"/>
      <c r="J72" s="142"/>
      <c r="K72" s="143"/>
      <c r="L72" s="142"/>
      <c r="M72" s="142"/>
      <c r="N72" s="142"/>
      <c r="O72" s="143"/>
      <c r="P72" s="143"/>
      <c r="Q72" s="143"/>
      <c r="R72" s="143"/>
      <c r="S72" s="227"/>
    </row>
    <row r="78" spans="2:19" hidden="1" x14ac:dyDescent="0.25">
      <c r="C78" s="136" t="s">
        <v>7</v>
      </c>
    </row>
    <row r="79" spans="2:19" hidden="1" x14ac:dyDescent="0.25">
      <c r="C79" s="136" t="s">
        <v>17</v>
      </c>
    </row>
    <row r="80" spans="2:19" hidden="1" x14ac:dyDescent="0.25">
      <c r="C80" s="136" t="s">
        <v>18</v>
      </c>
      <c r="D80" s="136" t="s">
        <v>16</v>
      </c>
    </row>
    <row r="81" spans="3:4" hidden="1" x14ac:dyDescent="0.25">
      <c r="C81" s="136" t="s">
        <v>9</v>
      </c>
      <c r="D81" s="136" t="s">
        <v>15</v>
      </c>
    </row>
    <row r="82" spans="3:4" hidden="1" x14ac:dyDescent="0.25"/>
    <row r="83" spans="3:4" hidden="1" x14ac:dyDescent="0.25">
      <c r="C83" s="136" t="s">
        <v>48</v>
      </c>
    </row>
    <row r="84" spans="3:4" hidden="1" x14ac:dyDescent="0.25">
      <c r="C84" s="136" t="s">
        <v>49</v>
      </c>
    </row>
    <row r="85" spans="3:4" hidden="1" x14ac:dyDescent="0.25">
      <c r="C85" s="136" t="s">
        <v>50</v>
      </c>
    </row>
  </sheetData>
  <mergeCells count="4">
    <mergeCell ref="C25:D26"/>
    <mergeCell ref="B5:S5"/>
    <mergeCell ref="B6:S6"/>
    <mergeCell ref="B8:S8"/>
  </mergeCells>
  <dataValidations count="4">
    <dataValidation type="decimal" errorStyle="information" operator="lessThan" allowBlank="1" showInputMessage="1" showErrorMessage="1" sqref="Q71 Q44" xr:uid="{00000000-0002-0000-0400-000000000000}">
      <formula1>1</formula1>
    </dataValidation>
    <dataValidation type="list" allowBlank="1" showInputMessage="1" showErrorMessage="1" sqref="K72 I42:I48 I69:I72 K58:K59 I58:I59 I67 I40 K45:K48" xr:uid="{00000000-0002-0000-0400-000001000000}">
      <formula1>"95%,99%"</formula1>
    </dataValidation>
    <dataValidation operator="greaterThanOrEqual" allowBlank="1" showInputMessage="1" showErrorMessage="1" error="Black boxes cannot be given values. You have selected 'Overall input level'. Give input there." sqref="F17 F54" xr:uid="{00000000-0002-0000-0400-000002000000}"/>
    <dataValidation type="decimal" operator="greaterThanOrEqual" allowBlank="1" showInputMessage="1" showErrorMessage="1" errorTitle="Out of range" error="Uncertainties cannot be negative" sqref="F55:F57 F18:F30" xr:uid="{00000000-0002-0000-0400-000003000000}">
      <formula1>0</formula1>
    </dataValidation>
  </dataValidations>
  <printOptions horizontalCentered="1"/>
  <pageMargins left="0.19685039370078741" right="0.19685039370078741" top="0.43307086614173229" bottom="0.98425196850393704" header="0.19685039370078741" footer="0.51181102362204722"/>
  <pageSetup paperSize="9" scale="68" orientation="portrait" r:id="rId1"/>
  <headerFooter alignWithMargins="0">
    <oddFooter>Página &amp;P de &amp;N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239831-1EA9-4CE5-86C3-58F895CDB88B}">
  <sheetPr codeName="Planilha1">
    <pageSetUpPr fitToPage="1"/>
  </sheetPr>
  <dimension ref="A1:Y456"/>
  <sheetViews>
    <sheetView view="pageBreakPreview" zoomScaleNormal="100" zoomScaleSheetLayoutView="100" workbookViewId="0">
      <selection activeCell="F23" sqref="F23:G23"/>
    </sheetView>
  </sheetViews>
  <sheetFormatPr defaultColWidth="9.1796875" defaultRowHeight="15.5" x14ac:dyDescent="0.35"/>
  <cols>
    <col min="1" max="2" width="15.54296875" style="267" customWidth="1"/>
    <col min="3" max="3" width="27.26953125" style="267" customWidth="1"/>
    <col min="4" max="4" width="19.26953125" style="267" customWidth="1"/>
    <col min="5" max="5" width="22.26953125" style="267" bestFit="1" customWidth="1"/>
    <col min="6" max="6" width="12" style="267" customWidth="1"/>
    <col min="7" max="7" width="13.1796875" style="267" customWidth="1"/>
    <col min="8" max="8" width="10.54296875" style="267" customWidth="1"/>
    <col min="9" max="9" width="17.54296875" style="267" customWidth="1"/>
    <col min="10" max="10" width="2.453125" style="265" customWidth="1"/>
    <col min="11" max="11" width="11.81640625" style="265" customWidth="1"/>
    <col min="12" max="12" width="9.1796875" style="265" hidden="1" customWidth="1"/>
    <col min="13" max="13" width="2.54296875" style="265" hidden="1" customWidth="1"/>
    <col min="14" max="14" width="44.81640625" style="265" hidden="1" customWidth="1"/>
    <col min="15" max="15" width="22.54296875" style="265" customWidth="1"/>
    <col min="16" max="16" width="2.453125" style="265" hidden="1" customWidth="1"/>
    <col min="17" max="19" width="16" style="265" hidden="1" customWidth="1"/>
    <col min="20" max="20" width="9.54296875" style="265" hidden="1" customWidth="1"/>
    <col min="21" max="22" width="0" style="265" hidden="1" customWidth="1"/>
    <col min="23" max="23" width="0.1796875" style="265" hidden="1" customWidth="1"/>
    <col min="24" max="24" width="2.453125" style="265" hidden="1" customWidth="1"/>
    <col min="25" max="25" width="0.453125" style="265" hidden="1" customWidth="1"/>
    <col min="26" max="256" width="9.1796875" style="265"/>
    <col min="257" max="259" width="10.54296875" style="265" customWidth="1"/>
    <col min="260" max="260" width="8.1796875" style="265" customWidth="1"/>
    <col min="261" max="261" width="10.54296875" style="265" customWidth="1"/>
    <col min="262" max="262" width="12" style="265" customWidth="1"/>
    <col min="263" max="263" width="13.1796875" style="265" customWidth="1"/>
    <col min="264" max="264" width="10.54296875" style="265" customWidth="1"/>
    <col min="265" max="265" width="17.54296875" style="265" customWidth="1"/>
    <col min="266" max="266" width="2.453125" style="265" customWidth="1"/>
    <col min="267" max="267" width="11.81640625" style="265" customWidth="1"/>
    <col min="268" max="270" width="0" style="265" hidden="1" customWidth="1"/>
    <col min="271" max="271" width="22.54296875" style="265" customWidth="1"/>
    <col min="272" max="281" width="0" style="265" hidden="1" customWidth="1"/>
    <col min="282" max="512" width="9.1796875" style="265"/>
    <col min="513" max="515" width="10.54296875" style="265" customWidth="1"/>
    <col min="516" max="516" width="8.1796875" style="265" customWidth="1"/>
    <col min="517" max="517" width="10.54296875" style="265" customWidth="1"/>
    <col min="518" max="518" width="12" style="265" customWidth="1"/>
    <col min="519" max="519" width="13.1796875" style="265" customWidth="1"/>
    <col min="520" max="520" width="10.54296875" style="265" customWidth="1"/>
    <col min="521" max="521" width="17.54296875" style="265" customWidth="1"/>
    <col min="522" max="522" width="2.453125" style="265" customWidth="1"/>
    <col min="523" max="523" width="11.81640625" style="265" customWidth="1"/>
    <col min="524" max="526" width="0" style="265" hidden="1" customWidth="1"/>
    <col min="527" max="527" width="22.54296875" style="265" customWidth="1"/>
    <col min="528" max="537" width="0" style="265" hidden="1" customWidth="1"/>
    <col min="538" max="768" width="9.1796875" style="265"/>
    <col min="769" max="771" width="10.54296875" style="265" customWidth="1"/>
    <col min="772" max="772" width="8.1796875" style="265" customWidth="1"/>
    <col min="773" max="773" width="10.54296875" style="265" customWidth="1"/>
    <col min="774" max="774" width="12" style="265" customWidth="1"/>
    <col min="775" max="775" width="13.1796875" style="265" customWidth="1"/>
    <col min="776" max="776" width="10.54296875" style="265" customWidth="1"/>
    <col min="777" max="777" width="17.54296875" style="265" customWidth="1"/>
    <col min="778" max="778" width="2.453125" style="265" customWidth="1"/>
    <col min="779" max="779" width="11.81640625" style="265" customWidth="1"/>
    <col min="780" max="782" width="0" style="265" hidden="1" customWidth="1"/>
    <col min="783" max="783" width="22.54296875" style="265" customWidth="1"/>
    <col min="784" max="793" width="0" style="265" hidden="1" customWidth="1"/>
    <col min="794" max="1024" width="9.1796875" style="265"/>
    <col min="1025" max="1027" width="10.54296875" style="265" customWidth="1"/>
    <col min="1028" max="1028" width="8.1796875" style="265" customWidth="1"/>
    <col min="1029" max="1029" width="10.54296875" style="265" customWidth="1"/>
    <col min="1030" max="1030" width="12" style="265" customWidth="1"/>
    <col min="1031" max="1031" width="13.1796875" style="265" customWidth="1"/>
    <col min="1032" max="1032" width="10.54296875" style="265" customWidth="1"/>
    <col min="1033" max="1033" width="17.54296875" style="265" customWidth="1"/>
    <col min="1034" max="1034" width="2.453125" style="265" customWidth="1"/>
    <col min="1035" max="1035" width="11.81640625" style="265" customWidth="1"/>
    <col min="1036" max="1038" width="0" style="265" hidden="1" customWidth="1"/>
    <col min="1039" max="1039" width="22.54296875" style="265" customWidth="1"/>
    <col min="1040" max="1049" width="0" style="265" hidden="1" customWidth="1"/>
    <col min="1050" max="1280" width="9.1796875" style="265"/>
    <col min="1281" max="1283" width="10.54296875" style="265" customWidth="1"/>
    <col min="1284" max="1284" width="8.1796875" style="265" customWidth="1"/>
    <col min="1285" max="1285" width="10.54296875" style="265" customWidth="1"/>
    <col min="1286" max="1286" width="12" style="265" customWidth="1"/>
    <col min="1287" max="1287" width="13.1796875" style="265" customWidth="1"/>
    <col min="1288" max="1288" width="10.54296875" style="265" customWidth="1"/>
    <col min="1289" max="1289" width="17.54296875" style="265" customWidth="1"/>
    <col min="1290" max="1290" width="2.453125" style="265" customWidth="1"/>
    <col min="1291" max="1291" width="11.81640625" style="265" customWidth="1"/>
    <col min="1292" max="1294" width="0" style="265" hidden="1" customWidth="1"/>
    <col min="1295" max="1295" width="22.54296875" style="265" customWidth="1"/>
    <col min="1296" max="1305" width="0" style="265" hidden="1" customWidth="1"/>
    <col min="1306" max="1536" width="9.1796875" style="265"/>
    <col min="1537" max="1539" width="10.54296875" style="265" customWidth="1"/>
    <col min="1540" max="1540" width="8.1796875" style="265" customWidth="1"/>
    <col min="1541" max="1541" width="10.54296875" style="265" customWidth="1"/>
    <col min="1542" max="1542" width="12" style="265" customWidth="1"/>
    <col min="1543" max="1543" width="13.1796875" style="265" customWidth="1"/>
    <col min="1544" max="1544" width="10.54296875" style="265" customWidth="1"/>
    <col min="1545" max="1545" width="17.54296875" style="265" customWidth="1"/>
    <col min="1546" max="1546" width="2.453125" style="265" customWidth="1"/>
    <col min="1547" max="1547" width="11.81640625" style="265" customWidth="1"/>
    <col min="1548" max="1550" width="0" style="265" hidden="1" customWidth="1"/>
    <col min="1551" max="1551" width="22.54296875" style="265" customWidth="1"/>
    <col min="1552" max="1561" width="0" style="265" hidden="1" customWidth="1"/>
    <col min="1562" max="1792" width="9.1796875" style="265"/>
    <col min="1793" max="1795" width="10.54296875" style="265" customWidth="1"/>
    <col min="1796" max="1796" width="8.1796875" style="265" customWidth="1"/>
    <col min="1797" max="1797" width="10.54296875" style="265" customWidth="1"/>
    <col min="1798" max="1798" width="12" style="265" customWidth="1"/>
    <col min="1799" max="1799" width="13.1796875" style="265" customWidth="1"/>
    <col min="1800" max="1800" width="10.54296875" style="265" customWidth="1"/>
    <col min="1801" max="1801" width="17.54296875" style="265" customWidth="1"/>
    <col min="1802" max="1802" width="2.453125" style="265" customWidth="1"/>
    <col min="1803" max="1803" width="11.81640625" style="265" customWidth="1"/>
    <col min="1804" max="1806" width="0" style="265" hidden="1" customWidth="1"/>
    <col min="1807" max="1807" width="22.54296875" style="265" customWidth="1"/>
    <col min="1808" max="1817" width="0" style="265" hidden="1" customWidth="1"/>
    <col min="1818" max="2048" width="9.1796875" style="265"/>
    <col min="2049" max="2051" width="10.54296875" style="265" customWidth="1"/>
    <col min="2052" max="2052" width="8.1796875" style="265" customWidth="1"/>
    <col min="2053" max="2053" width="10.54296875" style="265" customWidth="1"/>
    <col min="2054" max="2054" width="12" style="265" customWidth="1"/>
    <col min="2055" max="2055" width="13.1796875" style="265" customWidth="1"/>
    <col min="2056" max="2056" width="10.54296875" style="265" customWidth="1"/>
    <col min="2057" max="2057" width="17.54296875" style="265" customWidth="1"/>
    <col min="2058" max="2058" width="2.453125" style="265" customWidth="1"/>
    <col min="2059" max="2059" width="11.81640625" style="265" customWidth="1"/>
    <col min="2060" max="2062" width="0" style="265" hidden="1" customWidth="1"/>
    <col min="2063" max="2063" width="22.54296875" style="265" customWidth="1"/>
    <col min="2064" max="2073" width="0" style="265" hidden="1" customWidth="1"/>
    <col min="2074" max="2304" width="9.1796875" style="265"/>
    <col min="2305" max="2307" width="10.54296875" style="265" customWidth="1"/>
    <col min="2308" max="2308" width="8.1796875" style="265" customWidth="1"/>
    <col min="2309" max="2309" width="10.54296875" style="265" customWidth="1"/>
    <col min="2310" max="2310" width="12" style="265" customWidth="1"/>
    <col min="2311" max="2311" width="13.1796875" style="265" customWidth="1"/>
    <col min="2312" max="2312" width="10.54296875" style="265" customWidth="1"/>
    <col min="2313" max="2313" width="17.54296875" style="265" customWidth="1"/>
    <col min="2314" max="2314" width="2.453125" style="265" customWidth="1"/>
    <col min="2315" max="2315" width="11.81640625" style="265" customWidth="1"/>
    <col min="2316" max="2318" width="0" style="265" hidden="1" customWidth="1"/>
    <col min="2319" max="2319" width="22.54296875" style="265" customWidth="1"/>
    <col min="2320" max="2329" width="0" style="265" hidden="1" customWidth="1"/>
    <col min="2330" max="2560" width="9.1796875" style="265"/>
    <col min="2561" max="2563" width="10.54296875" style="265" customWidth="1"/>
    <col min="2564" max="2564" width="8.1796875" style="265" customWidth="1"/>
    <col min="2565" max="2565" width="10.54296875" style="265" customWidth="1"/>
    <col min="2566" max="2566" width="12" style="265" customWidth="1"/>
    <col min="2567" max="2567" width="13.1796875" style="265" customWidth="1"/>
    <col min="2568" max="2568" width="10.54296875" style="265" customWidth="1"/>
    <col min="2569" max="2569" width="17.54296875" style="265" customWidth="1"/>
    <col min="2570" max="2570" width="2.453125" style="265" customWidth="1"/>
    <col min="2571" max="2571" width="11.81640625" style="265" customWidth="1"/>
    <col min="2572" max="2574" width="0" style="265" hidden="1" customWidth="1"/>
    <col min="2575" max="2575" width="22.54296875" style="265" customWidth="1"/>
    <col min="2576" max="2585" width="0" style="265" hidden="1" customWidth="1"/>
    <col min="2586" max="2816" width="9.1796875" style="265"/>
    <col min="2817" max="2819" width="10.54296875" style="265" customWidth="1"/>
    <col min="2820" max="2820" width="8.1796875" style="265" customWidth="1"/>
    <col min="2821" max="2821" width="10.54296875" style="265" customWidth="1"/>
    <col min="2822" max="2822" width="12" style="265" customWidth="1"/>
    <col min="2823" max="2823" width="13.1796875" style="265" customWidth="1"/>
    <col min="2824" max="2824" width="10.54296875" style="265" customWidth="1"/>
    <col min="2825" max="2825" width="17.54296875" style="265" customWidth="1"/>
    <col min="2826" max="2826" width="2.453125" style="265" customWidth="1"/>
    <col min="2827" max="2827" width="11.81640625" style="265" customWidth="1"/>
    <col min="2828" max="2830" width="0" style="265" hidden="1" customWidth="1"/>
    <col min="2831" max="2831" width="22.54296875" style="265" customWidth="1"/>
    <col min="2832" max="2841" width="0" style="265" hidden="1" customWidth="1"/>
    <col min="2842" max="3072" width="9.1796875" style="265"/>
    <col min="3073" max="3075" width="10.54296875" style="265" customWidth="1"/>
    <col min="3076" max="3076" width="8.1796875" style="265" customWidth="1"/>
    <col min="3077" max="3077" width="10.54296875" style="265" customWidth="1"/>
    <col min="3078" max="3078" width="12" style="265" customWidth="1"/>
    <col min="3079" max="3079" width="13.1796875" style="265" customWidth="1"/>
    <col min="3080" max="3080" width="10.54296875" style="265" customWidth="1"/>
    <col min="3081" max="3081" width="17.54296875" style="265" customWidth="1"/>
    <col min="3082" max="3082" width="2.453125" style="265" customWidth="1"/>
    <col min="3083" max="3083" width="11.81640625" style="265" customWidth="1"/>
    <col min="3084" max="3086" width="0" style="265" hidden="1" customWidth="1"/>
    <col min="3087" max="3087" width="22.54296875" style="265" customWidth="1"/>
    <col min="3088" max="3097" width="0" style="265" hidden="1" customWidth="1"/>
    <col min="3098" max="3328" width="9.1796875" style="265"/>
    <col min="3329" max="3331" width="10.54296875" style="265" customWidth="1"/>
    <col min="3332" max="3332" width="8.1796875" style="265" customWidth="1"/>
    <col min="3333" max="3333" width="10.54296875" style="265" customWidth="1"/>
    <col min="3334" max="3334" width="12" style="265" customWidth="1"/>
    <col min="3335" max="3335" width="13.1796875" style="265" customWidth="1"/>
    <col min="3336" max="3336" width="10.54296875" style="265" customWidth="1"/>
    <col min="3337" max="3337" width="17.54296875" style="265" customWidth="1"/>
    <col min="3338" max="3338" width="2.453125" style="265" customWidth="1"/>
    <col min="3339" max="3339" width="11.81640625" style="265" customWidth="1"/>
    <col min="3340" max="3342" width="0" style="265" hidden="1" customWidth="1"/>
    <col min="3343" max="3343" width="22.54296875" style="265" customWidth="1"/>
    <col min="3344" max="3353" width="0" style="265" hidden="1" customWidth="1"/>
    <col min="3354" max="3584" width="9.1796875" style="265"/>
    <col min="3585" max="3587" width="10.54296875" style="265" customWidth="1"/>
    <col min="3588" max="3588" width="8.1796875" style="265" customWidth="1"/>
    <col min="3589" max="3589" width="10.54296875" style="265" customWidth="1"/>
    <col min="3590" max="3590" width="12" style="265" customWidth="1"/>
    <col min="3591" max="3591" width="13.1796875" style="265" customWidth="1"/>
    <col min="3592" max="3592" width="10.54296875" style="265" customWidth="1"/>
    <col min="3593" max="3593" width="17.54296875" style="265" customWidth="1"/>
    <col min="3594" max="3594" width="2.453125" style="265" customWidth="1"/>
    <col min="3595" max="3595" width="11.81640625" style="265" customWidth="1"/>
    <col min="3596" max="3598" width="0" style="265" hidden="1" customWidth="1"/>
    <col min="3599" max="3599" width="22.54296875" style="265" customWidth="1"/>
    <col min="3600" max="3609" width="0" style="265" hidden="1" customWidth="1"/>
    <col min="3610" max="3840" width="9.1796875" style="265"/>
    <col min="3841" max="3843" width="10.54296875" style="265" customWidth="1"/>
    <col min="3844" max="3844" width="8.1796875" style="265" customWidth="1"/>
    <col min="3845" max="3845" width="10.54296875" style="265" customWidth="1"/>
    <col min="3846" max="3846" width="12" style="265" customWidth="1"/>
    <col min="3847" max="3847" width="13.1796875" style="265" customWidth="1"/>
    <col min="3848" max="3848" width="10.54296875" style="265" customWidth="1"/>
    <col min="3849" max="3849" width="17.54296875" style="265" customWidth="1"/>
    <col min="3850" max="3850" width="2.453125" style="265" customWidth="1"/>
    <col min="3851" max="3851" width="11.81640625" style="265" customWidth="1"/>
    <col min="3852" max="3854" width="0" style="265" hidden="1" customWidth="1"/>
    <col min="3855" max="3855" width="22.54296875" style="265" customWidth="1"/>
    <col min="3856" max="3865" width="0" style="265" hidden="1" customWidth="1"/>
    <col min="3866" max="4096" width="9.1796875" style="265"/>
    <col min="4097" max="4099" width="10.54296875" style="265" customWidth="1"/>
    <col min="4100" max="4100" width="8.1796875" style="265" customWidth="1"/>
    <col min="4101" max="4101" width="10.54296875" style="265" customWidth="1"/>
    <col min="4102" max="4102" width="12" style="265" customWidth="1"/>
    <col min="4103" max="4103" width="13.1796875" style="265" customWidth="1"/>
    <col min="4104" max="4104" width="10.54296875" style="265" customWidth="1"/>
    <col min="4105" max="4105" width="17.54296875" style="265" customWidth="1"/>
    <col min="4106" max="4106" width="2.453125" style="265" customWidth="1"/>
    <col min="4107" max="4107" width="11.81640625" style="265" customWidth="1"/>
    <col min="4108" max="4110" width="0" style="265" hidden="1" customWidth="1"/>
    <col min="4111" max="4111" width="22.54296875" style="265" customWidth="1"/>
    <col min="4112" max="4121" width="0" style="265" hidden="1" customWidth="1"/>
    <col min="4122" max="4352" width="9.1796875" style="265"/>
    <col min="4353" max="4355" width="10.54296875" style="265" customWidth="1"/>
    <col min="4356" max="4356" width="8.1796875" style="265" customWidth="1"/>
    <col min="4357" max="4357" width="10.54296875" style="265" customWidth="1"/>
    <col min="4358" max="4358" width="12" style="265" customWidth="1"/>
    <col min="4359" max="4359" width="13.1796875" style="265" customWidth="1"/>
    <col min="4360" max="4360" width="10.54296875" style="265" customWidth="1"/>
    <col min="4361" max="4361" width="17.54296875" style="265" customWidth="1"/>
    <col min="4362" max="4362" width="2.453125" style="265" customWidth="1"/>
    <col min="4363" max="4363" width="11.81640625" style="265" customWidth="1"/>
    <col min="4364" max="4366" width="0" style="265" hidden="1" customWidth="1"/>
    <col min="4367" max="4367" width="22.54296875" style="265" customWidth="1"/>
    <col min="4368" max="4377" width="0" style="265" hidden="1" customWidth="1"/>
    <col min="4378" max="4608" width="9.1796875" style="265"/>
    <col min="4609" max="4611" width="10.54296875" style="265" customWidth="1"/>
    <col min="4612" max="4612" width="8.1796875" style="265" customWidth="1"/>
    <col min="4613" max="4613" width="10.54296875" style="265" customWidth="1"/>
    <col min="4614" max="4614" width="12" style="265" customWidth="1"/>
    <col min="4615" max="4615" width="13.1796875" style="265" customWidth="1"/>
    <col min="4616" max="4616" width="10.54296875" style="265" customWidth="1"/>
    <col min="4617" max="4617" width="17.54296875" style="265" customWidth="1"/>
    <col min="4618" max="4618" width="2.453125" style="265" customWidth="1"/>
    <col min="4619" max="4619" width="11.81640625" style="265" customWidth="1"/>
    <col min="4620" max="4622" width="0" style="265" hidden="1" customWidth="1"/>
    <col min="4623" max="4623" width="22.54296875" style="265" customWidth="1"/>
    <col min="4624" max="4633" width="0" style="265" hidden="1" customWidth="1"/>
    <col min="4634" max="4864" width="9.1796875" style="265"/>
    <col min="4865" max="4867" width="10.54296875" style="265" customWidth="1"/>
    <col min="4868" max="4868" width="8.1796875" style="265" customWidth="1"/>
    <col min="4869" max="4869" width="10.54296875" style="265" customWidth="1"/>
    <col min="4870" max="4870" width="12" style="265" customWidth="1"/>
    <col min="4871" max="4871" width="13.1796875" style="265" customWidth="1"/>
    <col min="4872" max="4872" width="10.54296875" style="265" customWidth="1"/>
    <col min="4873" max="4873" width="17.54296875" style="265" customWidth="1"/>
    <col min="4874" max="4874" width="2.453125" style="265" customWidth="1"/>
    <col min="4875" max="4875" width="11.81640625" style="265" customWidth="1"/>
    <col min="4876" max="4878" width="0" style="265" hidden="1" customWidth="1"/>
    <col min="4879" max="4879" width="22.54296875" style="265" customWidth="1"/>
    <col min="4880" max="4889" width="0" style="265" hidden="1" customWidth="1"/>
    <col min="4890" max="5120" width="9.1796875" style="265"/>
    <col min="5121" max="5123" width="10.54296875" style="265" customWidth="1"/>
    <col min="5124" max="5124" width="8.1796875" style="265" customWidth="1"/>
    <col min="5125" max="5125" width="10.54296875" style="265" customWidth="1"/>
    <col min="5126" max="5126" width="12" style="265" customWidth="1"/>
    <col min="5127" max="5127" width="13.1796875" style="265" customWidth="1"/>
    <col min="5128" max="5128" width="10.54296875" style="265" customWidth="1"/>
    <col min="5129" max="5129" width="17.54296875" style="265" customWidth="1"/>
    <col min="5130" max="5130" width="2.453125" style="265" customWidth="1"/>
    <col min="5131" max="5131" width="11.81640625" style="265" customWidth="1"/>
    <col min="5132" max="5134" width="0" style="265" hidden="1" customWidth="1"/>
    <col min="5135" max="5135" width="22.54296875" style="265" customWidth="1"/>
    <col min="5136" max="5145" width="0" style="265" hidden="1" customWidth="1"/>
    <col min="5146" max="5376" width="9.1796875" style="265"/>
    <col min="5377" max="5379" width="10.54296875" style="265" customWidth="1"/>
    <col min="5380" max="5380" width="8.1796875" style="265" customWidth="1"/>
    <col min="5381" max="5381" width="10.54296875" style="265" customWidth="1"/>
    <col min="5382" max="5382" width="12" style="265" customWidth="1"/>
    <col min="5383" max="5383" width="13.1796875" style="265" customWidth="1"/>
    <col min="5384" max="5384" width="10.54296875" style="265" customWidth="1"/>
    <col min="5385" max="5385" width="17.54296875" style="265" customWidth="1"/>
    <col min="5386" max="5386" width="2.453125" style="265" customWidth="1"/>
    <col min="5387" max="5387" width="11.81640625" style="265" customWidth="1"/>
    <col min="5388" max="5390" width="0" style="265" hidden="1" customWidth="1"/>
    <col min="5391" max="5391" width="22.54296875" style="265" customWidth="1"/>
    <col min="5392" max="5401" width="0" style="265" hidden="1" customWidth="1"/>
    <col min="5402" max="5632" width="9.1796875" style="265"/>
    <col min="5633" max="5635" width="10.54296875" style="265" customWidth="1"/>
    <col min="5636" max="5636" width="8.1796875" style="265" customWidth="1"/>
    <col min="5637" max="5637" width="10.54296875" style="265" customWidth="1"/>
    <col min="5638" max="5638" width="12" style="265" customWidth="1"/>
    <col min="5639" max="5639" width="13.1796875" style="265" customWidth="1"/>
    <col min="5640" max="5640" width="10.54296875" style="265" customWidth="1"/>
    <col min="5641" max="5641" width="17.54296875" style="265" customWidth="1"/>
    <col min="5642" max="5642" width="2.453125" style="265" customWidth="1"/>
    <col min="5643" max="5643" width="11.81640625" style="265" customWidth="1"/>
    <col min="5644" max="5646" width="0" style="265" hidden="1" customWidth="1"/>
    <col min="5647" max="5647" width="22.54296875" style="265" customWidth="1"/>
    <col min="5648" max="5657" width="0" style="265" hidden="1" customWidth="1"/>
    <col min="5658" max="5888" width="9.1796875" style="265"/>
    <col min="5889" max="5891" width="10.54296875" style="265" customWidth="1"/>
    <col min="5892" max="5892" width="8.1796875" style="265" customWidth="1"/>
    <col min="5893" max="5893" width="10.54296875" style="265" customWidth="1"/>
    <col min="5894" max="5894" width="12" style="265" customWidth="1"/>
    <col min="5895" max="5895" width="13.1796875" style="265" customWidth="1"/>
    <col min="5896" max="5896" width="10.54296875" style="265" customWidth="1"/>
    <col min="5897" max="5897" width="17.54296875" style="265" customWidth="1"/>
    <col min="5898" max="5898" width="2.453125" style="265" customWidth="1"/>
    <col min="5899" max="5899" width="11.81640625" style="265" customWidth="1"/>
    <col min="5900" max="5902" width="0" style="265" hidden="1" customWidth="1"/>
    <col min="5903" max="5903" width="22.54296875" style="265" customWidth="1"/>
    <col min="5904" max="5913" width="0" style="265" hidden="1" customWidth="1"/>
    <col min="5914" max="6144" width="9.1796875" style="265"/>
    <col min="6145" max="6147" width="10.54296875" style="265" customWidth="1"/>
    <col min="6148" max="6148" width="8.1796875" style="265" customWidth="1"/>
    <col min="6149" max="6149" width="10.54296875" style="265" customWidth="1"/>
    <col min="6150" max="6150" width="12" style="265" customWidth="1"/>
    <col min="6151" max="6151" width="13.1796875" style="265" customWidth="1"/>
    <col min="6152" max="6152" width="10.54296875" style="265" customWidth="1"/>
    <col min="6153" max="6153" width="17.54296875" style="265" customWidth="1"/>
    <col min="6154" max="6154" width="2.453125" style="265" customWidth="1"/>
    <col min="6155" max="6155" width="11.81640625" style="265" customWidth="1"/>
    <col min="6156" max="6158" width="0" style="265" hidden="1" customWidth="1"/>
    <col min="6159" max="6159" width="22.54296875" style="265" customWidth="1"/>
    <col min="6160" max="6169" width="0" style="265" hidden="1" customWidth="1"/>
    <col min="6170" max="6400" width="9.1796875" style="265"/>
    <col min="6401" max="6403" width="10.54296875" style="265" customWidth="1"/>
    <col min="6404" max="6404" width="8.1796875" style="265" customWidth="1"/>
    <col min="6405" max="6405" width="10.54296875" style="265" customWidth="1"/>
    <col min="6406" max="6406" width="12" style="265" customWidth="1"/>
    <col min="6407" max="6407" width="13.1796875" style="265" customWidth="1"/>
    <col min="6408" max="6408" width="10.54296875" style="265" customWidth="1"/>
    <col min="6409" max="6409" width="17.54296875" style="265" customWidth="1"/>
    <col min="6410" max="6410" width="2.453125" style="265" customWidth="1"/>
    <col min="6411" max="6411" width="11.81640625" style="265" customWidth="1"/>
    <col min="6412" max="6414" width="0" style="265" hidden="1" customWidth="1"/>
    <col min="6415" max="6415" width="22.54296875" style="265" customWidth="1"/>
    <col min="6416" max="6425" width="0" style="265" hidden="1" customWidth="1"/>
    <col min="6426" max="6656" width="9.1796875" style="265"/>
    <col min="6657" max="6659" width="10.54296875" style="265" customWidth="1"/>
    <col min="6660" max="6660" width="8.1796875" style="265" customWidth="1"/>
    <col min="6661" max="6661" width="10.54296875" style="265" customWidth="1"/>
    <col min="6662" max="6662" width="12" style="265" customWidth="1"/>
    <col min="6663" max="6663" width="13.1796875" style="265" customWidth="1"/>
    <col min="6664" max="6664" width="10.54296875" style="265" customWidth="1"/>
    <col min="6665" max="6665" width="17.54296875" style="265" customWidth="1"/>
    <col min="6666" max="6666" width="2.453125" style="265" customWidth="1"/>
    <col min="6667" max="6667" width="11.81640625" style="265" customWidth="1"/>
    <col min="6668" max="6670" width="0" style="265" hidden="1" customWidth="1"/>
    <col min="6671" max="6671" width="22.54296875" style="265" customWidth="1"/>
    <col min="6672" max="6681" width="0" style="265" hidden="1" customWidth="1"/>
    <col min="6682" max="6912" width="9.1796875" style="265"/>
    <col min="6913" max="6915" width="10.54296875" style="265" customWidth="1"/>
    <col min="6916" max="6916" width="8.1796875" style="265" customWidth="1"/>
    <col min="6917" max="6917" width="10.54296875" style="265" customWidth="1"/>
    <col min="6918" max="6918" width="12" style="265" customWidth="1"/>
    <col min="6919" max="6919" width="13.1796875" style="265" customWidth="1"/>
    <col min="6920" max="6920" width="10.54296875" style="265" customWidth="1"/>
    <col min="6921" max="6921" width="17.54296875" style="265" customWidth="1"/>
    <col min="6922" max="6922" width="2.453125" style="265" customWidth="1"/>
    <col min="6923" max="6923" width="11.81640625" style="265" customWidth="1"/>
    <col min="6924" max="6926" width="0" style="265" hidden="1" customWidth="1"/>
    <col min="6927" max="6927" width="22.54296875" style="265" customWidth="1"/>
    <col min="6928" max="6937" width="0" style="265" hidden="1" customWidth="1"/>
    <col min="6938" max="7168" width="9.1796875" style="265"/>
    <col min="7169" max="7171" width="10.54296875" style="265" customWidth="1"/>
    <col min="7172" max="7172" width="8.1796875" style="265" customWidth="1"/>
    <col min="7173" max="7173" width="10.54296875" style="265" customWidth="1"/>
    <col min="7174" max="7174" width="12" style="265" customWidth="1"/>
    <col min="7175" max="7175" width="13.1796875" style="265" customWidth="1"/>
    <col min="7176" max="7176" width="10.54296875" style="265" customWidth="1"/>
    <col min="7177" max="7177" width="17.54296875" style="265" customWidth="1"/>
    <col min="7178" max="7178" width="2.453125" style="265" customWidth="1"/>
    <col min="7179" max="7179" width="11.81640625" style="265" customWidth="1"/>
    <col min="7180" max="7182" width="0" style="265" hidden="1" customWidth="1"/>
    <col min="7183" max="7183" width="22.54296875" style="265" customWidth="1"/>
    <col min="7184" max="7193" width="0" style="265" hidden="1" customWidth="1"/>
    <col min="7194" max="7424" width="9.1796875" style="265"/>
    <col min="7425" max="7427" width="10.54296875" style="265" customWidth="1"/>
    <col min="7428" max="7428" width="8.1796875" style="265" customWidth="1"/>
    <col min="7429" max="7429" width="10.54296875" style="265" customWidth="1"/>
    <col min="7430" max="7430" width="12" style="265" customWidth="1"/>
    <col min="7431" max="7431" width="13.1796875" style="265" customWidth="1"/>
    <col min="7432" max="7432" width="10.54296875" style="265" customWidth="1"/>
    <col min="7433" max="7433" width="17.54296875" style="265" customWidth="1"/>
    <col min="7434" max="7434" width="2.453125" style="265" customWidth="1"/>
    <col min="7435" max="7435" width="11.81640625" style="265" customWidth="1"/>
    <col min="7436" max="7438" width="0" style="265" hidden="1" customWidth="1"/>
    <col min="7439" max="7439" width="22.54296875" style="265" customWidth="1"/>
    <col min="7440" max="7449" width="0" style="265" hidden="1" customWidth="1"/>
    <col min="7450" max="7680" width="9.1796875" style="265"/>
    <col min="7681" max="7683" width="10.54296875" style="265" customWidth="1"/>
    <col min="7684" max="7684" width="8.1796875" style="265" customWidth="1"/>
    <col min="7685" max="7685" width="10.54296875" style="265" customWidth="1"/>
    <col min="7686" max="7686" width="12" style="265" customWidth="1"/>
    <col min="7687" max="7687" width="13.1796875" style="265" customWidth="1"/>
    <col min="7688" max="7688" width="10.54296875" style="265" customWidth="1"/>
    <col min="7689" max="7689" width="17.54296875" style="265" customWidth="1"/>
    <col min="7690" max="7690" width="2.453125" style="265" customWidth="1"/>
    <col min="7691" max="7691" width="11.81640625" style="265" customWidth="1"/>
    <col min="7692" max="7694" width="0" style="265" hidden="1" customWidth="1"/>
    <col min="7695" max="7695" width="22.54296875" style="265" customWidth="1"/>
    <col min="7696" max="7705" width="0" style="265" hidden="1" customWidth="1"/>
    <col min="7706" max="7936" width="9.1796875" style="265"/>
    <col min="7937" max="7939" width="10.54296875" style="265" customWidth="1"/>
    <col min="7940" max="7940" width="8.1796875" style="265" customWidth="1"/>
    <col min="7941" max="7941" width="10.54296875" style="265" customWidth="1"/>
    <col min="7942" max="7942" width="12" style="265" customWidth="1"/>
    <col min="7943" max="7943" width="13.1796875" style="265" customWidth="1"/>
    <col min="7944" max="7944" width="10.54296875" style="265" customWidth="1"/>
    <col min="7945" max="7945" width="17.54296875" style="265" customWidth="1"/>
    <col min="7946" max="7946" width="2.453125" style="265" customWidth="1"/>
    <col min="7947" max="7947" width="11.81640625" style="265" customWidth="1"/>
    <col min="7948" max="7950" width="0" style="265" hidden="1" customWidth="1"/>
    <col min="7951" max="7951" width="22.54296875" style="265" customWidth="1"/>
    <col min="7952" max="7961" width="0" style="265" hidden="1" customWidth="1"/>
    <col min="7962" max="8192" width="9.1796875" style="265"/>
    <col min="8193" max="8195" width="10.54296875" style="265" customWidth="1"/>
    <col min="8196" max="8196" width="8.1796875" style="265" customWidth="1"/>
    <col min="8197" max="8197" width="10.54296875" style="265" customWidth="1"/>
    <col min="8198" max="8198" width="12" style="265" customWidth="1"/>
    <col min="8199" max="8199" width="13.1796875" style="265" customWidth="1"/>
    <col min="8200" max="8200" width="10.54296875" style="265" customWidth="1"/>
    <col min="8201" max="8201" width="17.54296875" style="265" customWidth="1"/>
    <col min="8202" max="8202" width="2.453125" style="265" customWidth="1"/>
    <col min="8203" max="8203" width="11.81640625" style="265" customWidth="1"/>
    <col min="8204" max="8206" width="0" style="265" hidden="1" customWidth="1"/>
    <col min="8207" max="8207" width="22.54296875" style="265" customWidth="1"/>
    <col min="8208" max="8217" width="0" style="265" hidden="1" customWidth="1"/>
    <col min="8218" max="8448" width="9.1796875" style="265"/>
    <col min="8449" max="8451" width="10.54296875" style="265" customWidth="1"/>
    <col min="8452" max="8452" width="8.1796875" style="265" customWidth="1"/>
    <col min="8453" max="8453" width="10.54296875" style="265" customWidth="1"/>
    <col min="8454" max="8454" width="12" style="265" customWidth="1"/>
    <col min="8455" max="8455" width="13.1796875" style="265" customWidth="1"/>
    <col min="8456" max="8456" width="10.54296875" style="265" customWidth="1"/>
    <col min="8457" max="8457" width="17.54296875" style="265" customWidth="1"/>
    <col min="8458" max="8458" width="2.453125" style="265" customWidth="1"/>
    <col min="8459" max="8459" width="11.81640625" style="265" customWidth="1"/>
    <col min="8460" max="8462" width="0" style="265" hidden="1" customWidth="1"/>
    <col min="8463" max="8463" width="22.54296875" style="265" customWidth="1"/>
    <col min="8464" max="8473" width="0" style="265" hidden="1" customWidth="1"/>
    <col min="8474" max="8704" width="9.1796875" style="265"/>
    <col min="8705" max="8707" width="10.54296875" style="265" customWidth="1"/>
    <col min="8708" max="8708" width="8.1796875" style="265" customWidth="1"/>
    <col min="8709" max="8709" width="10.54296875" style="265" customWidth="1"/>
    <col min="8710" max="8710" width="12" style="265" customWidth="1"/>
    <col min="8711" max="8711" width="13.1796875" style="265" customWidth="1"/>
    <col min="8712" max="8712" width="10.54296875" style="265" customWidth="1"/>
    <col min="8713" max="8713" width="17.54296875" style="265" customWidth="1"/>
    <col min="8714" max="8714" width="2.453125" style="265" customWidth="1"/>
    <col min="8715" max="8715" width="11.81640625" style="265" customWidth="1"/>
    <col min="8716" max="8718" width="0" style="265" hidden="1" customWidth="1"/>
    <col min="8719" max="8719" width="22.54296875" style="265" customWidth="1"/>
    <col min="8720" max="8729" width="0" style="265" hidden="1" customWidth="1"/>
    <col min="8730" max="8960" width="9.1796875" style="265"/>
    <col min="8961" max="8963" width="10.54296875" style="265" customWidth="1"/>
    <col min="8964" max="8964" width="8.1796875" style="265" customWidth="1"/>
    <col min="8965" max="8965" width="10.54296875" style="265" customWidth="1"/>
    <col min="8966" max="8966" width="12" style="265" customWidth="1"/>
    <col min="8967" max="8967" width="13.1796875" style="265" customWidth="1"/>
    <col min="8968" max="8968" width="10.54296875" style="265" customWidth="1"/>
    <col min="8969" max="8969" width="17.54296875" style="265" customWidth="1"/>
    <col min="8970" max="8970" width="2.453125" style="265" customWidth="1"/>
    <col min="8971" max="8971" width="11.81640625" style="265" customWidth="1"/>
    <col min="8972" max="8974" width="0" style="265" hidden="1" customWidth="1"/>
    <col min="8975" max="8975" width="22.54296875" style="265" customWidth="1"/>
    <col min="8976" max="8985" width="0" style="265" hidden="1" customWidth="1"/>
    <col min="8986" max="9216" width="9.1796875" style="265"/>
    <col min="9217" max="9219" width="10.54296875" style="265" customWidth="1"/>
    <col min="9220" max="9220" width="8.1796875" style="265" customWidth="1"/>
    <col min="9221" max="9221" width="10.54296875" style="265" customWidth="1"/>
    <col min="9222" max="9222" width="12" style="265" customWidth="1"/>
    <col min="9223" max="9223" width="13.1796875" style="265" customWidth="1"/>
    <col min="9224" max="9224" width="10.54296875" style="265" customWidth="1"/>
    <col min="9225" max="9225" width="17.54296875" style="265" customWidth="1"/>
    <col min="9226" max="9226" width="2.453125" style="265" customWidth="1"/>
    <col min="9227" max="9227" width="11.81640625" style="265" customWidth="1"/>
    <col min="9228" max="9230" width="0" style="265" hidden="1" customWidth="1"/>
    <col min="9231" max="9231" width="22.54296875" style="265" customWidth="1"/>
    <col min="9232" max="9241" width="0" style="265" hidden="1" customWidth="1"/>
    <col min="9242" max="9472" width="9.1796875" style="265"/>
    <col min="9473" max="9475" width="10.54296875" style="265" customWidth="1"/>
    <col min="9476" max="9476" width="8.1796875" style="265" customWidth="1"/>
    <col min="9477" max="9477" width="10.54296875" style="265" customWidth="1"/>
    <col min="9478" max="9478" width="12" style="265" customWidth="1"/>
    <col min="9479" max="9479" width="13.1796875" style="265" customWidth="1"/>
    <col min="9480" max="9480" width="10.54296875" style="265" customWidth="1"/>
    <col min="9481" max="9481" width="17.54296875" style="265" customWidth="1"/>
    <col min="9482" max="9482" width="2.453125" style="265" customWidth="1"/>
    <col min="9483" max="9483" width="11.81640625" style="265" customWidth="1"/>
    <col min="9484" max="9486" width="0" style="265" hidden="1" customWidth="1"/>
    <col min="9487" max="9487" width="22.54296875" style="265" customWidth="1"/>
    <col min="9488" max="9497" width="0" style="265" hidden="1" customWidth="1"/>
    <col min="9498" max="9728" width="9.1796875" style="265"/>
    <col min="9729" max="9731" width="10.54296875" style="265" customWidth="1"/>
    <col min="9732" max="9732" width="8.1796875" style="265" customWidth="1"/>
    <col min="9733" max="9733" width="10.54296875" style="265" customWidth="1"/>
    <col min="9734" max="9734" width="12" style="265" customWidth="1"/>
    <col min="9735" max="9735" width="13.1796875" style="265" customWidth="1"/>
    <col min="9736" max="9736" width="10.54296875" style="265" customWidth="1"/>
    <col min="9737" max="9737" width="17.54296875" style="265" customWidth="1"/>
    <col min="9738" max="9738" width="2.453125" style="265" customWidth="1"/>
    <col min="9739" max="9739" width="11.81640625" style="265" customWidth="1"/>
    <col min="9740" max="9742" width="0" style="265" hidden="1" customWidth="1"/>
    <col min="9743" max="9743" width="22.54296875" style="265" customWidth="1"/>
    <col min="9744" max="9753" width="0" style="265" hidden="1" customWidth="1"/>
    <col min="9754" max="9984" width="9.1796875" style="265"/>
    <col min="9985" max="9987" width="10.54296875" style="265" customWidth="1"/>
    <col min="9988" max="9988" width="8.1796875" style="265" customWidth="1"/>
    <col min="9989" max="9989" width="10.54296875" style="265" customWidth="1"/>
    <col min="9990" max="9990" width="12" style="265" customWidth="1"/>
    <col min="9991" max="9991" width="13.1796875" style="265" customWidth="1"/>
    <col min="9992" max="9992" width="10.54296875" style="265" customWidth="1"/>
    <col min="9993" max="9993" width="17.54296875" style="265" customWidth="1"/>
    <col min="9994" max="9994" width="2.453125" style="265" customWidth="1"/>
    <col min="9995" max="9995" width="11.81640625" style="265" customWidth="1"/>
    <col min="9996" max="9998" width="0" style="265" hidden="1" customWidth="1"/>
    <col min="9999" max="9999" width="22.54296875" style="265" customWidth="1"/>
    <col min="10000" max="10009" width="0" style="265" hidden="1" customWidth="1"/>
    <col min="10010" max="10240" width="9.1796875" style="265"/>
    <col min="10241" max="10243" width="10.54296875" style="265" customWidth="1"/>
    <col min="10244" max="10244" width="8.1796875" style="265" customWidth="1"/>
    <col min="10245" max="10245" width="10.54296875" style="265" customWidth="1"/>
    <col min="10246" max="10246" width="12" style="265" customWidth="1"/>
    <col min="10247" max="10247" width="13.1796875" style="265" customWidth="1"/>
    <col min="10248" max="10248" width="10.54296875" style="265" customWidth="1"/>
    <col min="10249" max="10249" width="17.54296875" style="265" customWidth="1"/>
    <col min="10250" max="10250" width="2.453125" style="265" customWidth="1"/>
    <col min="10251" max="10251" width="11.81640625" style="265" customWidth="1"/>
    <col min="10252" max="10254" width="0" style="265" hidden="1" customWidth="1"/>
    <col min="10255" max="10255" width="22.54296875" style="265" customWidth="1"/>
    <col min="10256" max="10265" width="0" style="265" hidden="1" customWidth="1"/>
    <col min="10266" max="10496" width="9.1796875" style="265"/>
    <col min="10497" max="10499" width="10.54296875" style="265" customWidth="1"/>
    <col min="10500" max="10500" width="8.1796875" style="265" customWidth="1"/>
    <col min="10501" max="10501" width="10.54296875" style="265" customWidth="1"/>
    <col min="10502" max="10502" width="12" style="265" customWidth="1"/>
    <col min="10503" max="10503" width="13.1796875" style="265" customWidth="1"/>
    <col min="10504" max="10504" width="10.54296875" style="265" customWidth="1"/>
    <col min="10505" max="10505" width="17.54296875" style="265" customWidth="1"/>
    <col min="10506" max="10506" width="2.453125" style="265" customWidth="1"/>
    <col min="10507" max="10507" width="11.81640625" style="265" customWidth="1"/>
    <col min="10508" max="10510" width="0" style="265" hidden="1" customWidth="1"/>
    <col min="10511" max="10511" width="22.54296875" style="265" customWidth="1"/>
    <col min="10512" max="10521" width="0" style="265" hidden="1" customWidth="1"/>
    <col min="10522" max="10752" width="9.1796875" style="265"/>
    <col min="10753" max="10755" width="10.54296875" style="265" customWidth="1"/>
    <col min="10756" max="10756" width="8.1796875" style="265" customWidth="1"/>
    <col min="10757" max="10757" width="10.54296875" style="265" customWidth="1"/>
    <col min="10758" max="10758" width="12" style="265" customWidth="1"/>
    <col min="10759" max="10759" width="13.1796875" style="265" customWidth="1"/>
    <col min="10760" max="10760" width="10.54296875" style="265" customWidth="1"/>
    <col min="10761" max="10761" width="17.54296875" style="265" customWidth="1"/>
    <col min="10762" max="10762" width="2.453125" style="265" customWidth="1"/>
    <col min="10763" max="10763" width="11.81640625" style="265" customWidth="1"/>
    <col min="10764" max="10766" width="0" style="265" hidden="1" customWidth="1"/>
    <col min="10767" max="10767" width="22.54296875" style="265" customWidth="1"/>
    <col min="10768" max="10777" width="0" style="265" hidden="1" customWidth="1"/>
    <col min="10778" max="11008" width="9.1796875" style="265"/>
    <col min="11009" max="11011" width="10.54296875" style="265" customWidth="1"/>
    <col min="11012" max="11012" width="8.1796875" style="265" customWidth="1"/>
    <col min="11013" max="11013" width="10.54296875" style="265" customWidth="1"/>
    <col min="11014" max="11014" width="12" style="265" customWidth="1"/>
    <col min="11015" max="11015" width="13.1796875" style="265" customWidth="1"/>
    <col min="11016" max="11016" width="10.54296875" style="265" customWidth="1"/>
    <col min="11017" max="11017" width="17.54296875" style="265" customWidth="1"/>
    <col min="11018" max="11018" width="2.453125" style="265" customWidth="1"/>
    <col min="11019" max="11019" width="11.81640625" style="265" customWidth="1"/>
    <col min="11020" max="11022" width="0" style="265" hidden="1" customWidth="1"/>
    <col min="11023" max="11023" width="22.54296875" style="265" customWidth="1"/>
    <col min="11024" max="11033" width="0" style="265" hidden="1" customWidth="1"/>
    <col min="11034" max="11264" width="9.1796875" style="265"/>
    <col min="11265" max="11267" width="10.54296875" style="265" customWidth="1"/>
    <col min="11268" max="11268" width="8.1796875" style="265" customWidth="1"/>
    <col min="11269" max="11269" width="10.54296875" style="265" customWidth="1"/>
    <col min="11270" max="11270" width="12" style="265" customWidth="1"/>
    <col min="11271" max="11271" width="13.1796875" style="265" customWidth="1"/>
    <col min="11272" max="11272" width="10.54296875" style="265" customWidth="1"/>
    <col min="11273" max="11273" width="17.54296875" style="265" customWidth="1"/>
    <col min="11274" max="11274" width="2.453125" style="265" customWidth="1"/>
    <col min="11275" max="11275" width="11.81640625" style="265" customWidth="1"/>
    <col min="11276" max="11278" width="0" style="265" hidden="1" customWidth="1"/>
    <col min="11279" max="11279" width="22.54296875" style="265" customWidth="1"/>
    <col min="11280" max="11289" width="0" style="265" hidden="1" customWidth="1"/>
    <col min="11290" max="11520" width="9.1796875" style="265"/>
    <col min="11521" max="11523" width="10.54296875" style="265" customWidth="1"/>
    <col min="11524" max="11524" width="8.1796875" style="265" customWidth="1"/>
    <col min="11525" max="11525" width="10.54296875" style="265" customWidth="1"/>
    <col min="11526" max="11526" width="12" style="265" customWidth="1"/>
    <col min="11527" max="11527" width="13.1796875" style="265" customWidth="1"/>
    <col min="11528" max="11528" width="10.54296875" style="265" customWidth="1"/>
    <col min="11529" max="11529" width="17.54296875" style="265" customWidth="1"/>
    <col min="11530" max="11530" width="2.453125" style="265" customWidth="1"/>
    <col min="11531" max="11531" width="11.81640625" style="265" customWidth="1"/>
    <col min="11532" max="11534" width="0" style="265" hidden="1" customWidth="1"/>
    <col min="11535" max="11535" width="22.54296875" style="265" customWidth="1"/>
    <col min="11536" max="11545" width="0" style="265" hidden="1" customWidth="1"/>
    <col min="11546" max="11776" width="9.1796875" style="265"/>
    <col min="11777" max="11779" width="10.54296875" style="265" customWidth="1"/>
    <col min="11780" max="11780" width="8.1796875" style="265" customWidth="1"/>
    <col min="11781" max="11781" width="10.54296875" style="265" customWidth="1"/>
    <col min="11782" max="11782" width="12" style="265" customWidth="1"/>
    <col min="11783" max="11783" width="13.1796875" style="265" customWidth="1"/>
    <col min="11784" max="11784" width="10.54296875" style="265" customWidth="1"/>
    <col min="11785" max="11785" width="17.54296875" style="265" customWidth="1"/>
    <col min="11786" max="11786" width="2.453125" style="265" customWidth="1"/>
    <col min="11787" max="11787" width="11.81640625" style="265" customWidth="1"/>
    <col min="11788" max="11790" width="0" style="265" hidden="1" customWidth="1"/>
    <col min="11791" max="11791" width="22.54296875" style="265" customWidth="1"/>
    <col min="11792" max="11801" width="0" style="265" hidden="1" customWidth="1"/>
    <col min="11802" max="12032" width="9.1796875" style="265"/>
    <col min="12033" max="12035" width="10.54296875" style="265" customWidth="1"/>
    <col min="12036" max="12036" width="8.1796875" style="265" customWidth="1"/>
    <col min="12037" max="12037" width="10.54296875" style="265" customWidth="1"/>
    <col min="12038" max="12038" width="12" style="265" customWidth="1"/>
    <col min="12039" max="12039" width="13.1796875" style="265" customWidth="1"/>
    <col min="12040" max="12040" width="10.54296875" style="265" customWidth="1"/>
    <col min="12041" max="12041" width="17.54296875" style="265" customWidth="1"/>
    <col min="12042" max="12042" width="2.453125" style="265" customWidth="1"/>
    <col min="12043" max="12043" width="11.81640625" style="265" customWidth="1"/>
    <col min="12044" max="12046" width="0" style="265" hidden="1" customWidth="1"/>
    <col min="12047" max="12047" width="22.54296875" style="265" customWidth="1"/>
    <col min="12048" max="12057" width="0" style="265" hidden="1" customWidth="1"/>
    <col min="12058" max="12288" width="9.1796875" style="265"/>
    <col min="12289" max="12291" width="10.54296875" style="265" customWidth="1"/>
    <col min="12292" max="12292" width="8.1796875" style="265" customWidth="1"/>
    <col min="12293" max="12293" width="10.54296875" style="265" customWidth="1"/>
    <col min="12294" max="12294" width="12" style="265" customWidth="1"/>
    <col min="12295" max="12295" width="13.1796875" style="265" customWidth="1"/>
    <col min="12296" max="12296" width="10.54296875" style="265" customWidth="1"/>
    <col min="12297" max="12297" width="17.54296875" style="265" customWidth="1"/>
    <col min="12298" max="12298" width="2.453125" style="265" customWidth="1"/>
    <col min="12299" max="12299" width="11.81640625" style="265" customWidth="1"/>
    <col min="12300" max="12302" width="0" style="265" hidden="1" customWidth="1"/>
    <col min="12303" max="12303" width="22.54296875" style="265" customWidth="1"/>
    <col min="12304" max="12313" width="0" style="265" hidden="1" customWidth="1"/>
    <col min="12314" max="12544" width="9.1796875" style="265"/>
    <col min="12545" max="12547" width="10.54296875" style="265" customWidth="1"/>
    <col min="12548" max="12548" width="8.1796875" style="265" customWidth="1"/>
    <col min="12549" max="12549" width="10.54296875" style="265" customWidth="1"/>
    <col min="12550" max="12550" width="12" style="265" customWidth="1"/>
    <col min="12551" max="12551" width="13.1796875" style="265" customWidth="1"/>
    <col min="12552" max="12552" width="10.54296875" style="265" customWidth="1"/>
    <col min="12553" max="12553" width="17.54296875" style="265" customWidth="1"/>
    <col min="12554" max="12554" width="2.453125" style="265" customWidth="1"/>
    <col min="12555" max="12555" width="11.81640625" style="265" customWidth="1"/>
    <col min="12556" max="12558" width="0" style="265" hidden="1" customWidth="1"/>
    <col min="12559" max="12559" width="22.54296875" style="265" customWidth="1"/>
    <col min="12560" max="12569" width="0" style="265" hidden="1" customWidth="1"/>
    <col min="12570" max="12800" width="9.1796875" style="265"/>
    <col min="12801" max="12803" width="10.54296875" style="265" customWidth="1"/>
    <col min="12804" max="12804" width="8.1796875" style="265" customWidth="1"/>
    <col min="12805" max="12805" width="10.54296875" style="265" customWidth="1"/>
    <col min="12806" max="12806" width="12" style="265" customWidth="1"/>
    <col min="12807" max="12807" width="13.1796875" style="265" customWidth="1"/>
    <col min="12808" max="12808" width="10.54296875" style="265" customWidth="1"/>
    <col min="12809" max="12809" width="17.54296875" style="265" customWidth="1"/>
    <col min="12810" max="12810" width="2.453125" style="265" customWidth="1"/>
    <col min="12811" max="12811" width="11.81640625" style="265" customWidth="1"/>
    <col min="12812" max="12814" width="0" style="265" hidden="1" customWidth="1"/>
    <col min="12815" max="12815" width="22.54296875" style="265" customWidth="1"/>
    <col min="12816" max="12825" width="0" style="265" hidden="1" customWidth="1"/>
    <col min="12826" max="13056" width="9.1796875" style="265"/>
    <col min="13057" max="13059" width="10.54296875" style="265" customWidth="1"/>
    <col min="13060" max="13060" width="8.1796875" style="265" customWidth="1"/>
    <col min="13061" max="13061" width="10.54296875" style="265" customWidth="1"/>
    <col min="13062" max="13062" width="12" style="265" customWidth="1"/>
    <col min="13063" max="13063" width="13.1796875" style="265" customWidth="1"/>
    <col min="13064" max="13064" width="10.54296875" style="265" customWidth="1"/>
    <col min="13065" max="13065" width="17.54296875" style="265" customWidth="1"/>
    <col min="13066" max="13066" width="2.453125" style="265" customWidth="1"/>
    <col min="13067" max="13067" width="11.81640625" style="265" customWidth="1"/>
    <col min="13068" max="13070" width="0" style="265" hidden="1" customWidth="1"/>
    <col min="13071" max="13071" width="22.54296875" style="265" customWidth="1"/>
    <col min="13072" max="13081" width="0" style="265" hidden="1" customWidth="1"/>
    <col min="13082" max="13312" width="9.1796875" style="265"/>
    <col min="13313" max="13315" width="10.54296875" style="265" customWidth="1"/>
    <col min="13316" max="13316" width="8.1796875" style="265" customWidth="1"/>
    <col min="13317" max="13317" width="10.54296875" style="265" customWidth="1"/>
    <col min="13318" max="13318" width="12" style="265" customWidth="1"/>
    <col min="13319" max="13319" width="13.1796875" style="265" customWidth="1"/>
    <col min="13320" max="13320" width="10.54296875" style="265" customWidth="1"/>
    <col min="13321" max="13321" width="17.54296875" style="265" customWidth="1"/>
    <col min="13322" max="13322" width="2.453125" style="265" customWidth="1"/>
    <col min="13323" max="13323" width="11.81640625" style="265" customWidth="1"/>
    <col min="13324" max="13326" width="0" style="265" hidden="1" customWidth="1"/>
    <col min="13327" max="13327" width="22.54296875" style="265" customWidth="1"/>
    <col min="13328" max="13337" width="0" style="265" hidden="1" customWidth="1"/>
    <col min="13338" max="13568" width="9.1796875" style="265"/>
    <col min="13569" max="13571" width="10.54296875" style="265" customWidth="1"/>
    <col min="13572" max="13572" width="8.1796875" style="265" customWidth="1"/>
    <col min="13573" max="13573" width="10.54296875" style="265" customWidth="1"/>
    <col min="13574" max="13574" width="12" style="265" customWidth="1"/>
    <col min="13575" max="13575" width="13.1796875" style="265" customWidth="1"/>
    <col min="13576" max="13576" width="10.54296875" style="265" customWidth="1"/>
    <col min="13577" max="13577" width="17.54296875" style="265" customWidth="1"/>
    <col min="13578" max="13578" width="2.453125" style="265" customWidth="1"/>
    <col min="13579" max="13579" width="11.81640625" style="265" customWidth="1"/>
    <col min="13580" max="13582" width="0" style="265" hidden="1" customWidth="1"/>
    <col min="13583" max="13583" width="22.54296875" style="265" customWidth="1"/>
    <col min="13584" max="13593" width="0" style="265" hidden="1" customWidth="1"/>
    <col min="13594" max="13824" width="9.1796875" style="265"/>
    <col min="13825" max="13827" width="10.54296875" style="265" customWidth="1"/>
    <col min="13828" max="13828" width="8.1796875" style="265" customWidth="1"/>
    <col min="13829" max="13829" width="10.54296875" style="265" customWidth="1"/>
    <col min="13830" max="13830" width="12" style="265" customWidth="1"/>
    <col min="13831" max="13831" width="13.1796875" style="265" customWidth="1"/>
    <col min="13832" max="13832" width="10.54296875" style="265" customWidth="1"/>
    <col min="13833" max="13833" width="17.54296875" style="265" customWidth="1"/>
    <col min="13834" max="13834" width="2.453125" style="265" customWidth="1"/>
    <col min="13835" max="13835" width="11.81640625" style="265" customWidth="1"/>
    <col min="13836" max="13838" width="0" style="265" hidden="1" customWidth="1"/>
    <col min="13839" max="13839" width="22.54296875" style="265" customWidth="1"/>
    <col min="13840" max="13849" width="0" style="265" hidden="1" customWidth="1"/>
    <col min="13850" max="14080" width="9.1796875" style="265"/>
    <col min="14081" max="14083" width="10.54296875" style="265" customWidth="1"/>
    <col min="14084" max="14084" width="8.1796875" style="265" customWidth="1"/>
    <col min="14085" max="14085" width="10.54296875" style="265" customWidth="1"/>
    <col min="14086" max="14086" width="12" style="265" customWidth="1"/>
    <col min="14087" max="14087" width="13.1796875" style="265" customWidth="1"/>
    <col min="14088" max="14088" width="10.54296875" style="265" customWidth="1"/>
    <col min="14089" max="14089" width="17.54296875" style="265" customWidth="1"/>
    <col min="14090" max="14090" width="2.453125" style="265" customWidth="1"/>
    <col min="14091" max="14091" width="11.81640625" style="265" customWidth="1"/>
    <col min="14092" max="14094" width="0" style="265" hidden="1" customWidth="1"/>
    <col min="14095" max="14095" width="22.54296875" style="265" customWidth="1"/>
    <col min="14096" max="14105" width="0" style="265" hidden="1" customWidth="1"/>
    <col min="14106" max="14336" width="9.1796875" style="265"/>
    <col min="14337" max="14339" width="10.54296875" style="265" customWidth="1"/>
    <col min="14340" max="14340" width="8.1796875" style="265" customWidth="1"/>
    <col min="14341" max="14341" width="10.54296875" style="265" customWidth="1"/>
    <col min="14342" max="14342" width="12" style="265" customWidth="1"/>
    <col min="14343" max="14343" width="13.1796875" style="265" customWidth="1"/>
    <col min="14344" max="14344" width="10.54296875" style="265" customWidth="1"/>
    <col min="14345" max="14345" width="17.54296875" style="265" customWidth="1"/>
    <col min="14346" max="14346" width="2.453125" style="265" customWidth="1"/>
    <col min="14347" max="14347" width="11.81640625" style="265" customWidth="1"/>
    <col min="14348" max="14350" width="0" style="265" hidden="1" customWidth="1"/>
    <col min="14351" max="14351" width="22.54296875" style="265" customWidth="1"/>
    <col min="14352" max="14361" width="0" style="265" hidden="1" customWidth="1"/>
    <col min="14362" max="14592" width="9.1796875" style="265"/>
    <col min="14593" max="14595" width="10.54296875" style="265" customWidth="1"/>
    <col min="14596" max="14596" width="8.1796875" style="265" customWidth="1"/>
    <col min="14597" max="14597" width="10.54296875" style="265" customWidth="1"/>
    <col min="14598" max="14598" width="12" style="265" customWidth="1"/>
    <col min="14599" max="14599" width="13.1796875" style="265" customWidth="1"/>
    <col min="14600" max="14600" width="10.54296875" style="265" customWidth="1"/>
    <col min="14601" max="14601" width="17.54296875" style="265" customWidth="1"/>
    <col min="14602" max="14602" width="2.453125" style="265" customWidth="1"/>
    <col min="14603" max="14603" width="11.81640625" style="265" customWidth="1"/>
    <col min="14604" max="14606" width="0" style="265" hidden="1" customWidth="1"/>
    <col min="14607" max="14607" width="22.54296875" style="265" customWidth="1"/>
    <col min="14608" max="14617" width="0" style="265" hidden="1" customWidth="1"/>
    <col min="14618" max="14848" width="9.1796875" style="265"/>
    <col min="14849" max="14851" width="10.54296875" style="265" customWidth="1"/>
    <col min="14852" max="14852" width="8.1796875" style="265" customWidth="1"/>
    <col min="14853" max="14853" width="10.54296875" style="265" customWidth="1"/>
    <col min="14854" max="14854" width="12" style="265" customWidth="1"/>
    <col min="14855" max="14855" width="13.1796875" style="265" customWidth="1"/>
    <col min="14856" max="14856" width="10.54296875" style="265" customWidth="1"/>
    <col min="14857" max="14857" width="17.54296875" style="265" customWidth="1"/>
    <col min="14858" max="14858" width="2.453125" style="265" customWidth="1"/>
    <col min="14859" max="14859" width="11.81640625" style="265" customWidth="1"/>
    <col min="14860" max="14862" width="0" style="265" hidden="1" customWidth="1"/>
    <col min="14863" max="14863" width="22.54296875" style="265" customWidth="1"/>
    <col min="14864" max="14873" width="0" style="265" hidden="1" customWidth="1"/>
    <col min="14874" max="15104" width="9.1796875" style="265"/>
    <col min="15105" max="15107" width="10.54296875" style="265" customWidth="1"/>
    <col min="15108" max="15108" width="8.1796875" style="265" customWidth="1"/>
    <col min="15109" max="15109" width="10.54296875" style="265" customWidth="1"/>
    <col min="15110" max="15110" width="12" style="265" customWidth="1"/>
    <col min="15111" max="15111" width="13.1796875" style="265" customWidth="1"/>
    <col min="15112" max="15112" width="10.54296875" style="265" customWidth="1"/>
    <col min="15113" max="15113" width="17.54296875" style="265" customWidth="1"/>
    <col min="15114" max="15114" width="2.453125" style="265" customWidth="1"/>
    <col min="15115" max="15115" width="11.81640625" style="265" customWidth="1"/>
    <col min="15116" max="15118" width="0" style="265" hidden="1" customWidth="1"/>
    <col min="15119" max="15119" width="22.54296875" style="265" customWidth="1"/>
    <col min="15120" max="15129" width="0" style="265" hidden="1" customWidth="1"/>
    <col min="15130" max="15360" width="9.1796875" style="265"/>
    <col min="15361" max="15363" width="10.54296875" style="265" customWidth="1"/>
    <col min="15364" max="15364" width="8.1796875" style="265" customWidth="1"/>
    <col min="15365" max="15365" width="10.54296875" style="265" customWidth="1"/>
    <col min="15366" max="15366" width="12" style="265" customWidth="1"/>
    <col min="15367" max="15367" width="13.1796875" style="265" customWidth="1"/>
    <col min="15368" max="15368" width="10.54296875" style="265" customWidth="1"/>
    <col min="15369" max="15369" width="17.54296875" style="265" customWidth="1"/>
    <col min="15370" max="15370" width="2.453125" style="265" customWidth="1"/>
    <col min="15371" max="15371" width="11.81640625" style="265" customWidth="1"/>
    <col min="15372" max="15374" width="0" style="265" hidden="1" customWidth="1"/>
    <col min="15375" max="15375" width="22.54296875" style="265" customWidth="1"/>
    <col min="15376" max="15385" width="0" style="265" hidden="1" customWidth="1"/>
    <col min="15386" max="15616" width="9.1796875" style="265"/>
    <col min="15617" max="15619" width="10.54296875" style="265" customWidth="1"/>
    <col min="15620" max="15620" width="8.1796875" style="265" customWidth="1"/>
    <col min="15621" max="15621" width="10.54296875" style="265" customWidth="1"/>
    <col min="15622" max="15622" width="12" style="265" customWidth="1"/>
    <col min="15623" max="15623" width="13.1796875" style="265" customWidth="1"/>
    <col min="15624" max="15624" width="10.54296875" style="265" customWidth="1"/>
    <col min="15625" max="15625" width="17.54296875" style="265" customWidth="1"/>
    <col min="15626" max="15626" width="2.453125" style="265" customWidth="1"/>
    <col min="15627" max="15627" width="11.81640625" style="265" customWidth="1"/>
    <col min="15628" max="15630" width="0" style="265" hidden="1" customWidth="1"/>
    <col min="15631" max="15631" width="22.54296875" style="265" customWidth="1"/>
    <col min="15632" max="15641" width="0" style="265" hidden="1" customWidth="1"/>
    <col min="15642" max="15872" width="9.1796875" style="265"/>
    <col min="15873" max="15875" width="10.54296875" style="265" customWidth="1"/>
    <col min="15876" max="15876" width="8.1796875" style="265" customWidth="1"/>
    <col min="15877" max="15877" width="10.54296875" style="265" customWidth="1"/>
    <col min="15878" max="15878" width="12" style="265" customWidth="1"/>
    <col min="15879" max="15879" width="13.1796875" style="265" customWidth="1"/>
    <col min="15880" max="15880" width="10.54296875" style="265" customWidth="1"/>
    <col min="15881" max="15881" width="17.54296875" style="265" customWidth="1"/>
    <col min="15882" max="15882" width="2.453125" style="265" customWidth="1"/>
    <col min="15883" max="15883" width="11.81640625" style="265" customWidth="1"/>
    <col min="15884" max="15886" width="0" style="265" hidden="1" customWidth="1"/>
    <col min="15887" max="15887" width="22.54296875" style="265" customWidth="1"/>
    <col min="15888" max="15897" width="0" style="265" hidden="1" customWidth="1"/>
    <col min="15898" max="16128" width="9.1796875" style="265"/>
    <col min="16129" max="16131" width="10.54296875" style="265" customWidth="1"/>
    <col min="16132" max="16132" width="8.1796875" style="265" customWidth="1"/>
    <col min="16133" max="16133" width="10.54296875" style="265" customWidth="1"/>
    <col min="16134" max="16134" width="12" style="265" customWidth="1"/>
    <col min="16135" max="16135" width="13.1796875" style="265" customWidth="1"/>
    <col min="16136" max="16136" width="10.54296875" style="265" customWidth="1"/>
    <col min="16137" max="16137" width="17.54296875" style="265" customWidth="1"/>
    <col min="16138" max="16138" width="2.453125" style="265" customWidth="1"/>
    <col min="16139" max="16139" width="11.81640625" style="265" customWidth="1"/>
    <col min="16140" max="16142" width="0" style="265" hidden="1" customWidth="1"/>
    <col min="16143" max="16143" width="22.54296875" style="265" customWidth="1"/>
    <col min="16144" max="16153" width="0" style="265" hidden="1" customWidth="1"/>
    <col min="16154" max="16384" width="9.1796875" style="265"/>
  </cols>
  <sheetData>
    <row r="1" spans="1:14" x14ac:dyDescent="0.35">
      <c r="A1" s="262"/>
      <c r="B1" s="263"/>
      <c r="C1" s="263"/>
      <c r="D1" s="263"/>
      <c r="E1" s="263"/>
      <c r="F1" s="263"/>
      <c r="G1" s="263"/>
      <c r="H1" s="263"/>
      <c r="I1" s="264"/>
    </row>
    <row r="2" spans="1:14" x14ac:dyDescent="0.35">
      <c r="A2" s="266"/>
      <c r="I2" s="268"/>
    </row>
    <row r="3" spans="1:14" x14ac:dyDescent="0.35">
      <c r="A3" s="266"/>
      <c r="I3" s="268"/>
    </row>
    <row r="4" spans="1:14" x14ac:dyDescent="0.35">
      <c r="A4" s="269"/>
      <c r="B4" s="270"/>
      <c r="I4" s="268"/>
    </row>
    <row r="5" spans="1:14" ht="34.5" customHeight="1" x14ac:dyDescent="0.45">
      <c r="A5" s="569" t="str">
        <f>Report!B1</f>
        <v>Relatório de Cálculo de Incerteza - Nº FORTE-UCG-FE-1231010B-26-04
Uncertainty Calculation Report - Nº FORTE-UCG-FE-1231010B-26-04</v>
      </c>
      <c r="B5" s="570"/>
      <c r="C5" s="570"/>
      <c r="D5" s="570"/>
      <c r="E5" s="570"/>
      <c r="F5" s="570"/>
      <c r="G5" s="570"/>
      <c r="H5" s="570"/>
      <c r="I5" s="571"/>
      <c r="J5" s="271"/>
      <c r="K5" s="271"/>
      <c r="L5" s="271"/>
      <c r="M5" s="271"/>
      <c r="N5" s="271"/>
    </row>
    <row r="6" spans="1:14" ht="25" customHeight="1" x14ac:dyDescent="0.35">
      <c r="A6" s="569" t="s">
        <v>234</v>
      </c>
      <c r="B6" s="570"/>
      <c r="C6" s="570"/>
      <c r="D6" s="570"/>
      <c r="E6" s="570"/>
      <c r="F6" s="570"/>
      <c r="G6" s="570"/>
      <c r="H6" s="570"/>
      <c r="I6" s="571"/>
    </row>
    <row r="7" spans="1:14" x14ac:dyDescent="0.35">
      <c r="A7" s="572"/>
      <c r="B7" s="573"/>
      <c r="C7" s="573"/>
      <c r="D7" s="573"/>
      <c r="E7" s="573"/>
      <c r="F7" s="573"/>
      <c r="G7" s="573"/>
      <c r="H7" s="573"/>
      <c r="I7" s="574"/>
    </row>
    <row r="8" spans="1:14" ht="9" customHeight="1" x14ac:dyDescent="0.35">
      <c r="I8" s="268"/>
    </row>
    <row r="9" spans="1:14" s="275" customFormat="1" ht="9.75" customHeight="1" x14ac:dyDescent="0.25">
      <c r="A9" s="272"/>
      <c r="B9" s="273"/>
      <c r="C9" s="273"/>
      <c r="D9" s="273"/>
      <c r="E9" s="273"/>
      <c r="F9" s="273"/>
      <c r="G9" s="273"/>
      <c r="H9" s="273"/>
      <c r="I9" s="274"/>
    </row>
    <row r="10" spans="1:14" s="275" customFormat="1" ht="22" customHeight="1" x14ac:dyDescent="0.25">
      <c r="A10" s="575"/>
      <c r="B10" s="576"/>
      <c r="C10" s="576"/>
      <c r="D10" s="576"/>
      <c r="E10" s="576"/>
      <c r="F10" s="576"/>
      <c r="G10" s="576"/>
      <c r="H10" s="576"/>
      <c r="I10" s="577"/>
    </row>
    <row r="11" spans="1:14" s="275" customFormat="1" ht="22" customHeight="1" x14ac:dyDescent="0.25">
      <c r="A11" s="578"/>
      <c r="B11" s="579"/>
      <c r="C11" s="579"/>
      <c r="D11" s="579"/>
      <c r="E11" s="579"/>
      <c r="F11" s="579"/>
      <c r="G11" s="579"/>
      <c r="H11" s="579"/>
      <c r="I11" s="580"/>
    </row>
    <row r="12" spans="1:14" s="275" customFormat="1" ht="22" customHeight="1" x14ac:dyDescent="0.25">
      <c r="A12" s="581"/>
      <c r="B12" s="582"/>
      <c r="C12" s="582"/>
      <c r="D12" s="582"/>
      <c r="E12" s="582"/>
      <c r="F12" s="582"/>
      <c r="G12" s="582"/>
      <c r="H12" s="582"/>
      <c r="I12" s="583"/>
    </row>
    <row r="13" spans="1:14" s="275" customFormat="1" ht="40" customHeight="1" x14ac:dyDescent="0.25">
      <c r="A13" s="584" t="s">
        <v>235</v>
      </c>
      <c r="B13" s="584"/>
      <c r="C13" s="584"/>
      <c r="D13" s="496" t="s">
        <v>441</v>
      </c>
      <c r="E13" s="496" t="s">
        <v>442</v>
      </c>
      <c r="F13" s="584" t="s">
        <v>236</v>
      </c>
      <c r="G13" s="584"/>
      <c r="H13" s="584" t="s">
        <v>237</v>
      </c>
      <c r="I13" s="584"/>
    </row>
    <row r="14" spans="1:14" s="275" customFormat="1" ht="20.149999999999999" customHeight="1" x14ac:dyDescent="0.25">
      <c r="A14" s="585" t="s">
        <v>269</v>
      </c>
      <c r="B14" s="586"/>
      <c r="C14" s="587"/>
      <c r="D14" s="497" t="s">
        <v>449</v>
      </c>
      <c r="E14" s="381" t="s">
        <v>457</v>
      </c>
      <c r="F14" s="567" t="s">
        <v>455</v>
      </c>
      <c r="G14" s="568"/>
      <c r="H14" s="585" t="s">
        <v>238</v>
      </c>
      <c r="I14" s="587"/>
    </row>
    <row r="15" spans="1:14" s="275" customFormat="1" ht="20.149999999999999" customHeight="1" x14ac:dyDescent="0.25">
      <c r="A15" s="564" t="s">
        <v>270</v>
      </c>
      <c r="B15" s="565"/>
      <c r="C15" s="566"/>
      <c r="D15" s="497" t="s">
        <v>450</v>
      </c>
      <c r="E15" s="381" t="s">
        <v>458</v>
      </c>
      <c r="F15" s="567" t="s">
        <v>456</v>
      </c>
      <c r="G15" s="568"/>
      <c r="H15" s="564" t="s">
        <v>238</v>
      </c>
      <c r="I15" s="566"/>
    </row>
    <row r="16" spans="1:14" s="275" customFormat="1" ht="20.149999999999999" customHeight="1" x14ac:dyDescent="0.25">
      <c r="A16" s="564" t="s">
        <v>446</v>
      </c>
      <c r="B16" s="565"/>
      <c r="C16" s="566"/>
      <c r="D16" s="497" t="s">
        <v>451</v>
      </c>
      <c r="E16" s="381" t="s">
        <v>459</v>
      </c>
      <c r="F16" s="567" t="s">
        <v>467</v>
      </c>
      <c r="G16" s="568"/>
      <c r="H16" s="564" t="s">
        <v>238</v>
      </c>
      <c r="I16" s="566"/>
    </row>
    <row r="17" spans="1:9" s="275" customFormat="1" ht="20.149999999999999" hidden="1" customHeight="1" x14ac:dyDescent="0.25">
      <c r="A17" s="589"/>
      <c r="B17" s="590"/>
      <c r="C17" s="591"/>
      <c r="D17" s="497"/>
      <c r="E17" s="401"/>
      <c r="F17" s="567"/>
      <c r="G17" s="568"/>
      <c r="H17" s="564" t="s">
        <v>238</v>
      </c>
      <c r="I17" s="566"/>
    </row>
    <row r="18" spans="1:9" s="275" customFormat="1" ht="20.149999999999999" customHeight="1" x14ac:dyDescent="0.25">
      <c r="A18" s="564" t="s">
        <v>271</v>
      </c>
      <c r="B18" s="565"/>
      <c r="C18" s="566"/>
      <c r="D18" s="497" t="s">
        <v>452</v>
      </c>
      <c r="E18" s="381" t="s">
        <v>459</v>
      </c>
      <c r="F18" s="567" t="s">
        <v>465</v>
      </c>
      <c r="G18" s="568"/>
      <c r="H18" s="564" t="s">
        <v>238</v>
      </c>
      <c r="I18" s="566"/>
    </row>
    <row r="19" spans="1:9" s="275" customFormat="1" ht="20.149999999999999" customHeight="1" x14ac:dyDescent="0.25">
      <c r="A19" s="589" t="s">
        <v>272</v>
      </c>
      <c r="B19" s="590"/>
      <c r="C19" s="591"/>
      <c r="D19" s="497" t="s">
        <v>453</v>
      </c>
      <c r="E19" s="381" t="s">
        <v>459</v>
      </c>
      <c r="F19" s="567" t="s">
        <v>466</v>
      </c>
      <c r="G19" s="568"/>
      <c r="H19" s="589" t="s">
        <v>238</v>
      </c>
      <c r="I19" s="591"/>
    </row>
    <row r="20" spans="1:9" s="275" customFormat="1" ht="20.149999999999999" hidden="1" customHeight="1" x14ac:dyDescent="0.25">
      <c r="A20" s="589" t="s">
        <v>296</v>
      </c>
      <c r="B20" s="590"/>
      <c r="C20" s="591"/>
      <c r="D20" s="497"/>
      <c r="E20" s="381"/>
      <c r="F20" s="567"/>
      <c r="G20" s="568"/>
      <c r="H20" s="589"/>
      <c r="I20" s="591"/>
    </row>
    <row r="21" spans="1:9" s="275" customFormat="1" ht="20.149999999999999" hidden="1" customHeight="1" x14ac:dyDescent="0.25">
      <c r="A21" s="589" t="s">
        <v>273</v>
      </c>
      <c r="B21" s="590"/>
      <c r="C21" s="591"/>
      <c r="D21" s="497"/>
      <c r="E21" s="381"/>
      <c r="F21" s="567"/>
      <c r="G21" s="568"/>
      <c r="H21" s="589"/>
      <c r="I21" s="591"/>
    </row>
    <row r="22" spans="1:9" s="275" customFormat="1" ht="20.149999999999999" customHeight="1" x14ac:dyDescent="0.25">
      <c r="A22" s="585" t="s">
        <v>275</v>
      </c>
      <c r="B22" s="586"/>
      <c r="C22" s="587"/>
      <c r="D22" s="497" t="s">
        <v>454</v>
      </c>
      <c r="E22" s="401" t="s">
        <v>32</v>
      </c>
      <c r="F22" s="592" t="s">
        <v>471</v>
      </c>
      <c r="G22" s="568"/>
      <c r="H22" s="585" t="s">
        <v>238</v>
      </c>
      <c r="I22" s="587"/>
    </row>
    <row r="23" spans="1:9" s="275" customFormat="1" ht="20.149999999999999" customHeight="1" x14ac:dyDescent="0.25">
      <c r="A23" s="585"/>
      <c r="B23" s="586"/>
      <c r="C23" s="587"/>
      <c r="D23" s="567"/>
      <c r="E23" s="568"/>
      <c r="F23" s="567"/>
      <c r="G23" s="568"/>
      <c r="H23" s="585"/>
      <c r="I23" s="587"/>
    </row>
    <row r="24" spans="1:9" s="275" customFormat="1" ht="20.149999999999999" customHeight="1" x14ac:dyDescent="0.25">
      <c r="A24" s="567"/>
      <c r="B24" s="588"/>
      <c r="C24" s="568"/>
      <c r="D24" s="567"/>
      <c r="E24" s="568"/>
      <c r="F24" s="567"/>
      <c r="G24" s="568"/>
      <c r="H24" s="567"/>
      <c r="I24" s="568"/>
    </row>
    <row r="52" spans="2:2" x14ac:dyDescent="0.35">
      <c r="B52" s="267" t="s">
        <v>233</v>
      </c>
    </row>
    <row r="56" spans="2:2" ht="4.5" customHeight="1" x14ac:dyDescent="0.35"/>
    <row r="57" spans="2:2" ht="13" customHeight="1" x14ac:dyDescent="0.35"/>
    <row r="58" spans="2:2" ht="6" hidden="1" customHeight="1" x14ac:dyDescent="0.35"/>
    <row r="59" spans="2:2" ht="16.5" customHeight="1" x14ac:dyDescent="0.35"/>
    <row r="60" spans="2:2" ht="18" customHeight="1" x14ac:dyDescent="0.35"/>
    <row r="61" spans="2:2" ht="12.65" customHeight="1" x14ac:dyDescent="0.35"/>
    <row r="62" spans="2:2" ht="11.5" customHeight="1" x14ac:dyDescent="0.35"/>
    <row r="63" spans="2:2" ht="12" customHeight="1" x14ac:dyDescent="0.35"/>
    <row r="64" spans="2:2" ht="14.5" customHeight="1" x14ac:dyDescent="0.35"/>
    <row r="65" ht="14.15" customHeight="1" x14ac:dyDescent="0.35"/>
    <row r="66" ht="17.149999999999999" customHeight="1" x14ac:dyDescent="0.35"/>
    <row r="67" ht="15.65" customHeight="1" x14ac:dyDescent="0.35"/>
    <row r="68" ht="15.65" customHeight="1" x14ac:dyDescent="0.35"/>
    <row r="69" ht="12" customHeight="1" x14ac:dyDescent="0.35"/>
    <row r="70" ht="15" customHeight="1" x14ac:dyDescent="0.35"/>
    <row r="71" ht="17.149999999999999" customHeight="1" x14ac:dyDescent="0.35"/>
    <row r="72" ht="19" customHeight="1" x14ac:dyDescent="0.35"/>
    <row r="73" ht="15.65" customHeight="1" x14ac:dyDescent="0.35"/>
    <row r="74" ht="19.5" customHeight="1" x14ac:dyDescent="0.35"/>
    <row r="75" ht="20.5" customHeight="1" x14ac:dyDescent="0.35"/>
    <row r="76" ht="18" customHeight="1" x14ac:dyDescent="0.35"/>
    <row r="77" ht="18.649999999999999" customHeight="1" x14ac:dyDescent="0.35"/>
    <row r="78" ht="17.5" customHeight="1" x14ac:dyDescent="0.35"/>
    <row r="79" ht="18" customHeight="1" x14ac:dyDescent="0.35"/>
    <row r="80" ht="16" customHeight="1" x14ac:dyDescent="0.35"/>
    <row r="81" ht="19" customHeight="1" x14ac:dyDescent="0.35"/>
    <row r="82" ht="14.15" customHeight="1" x14ac:dyDescent="0.35"/>
    <row r="83" ht="12" customHeight="1" x14ac:dyDescent="0.35"/>
    <row r="84" ht="15.65" customHeight="1" x14ac:dyDescent="0.35"/>
    <row r="85" ht="16" customHeight="1" x14ac:dyDescent="0.35"/>
    <row r="86" ht="14.5" customHeight="1" x14ac:dyDescent="0.35"/>
    <row r="87" ht="14.5" customHeight="1" x14ac:dyDescent="0.35"/>
    <row r="88" ht="5.15" hidden="1" customHeight="1" x14ac:dyDescent="0.35"/>
    <row r="89" ht="3.65" customHeight="1" x14ac:dyDescent="0.35"/>
    <row r="90" ht="6.65" customHeight="1" x14ac:dyDescent="0.35"/>
    <row r="91" ht="16.5" hidden="1" customHeight="1" x14ac:dyDescent="0.35"/>
    <row r="92" ht="13" hidden="1" customHeight="1" x14ac:dyDescent="0.35"/>
    <row r="93" ht="12.65" hidden="1" customHeight="1" x14ac:dyDescent="0.35"/>
    <row r="94" ht="17.5" hidden="1" customHeight="1" x14ac:dyDescent="0.35"/>
    <row r="95" ht="12.65" hidden="1" customHeight="1" x14ac:dyDescent="0.35"/>
    <row r="96" ht="14.15" hidden="1" customHeight="1" x14ac:dyDescent="0.35"/>
    <row r="97" ht="13.5" hidden="1" customHeight="1" x14ac:dyDescent="0.35"/>
    <row r="98" ht="11.5" hidden="1" customHeight="1" x14ac:dyDescent="0.35"/>
    <row r="99" ht="12.65" hidden="1" customHeight="1" x14ac:dyDescent="0.35"/>
    <row r="100" ht="16.5" hidden="1" customHeight="1" x14ac:dyDescent="0.35"/>
    <row r="101" ht="10.5" hidden="1" customHeight="1" x14ac:dyDescent="0.35"/>
    <row r="102" ht="14.15" hidden="1" customHeight="1" x14ac:dyDescent="0.35"/>
    <row r="103" ht="2.5" hidden="1" customHeight="1" x14ac:dyDescent="0.35"/>
    <row r="104" ht="16.5" hidden="1" customHeight="1" x14ac:dyDescent="0.35"/>
    <row r="105" ht="40.5" hidden="1" customHeight="1" x14ac:dyDescent="0.35"/>
    <row r="106" ht="13.5" hidden="1" customHeight="1" x14ac:dyDescent="0.35"/>
    <row r="107" ht="22" hidden="1" customHeight="1" x14ac:dyDescent="0.35"/>
    <row r="108" ht="3.65" hidden="1" customHeight="1" x14ac:dyDescent="0.35"/>
    <row r="109" ht="15" hidden="1" customHeight="1" x14ac:dyDescent="0.35"/>
    <row r="110" ht="2.5" hidden="1" customHeight="1" x14ac:dyDescent="0.35"/>
    <row r="111" ht="15" hidden="1" customHeight="1" x14ac:dyDescent="0.35"/>
    <row r="112" ht="35.5" hidden="1" customHeight="1" x14ac:dyDescent="0.35"/>
    <row r="113" ht="30" customHeight="1" x14ac:dyDescent="0.35"/>
    <row r="114" ht="36" customHeight="1" x14ac:dyDescent="0.35"/>
    <row r="115" ht="20.5" customHeight="1" x14ac:dyDescent="0.35"/>
    <row r="116" ht="17.5" customHeight="1" x14ac:dyDescent="0.35"/>
    <row r="117" ht="32.5" customHeight="1" x14ac:dyDescent="0.35"/>
    <row r="204" ht="12" customHeight="1" x14ac:dyDescent="0.35"/>
    <row r="205" hidden="1" x14ac:dyDescent="0.35"/>
    <row r="206" ht="4.5" hidden="1" customHeight="1" x14ac:dyDescent="0.35"/>
    <row r="207" hidden="1" x14ac:dyDescent="0.35"/>
    <row r="274" ht="9.65" customHeight="1" x14ac:dyDescent="0.35"/>
    <row r="275" hidden="1" x14ac:dyDescent="0.35"/>
    <row r="406" ht="12" customHeight="1" x14ac:dyDescent="0.35"/>
    <row r="454" ht="4.5" customHeight="1" x14ac:dyDescent="0.35"/>
    <row r="455" hidden="1" x14ac:dyDescent="0.35"/>
    <row r="456" hidden="1" x14ac:dyDescent="0.35"/>
  </sheetData>
  <mergeCells count="44">
    <mergeCell ref="A17:C17"/>
    <mergeCell ref="F17:G17"/>
    <mergeCell ref="H17:I17"/>
    <mergeCell ref="A23:C23"/>
    <mergeCell ref="D23:E23"/>
    <mergeCell ref="F23:G23"/>
    <mergeCell ref="H23:I23"/>
    <mergeCell ref="A18:C18"/>
    <mergeCell ref="F18:G18"/>
    <mergeCell ref="H18:I18"/>
    <mergeCell ref="A19:C19"/>
    <mergeCell ref="F19:G19"/>
    <mergeCell ref="H19:I19"/>
    <mergeCell ref="A20:C20"/>
    <mergeCell ref="F20:G20"/>
    <mergeCell ref="H20:I20"/>
    <mergeCell ref="A24:C24"/>
    <mergeCell ref="D24:E24"/>
    <mergeCell ref="F24:G24"/>
    <mergeCell ref="H24:I24"/>
    <mergeCell ref="A21:C21"/>
    <mergeCell ref="F21:G21"/>
    <mergeCell ref="H21:I21"/>
    <mergeCell ref="A22:C22"/>
    <mergeCell ref="F22:G22"/>
    <mergeCell ref="H22:I22"/>
    <mergeCell ref="A12:I12"/>
    <mergeCell ref="A13:C13"/>
    <mergeCell ref="F13:G13"/>
    <mergeCell ref="H13:I13"/>
    <mergeCell ref="A14:C14"/>
    <mergeCell ref="F14:G14"/>
    <mergeCell ref="H14:I14"/>
    <mergeCell ref="A5:I5"/>
    <mergeCell ref="A6:I6"/>
    <mergeCell ref="A7:I7"/>
    <mergeCell ref="A10:I10"/>
    <mergeCell ref="A11:I11"/>
    <mergeCell ref="A15:C15"/>
    <mergeCell ref="F15:G15"/>
    <mergeCell ref="H15:I15"/>
    <mergeCell ref="A16:C16"/>
    <mergeCell ref="F16:G16"/>
    <mergeCell ref="H16:I16"/>
  </mergeCells>
  <printOptions horizontalCentered="1"/>
  <pageMargins left="0.39370078740157483" right="0.39370078740157483" top="0.59055118110236227" bottom="0.59055118110236227" header="0.19685039370078741" footer="0.51181102362204722"/>
  <pageSetup paperSize="9" scale="62" fitToHeight="0" orientation="portrait" r:id="rId1"/>
  <headerFooter alignWithMargins="0">
    <oddFooter>Página &amp;P de &amp;N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3CB87-D124-4A16-BB05-C2184CA5D1F6}">
  <sheetPr codeName="Planilha5"/>
  <dimension ref="B1:E32"/>
  <sheetViews>
    <sheetView topLeftCell="A3" workbookViewId="0">
      <selection activeCell="K20" sqref="K20"/>
    </sheetView>
  </sheetViews>
  <sheetFormatPr defaultColWidth="9.1796875" defaultRowHeight="15.5" x14ac:dyDescent="0.35"/>
  <cols>
    <col min="1" max="1" width="9.1796875" style="338"/>
    <col min="2" max="2" width="46.54296875" style="338" customWidth="1"/>
    <col min="3" max="3" width="29.453125" style="338" customWidth="1"/>
    <col min="4" max="4" width="22.453125" style="338" customWidth="1"/>
    <col min="5" max="5" width="15.453125" style="338" customWidth="1"/>
    <col min="6" max="16384" width="9.1796875" style="338"/>
  </cols>
  <sheetData>
    <row r="1" spans="2:5" x14ac:dyDescent="0.35">
      <c r="B1" s="593" t="s">
        <v>322</v>
      </c>
      <c r="C1" s="593"/>
      <c r="D1" s="339" t="s">
        <v>323</v>
      </c>
      <c r="E1" s="339" t="s">
        <v>324</v>
      </c>
    </row>
    <row r="2" spans="2:5" ht="17.5" x14ac:dyDescent="0.35">
      <c r="B2" s="342" t="s">
        <v>311</v>
      </c>
      <c r="C2" s="342" t="s">
        <v>298</v>
      </c>
      <c r="D2" s="347">
        <v>0.24299999999999999</v>
      </c>
      <c r="E2" s="347">
        <v>1.6E-2</v>
      </c>
    </row>
    <row r="3" spans="2:5" ht="17.5" x14ac:dyDescent="0.35">
      <c r="B3" s="343" t="s">
        <v>312</v>
      </c>
      <c r="C3" s="343" t="s">
        <v>299</v>
      </c>
      <c r="D3" s="347">
        <v>91.63</v>
      </c>
      <c r="E3" s="347">
        <v>4.9000000000000002E-2</v>
      </c>
    </row>
    <row r="4" spans="2:5" x14ac:dyDescent="0.35">
      <c r="B4" s="342" t="s">
        <v>300</v>
      </c>
      <c r="C4" s="342" t="s">
        <v>301</v>
      </c>
      <c r="D4" s="347">
        <v>2.8959999999999999</v>
      </c>
      <c r="E4" s="347">
        <v>3.1E-2</v>
      </c>
    </row>
    <row r="5" spans="2:5" ht="17.5" x14ac:dyDescent="0.35">
      <c r="B5" s="343" t="s">
        <v>313</v>
      </c>
      <c r="C5" s="343" t="s">
        <v>302</v>
      </c>
      <c r="D5" s="347">
        <v>2.9870000000000001</v>
      </c>
      <c r="E5" s="347">
        <v>3.2000000000000001E-2</v>
      </c>
    </row>
    <row r="6" spans="2:5" ht="17.5" x14ac:dyDescent="0.35">
      <c r="B6" s="343" t="s">
        <v>314</v>
      </c>
      <c r="C6" s="343" t="s">
        <v>303</v>
      </c>
      <c r="D6" s="347">
        <v>1.1379999999999999</v>
      </c>
      <c r="E6" s="347">
        <v>1.4999999999999999E-2</v>
      </c>
    </row>
    <row r="7" spans="2:5" x14ac:dyDescent="0.35">
      <c r="B7" s="342" t="s">
        <v>315</v>
      </c>
      <c r="C7" s="342" t="s">
        <v>304</v>
      </c>
      <c r="D7" s="347">
        <v>0.24</v>
      </c>
      <c r="E7" s="347">
        <v>2E-3</v>
      </c>
    </row>
    <row r="8" spans="2:5" x14ac:dyDescent="0.35">
      <c r="B8" s="343" t="s">
        <v>316</v>
      </c>
      <c r="C8" s="343" t="s">
        <v>305</v>
      </c>
      <c r="D8" s="347">
        <v>0.40799999999999997</v>
      </c>
      <c r="E8" s="347">
        <v>4.0000000000000001E-3</v>
      </c>
    </row>
    <row r="9" spans="2:5" x14ac:dyDescent="0.35">
      <c r="B9" s="342" t="s">
        <v>317</v>
      </c>
      <c r="C9" s="342" t="s">
        <v>306</v>
      </c>
      <c r="D9" s="347">
        <v>0.109</v>
      </c>
      <c r="E9" s="347">
        <v>1E-3</v>
      </c>
    </row>
    <row r="10" spans="2:5" x14ac:dyDescent="0.35">
      <c r="B10" s="343" t="s">
        <v>318</v>
      </c>
      <c r="C10" s="343" t="s">
        <v>307</v>
      </c>
      <c r="D10" s="347">
        <v>0.13300000000000001</v>
      </c>
      <c r="E10" s="347">
        <v>2E-3</v>
      </c>
    </row>
    <row r="11" spans="2:5" ht="17.5" x14ac:dyDescent="0.35">
      <c r="B11" s="342" t="s">
        <v>319</v>
      </c>
      <c r="C11" s="342" t="s">
        <v>308</v>
      </c>
      <c r="D11" s="347">
        <v>8.6999999999999994E-2</v>
      </c>
      <c r="E11" s="347">
        <v>2E-3</v>
      </c>
    </row>
    <row r="12" spans="2:5" ht="17.5" x14ac:dyDescent="0.35">
      <c r="B12" s="343" t="s">
        <v>320</v>
      </c>
      <c r="C12" s="343" t="s">
        <v>309</v>
      </c>
      <c r="D12" s="347">
        <v>7.6999999999999999E-2</v>
      </c>
      <c r="E12" s="347">
        <v>5.0000000000000001E-3</v>
      </c>
    </row>
    <row r="13" spans="2:5" ht="17.5" x14ac:dyDescent="0.35">
      <c r="B13" s="342" t="s">
        <v>321</v>
      </c>
      <c r="C13" s="342" t="s">
        <v>310</v>
      </c>
      <c r="D13" s="347">
        <v>4.4999999999999998E-2</v>
      </c>
      <c r="E13" s="347">
        <v>3.0000000000000001E-3</v>
      </c>
    </row>
    <row r="14" spans="2:5" x14ac:dyDescent="0.35">
      <c r="B14" s="343" t="s">
        <v>354</v>
      </c>
      <c r="C14" s="343" t="s">
        <v>353</v>
      </c>
      <c r="D14" s="347">
        <v>7.0000000000000001E-3</v>
      </c>
      <c r="E14" s="376">
        <v>3.0000000000000001E-3</v>
      </c>
    </row>
    <row r="15" spans="2:5" x14ac:dyDescent="0.35">
      <c r="B15" s="341"/>
      <c r="C15" s="341"/>
      <c r="D15" s="341"/>
      <c r="E15" s="341"/>
    </row>
    <row r="16" spans="2:5" x14ac:dyDescent="0.35">
      <c r="B16" s="337" t="s">
        <v>325</v>
      </c>
      <c r="C16" s="337" t="s">
        <v>326</v>
      </c>
      <c r="D16" s="337"/>
      <c r="E16" s="337"/>
    </row>
    <row r="17" spans="2:5" x14ac:dyDescent="0.35">
      <c r="B17" s="343" t="s">
        <v>327</v>
      </c>
      <c r="C17" s="343" t="s">
        <v>328</v>
      </c>
      <c r="D17" s="347">
        <v>38580</v>
      </c>
      <c r="E17" s="347">
        <v>70</v>
      </c>
    </row>
    <row r="18" spans="2:5" x14ac:dyDescent="0.35">
      <c r="B18" s="342" t="s">
        <v>329</v>
      </c>
      <c r="C18" s="342" t="s">
        <v>328</v>
      </c>
      <c r="D18" s="347">
        <v>34837</v>
      </c>
      <c r="E18" s="347">
        <v>65</v>
      </c>
    </row>
    <row r="19" spans="2:5" x14ac:dyDescent="0.35">
      <c r="B19" s="343" t="s">
        <v>330</v>
      </c>
      <c r="C19" s="343" t="s">
        <v>328</v>
      </c>
      <c r="D19" s="347">
        <v>0.99770000000000003</v>
      </c>
      <c r="E19" s="347">
        <v>1E-4</v>
      </c>
    </row>
    <row r="20" spans="2:5" x14ac:dyDescent="0.35">
      <c r="B20" s="342" t="s">
        <v>331</v>
      </c>
      <c r="C20" s="342" t="s">
        <v>328</v>
      </c>
      <c r="D20" s="347">
        <v>18.207000000000001</v>
      </c>
      <c r="E20" s="347">
        <v>4.2999999999999997E-2</v>
      </c>
    </row>
    <row r="21" spans="2:5" x14ac:dyDescent="0.35">
      <c r="B21" s="343" t="s">
        <v>332</v>
      </c>
      <c r="C21" s="345" t="s">
        <v>341</v>
      </c>
      <c r="D21" s="347">
        <v>1.09E-2</v>
      </c>
      <c r="E21" s="347">
        <v>4.0000000000000002E-4</v>
      </c>
    </row>
    <row r="22" spans="2:5" x14ac:dyDescent="0.35">
      <c r="B22" s="342" t="s">
        <v>333</v>
      </c>
      <c r="C22" s="342" t="s">
        <v>334</v>
      </c>
      <c r="D22" s="347">
        <v>1.2896000000000001</v>
      </c>
      <c r="E22" s="347">
        <v>2.9999999999999997E-4</v>
      </c>
    </row>
    <row r="23" spans="2:5" x14ac:dyDescent="0.35">
      <c r="B23" s="343" t="s">
        <v>335</v>
      </c>
      <c r="C23" s="343" t="s">
        <v>328</v>
      </c>
      <c r="D23" s="347">
        <v>0.75860000000000005</v>
      </c>
      <c r="E23" s="347">
        <v>1.8E-3</v>
      </c>
    </row>
    <row r="24" spans="2:5" x14ac:dyDescent="0.35">
      <c r="B24" s="342" t="s">
        <v>336</v>
      </c>
      <c r="C24" s="342" t="s">
        <v>328</v>
      </c>
      <c r="D24" s="347">
        <v>0.62980000000000003</v>
      </c>
      <c r="E24" s="347">
        <v>1.5E-3</v>
      </c>
    </row>
    <row r="25" spans="2:5" x14ac:dyDescent="0.35">
      <c r="B25" s="344"/>
      <c r="C25" s="340"/>
      <c r="D25" s="340"/>
      <c r="E25" s="340"/>
    </row>
    <row r="26" spans="2:5" x14ac:dyDescent="0.35">
      <c r="B26" s="337" t="s">
        <v>337</v>
      </c>
      <c r="C26" s="337" t="s">
        <v>326</v>
      </c>
      <c r="D26" s="337"/>
      <c r="E26" s="337"/>
    </row>
    <row r="27" spans="2:5" x14ac:dyDescent="0.35">
      <c r="B27" s="343" t="s">
        <v>335</v>
      </c>
      <c r="C27" s="343" t="s">
        <v>334</v>
      </c>
      <c r="D27" s="347">
        <v>107.9</v>
      </c>
      <c r="E27" s="347">
        <v>0.42</v>
      </c>
    </row>
    <row r="28" spans="2:5" x14ac:dyDescent="0.35">
      <c r="B28" s="342" t="s">
        <v>338</v>
      </c>
      <c r="C28" s="342" t="s">
        <v>328</v>
      </c>
      <c r="D28" s="347">
        <v>0.82199999999999995</v>
      </c>
      <c r="E28" s="347">
        <v>2E-3</v>
      </c>
    </row>
    <row r="29" spans="2:5" x14ac:dyDescent="0.35">
      <c r="B29" s="343" t="s">
        <v>333</v>
      </c>
      <c r="C29" s="343" t="s">
        <v>334</v>
      </c>
      <c r="D29" s="347">
        <v>1.7769999999999999</v>
      </c>
      <c r="E29" s="347">
        <v>3.0000000000000001E-3</v>
      </c>
    </row>
    <row r="30" spans="2:5" x14ac:dyDescent="0.35">
      <c r="B30" s="342" t="s">
        <v>339</v>
      </c>
      <c r="C30" s="346" t="s">
        <v>341</v>
      </c>
      <c r="D30" s="347">
        <v>1.5900000000000001E-2</v>
      </c>
      <c r="E30" s="347">
        <v>2.0000000000000002E-5</v>
      </c>
    </row>
    <row r="31" spans="2:5" x14ac:dyDescent="0.35">
      <c r="B31" s="343" t="s">
        <v>330</v>
      </c>
      <c r="C31" s="343" t="s">
        <v>334</v>
      </c>
      <c r="D31" s="347">
        <v>0.80330000000000001</v>
      </c>
      <c r="E31" s="347">
        <v>1.1000000000000001E-3</v>
      </c>
    </row>
    <row r="32" spans="2:5" x14ac:dyDescent="0.35">
      <c r="B32" s="342" t="s">
        <v>340</v>
      </c>
      <c r="C32" s="342" t="s">
        <v>328</v>
      </c>
      <c r="D32" s="347">
        <v>48614</v>
      </c>
      <c r="E32" s="347">
        <v>62</v>
      </c>
    </row>
  </sheetData>
  <mergeCells count="1">
    <mergeCell ref="B1:C1"/>
  </mergeCell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/>
  <dimension ref="F17:H17"/>
  <sheetViews>
    <sheetView workbookViewId="0">
      <selection activeCell="D18" sqref="D18"/>
    </sheetView>
  </sheetViews>
  <sheetFormatPr defaultColWidth="9.1796875" defaultRowHeight="12.5" x14ac:dyDescent="0.25"/>
  <cols>
    <col min="1" max="16384" width="9.1796875" style="170"/>
  </cols>
  <sheetData>
    <row r="17" spans="6:8" x14ac:dyDescent="0.25">
      <c r="F17" s="170" t="s">
        <v>165</v>
      </c>
      <c r="H17" s="170" t="s">
        <v>166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pageSetUpPr autoPageBreaks="0"/>
  </sheetPr>
  <dimension ref="A2:Q129"/>
  <sheetViews>
    <sheetView showGridLines="0" topLeftCell="A37" zoomScaleNormal="100" workbookViewId="0">
      <selection activeCell="D18" sqref="D18"/>
    </sheetView>
  </sheetViews>
  <sheetFormatPr defaultColWidth="9.1796875" defaultRowHeight="12.5" x14ac:dyDescent="0.25"/>
  <cols>
    <col min="1" max="1" width="4.453125" style="20" customWidth="1"/>
    <col min="2" max="2" width="9.453125" style="20" bestFit="1" customWidth="1"/>
    <col min="3" max="3" width="9.1796875" style="20"/>
    <col min="4" max="4" width="12.453125" style="20" bestFit="1" customWidth="1"/>
    <col min="5" max="5" width="9.453125" style="20" bestFit="1" customWidth="1"/>
    <col min="6" max="6" width="10.54296875" style="20" bestFit="1" customWidth="1"/>
    <col min="7" max="9" width="9.1796875" style="20"/>
    <col min="10" max="10" width="12.1796875" style="20" bestFit="1" customWidth="1"/>
    <col min="11" max="11" width="2.81640625" style="20" customWidth="1"/>
    <col min="12" max="12" width="10.1796875" style="20" customWidth="1"/>
    <col min="13" max="13" width="7.1796875" style="20" customWidth="1"/>
    <col min="14" max="14" width="10.453125" style="20" customWidth="1"/>
    <col min="15" max="16384" width="9.1796875" style="20"/>
  </cols>
  <sheetData>
    <row r="2" spans="1:17" x14ac:dyDescent="0.25">
      <c r="A2" s="20">
        <v>2</v>
      </c>
    </row>
    <row r="10" spans="1:17" ht="13" x14ac:dyDescent="0.3">
      <c r="A10" s="29"/>
      <c r="D10" s="39"/>
    </row>
    <row r="11" spans="1:17" ht="13" x14ac:dyDescent="0.3">
      <c r="A11" s="29"/>
      <c r="D11" s="39"/>
    </row>
    <row r="12" spans="1:17" ht="18" x14ac:dyDescent="0.4">
      <c r="D12" s="41" t="s">
        <v>30</v>
      </c>
      <c r="L12" s="41"/>
    </row>
    <row r="13" spans="1:17" ht="18" x14ac:dyDescent="0.4">
      <c r="B13" s="25"/>
      <c r="C13" s="25"/>
      <c r="D13" s="42"/>
      <c r="E13" s="25"/>
      <c r="F13" s="25"/>
      <c r="G13" s="25"/>
      <c r="H13" s="25"/>
      <c r="J13" s="25"/>
      <c r="K13" s="25"/>
      <c r="L13" s="42"/>
      <c r="M13" s="42"/>
      <c r="N13" s="25"/>
      <c r="O13" s="25"/>
      <c r="P13" s="25"/>
      <c r="Q13" s="25"/>
    </row>
    <row r="14" spans="1:17" ht="15.5" x14ac:dyDescent="0.35">
      <c r="B14" s="43" t="s">
        <v>10</v>
      </c>
      <c r="H14" s="24"/>
      <c r="J14" s="228" t="s">
        <v>87</v>
      </c>
      <c r="K14" s="37"/>
      <c r="L14" s="37"/>
      <c r="M14" s="37"/>
      <c r="N14" s="37"/>
      <c r="O14" s="37"/>
      <c r="P14" s="37"/>
      <c r="Q14" s="38"/>
    </row>
    <row r="15" spans="1:17" ht="15.5" x14ac:dyDescent="0.35">
      <c r="B15" s="44" t="s">
        <v>11</v>
      </c>
      <c r="H15" s="24"/>
      <c r="J15" s="44" t="s">
        <v>14</v>
      </c>
      <c r="Q15" s="24"/>
    </row>
    <row r="16" spans="1:17" x14ac:dyDescent="0.25">
      <c r="B16" s="32"/>
      <c r="H16" s="24"/>
      <c r="J16" s="32"/>
      <c r="Q16" s="24"/>
    </row>
    <row r="17" spans="2:17" x14ac:dyDescent="0.25">
      <c r="B17" s="45" t="s">
        <v>13</v>
      </c>
      <c r="H17" s="24"/>
      <c r="J17" s="45" t="s">
        <v>31</v>
      </c>
      <c r="Q17" s="24"/>
    </row>
    <row r="18" spans="2:17" x14ac:dyDescent="0.25">
      <c r="B18" s="32"/>
      <c r="H18" s="24"/>
      <c r="J18" s="32"/>
      <c r="Q18" s="24"/>
    </row>
    <row r="19" spans="2:17" ht="13" x14ac:dyDescent="0.3">
      <c r="B19" s="32" t="s">
        <v>51</v>
      </c>
      <c r="F19" s="51">
        <v>1381</v>
      </c>
      <c r="G19" s="20" t="s">
        <v>59</v>
      </c>
      <c r="H19" s="24"/>
      <c r="J19" s="30" t="s">
        <v>88</v>
      </c>
      <c r="Q19" s="24"/>
    </row>
    <row r="20" spans="2:17" ht="13" x14ac:dyDescent="0.3">
      <c r="B20" s="32"/>
      <c r="H20" s="24"/>
      <c r="J20" s="30" t="s">
        <v>52</v>
      </c>
      <c r="Q20" s="24"/>
    </row>
    <row r="21" spans="2:17" ht="13" x14ac:dyDescent="0.3">
      <c r="B21" s="32" t="s">
        <v>53</v>
      </c>
      <c r="F21" s="51">
        <v>11960</v>
      </c>
      <c r="G21" s="20" t="s">
        <v>59</v>
      </c>
      <c r="H21" s="24"/>
      <c r="J21" s="32"/>
      <c r="Q21" s="24"/>
    </row>
    <row r="22" spans="2:17" x14ac:dyDescent="0.25">
      <c r="B22" s="32"/>
      <c r="H22" s="24"/>
      <c r="J22" s="259">
        <f>'Metering station'!H11</f>
        <v>1757.9097806480299</v>
      </c>
      <c r="K22" s="20" t="s">
        <v>59</v>
      </c>
      <c r="M22" s="20">
        <f>J22/B26</f>
        <v>0.54017741585086787</v>
      </c>
      <c r="N22" s="20" t="s">
        <v>1</v>
      </c>
      <c r="O22" s="20">
        <f>'Sensitivity coefficients'!B69</f>
        <v>1656.8221641522921</v>
      </c>
      <c r="P22" s="20" t="s">
        <v>34</v>
      </c>
      <c r="Q22" s="24"/>
    </row>
    <row r="23" spans="2:17" ht="13" x14ac:dyDescent="0.3">
      <c r="B23" s="32" t="s">
        <v>54</v>
      </c>
      <c r="F23" s="51">
        <v>30</v>
      </c>
      <c r="H23" s="24"/>
      <c r="J23" s="33"/>
      <c r="K23" s="25"/>
      <c r="L23" s="229"/>
      <c r="M23" s="25"/>
      <c r="N23" s="25"/>
      <c r="O23" s="25"/>
      <c r="P23" s="25"/>
      <c r="Q23" s="34"/>
    </row>
    <row r="24" spans="2:17" x14ac:dyDescent="0.25">
      <c r="B24" s="32"/>
      <c r="H24" s="24"/>
    </row>
    <row r="25" spans="2:17" ht="13" x14ac:dyDescent="0.3">
      <c r="B25" s="30" t="s">
        <v>55</v>
      </c>
      <c r="H25" s="24"/>
      <c r="J25" s="46"/>
      <c r="K25" s="37"/>
      <c r="L25" s="37"/>
      <c r="M25" s="37"/>
      <c r="N25" s="37"/>
      <c r="O25" s="37"/>
      <c r="P25" s="37"/>
      <c r="Q25" s="38"/>
    </row>
    <row r="26" spans="2:17" ht="13" x14ac:dyDescent="0.3">
      <c r="B26" s="259">
        <f>'Metering station'!H12</f>
        <v>3254.3192830063695</v>
      </c>
      <c r="C26" s="20" t="s">
        <v>59</v>
      </c>
      <c r="H26" s="24"/>
      <c r="J26" s="232" t="s">
        <v>177</v>
      </c>
      <c r="K26" s="233"/>
      <c r="L26" s="233"/>
      <c r="Q26" s="24"/>
    </row>
    <row r="27" spans="2:17" x14ac:dyDescent="0.25">
      <c r="B27" s="32"/>
      <c r="H27" s="24"/>
      <c r="J27" s="32"/>
      <c r="Q27" s="24"/>
    </row>
    <row r="28" spans="2:17" ht="13" x14ac:dyDescent="0.3">
      <c r="B28" s="32"/>
      <c r="H28" s="24"/>
      <c r="J28" s="32" t="s">
        <v>178</v>
      </c>
      <c r="N28" s="51">
        <v>1381</v>
      </c>
      <c r="O28" s="20" t="s">
        <v>59</v>
      </c>
      <c r="Q28" s="24"/>
    </row>
    <row r="29" spans="2:17" x14ac:dyDescent="0.25">
      <c r="B29" s="32"/>
      <c r="H29" s="24"/>
      <c r="J29" s="32"/>
      <c r="Q29" s="24"/>
    </row>
    <row r="30" spans="2:17" ht="13" x14ac:dyDescent="0.3">
      <c r="B30" s="30" t="s">
        <v>12</v>
      </c>
      <c r="H30" s="24"/>
      <c r="J30" s="32" t="s">
        <v>179</v>
      </c>
      <c r="N30" s="51">
        <v>11960</v>
      </c>
      <c r="O30" s="20" t="s">
        <v>59</v>
      </c>
      <c r="Q30" s="24"/>
    </row>
    <row r="31" spans="2:17" x14ac:dyDescent="0.25">
      <c r="B31" s="32"/>
      <c r="H31" s="24"/>
      <c r="J31" s="32"/>
      <c r="Q31" s="24"/>
    </row>
    <row r="32" spans="2:17" ht="13" x14ac:dyDescent="0.3">
      <c r="B32" s="32"/>
      <c r="H32" s="24"/>
      <c r="J32" s="32" t="s">
        <v>54</v>
      </c>
      <c r="N32" s="51">
        <v>30</v>
      </c>
      <c r="Q32" s="24"/>
    </row>
    <row r="33" spans="2:17" x14ac:dyDescent="0.25">
      <c r="B33" s="32"/>
      <c r="H33" s="24"/>
      <c r="J33" s="33"/>
      <c r="K33" s="25"/>
      <c r="L33" s="25"/>
      <c r="M33" s="25"/>
      <c r="N33" s="25"/>
      <c r="O33" s="25"/>
      <c r="P33" s="25"/>
      <c r="Q33" s="34"/>
    </row>
    <row r="34" spans="2:17" x14ac:dyDescent="0.25">
      <c r="B34" s="32"/>
      <c r="H34" s="24"/>
    </row>
    <row r="35" spans="2:17" x14ac:dyDescent="0.25">
      <c r="B35" s="32"/>
      <c r="H35" s="24"/>
    </row>
    <row r="36" spans="2:17" x14ac:dyDescent="0.25">
      <c r="B36" s="33"/>
      <c r="C36" s="25"/>
      <c r="D36" s="25"/>
      <c r="E36" s="25"/>
      <c r="F36" s="25"/>
      <c r="G36" s="25"/>
      <c r="H36" s="34"/>
    </row>
    <row r="37" spans="2:17" ht="29.25" customHeight="1" x14ac:dyDescent="0.25">
      <c r="B37" s="594" t="s">
        <v>207</v>
      </c>
      <c r="C37" s="595"/>
      <c r="D37" s="595"/>
      <c r="E37" s="595"/>
      <c r="F37" s="595"/>
      <c r="G37" s="595"/>
      <c r="H37" s="596"/>
      <c r="J37" s="594" t="s">
        <v>208</v>
      </c>
      <c r="K37" s="595"/>
      <c r="L37" s="595"/>
      <c r="M37" s="595"/>
      <c r="N37" s="595"/>
      <c r="O37" s="595"/>
      <c r="P37" s="596"/>
    </row>
    <row r="38" spans="2:17" ht="13" x14ac:dyDescent="0.3">
      <c r="B38" s="31" t="s">
        <v>22</v>
      </c>
      <c r="H38" s="24"/>
      <c r="J38" s="31" t="s">
        <v>22</v>
      </c>
      <c r="P38" s="24"/>
    </row>
    <row r="39" spans="2:17" ht="12.75" customHeight="1" x14ac:dyDescent="0.25">
      <c r="B39" s="32"/>
      <c r="H39" s="24"/>
      <c r="J39" s="32"/>
      <c r="P39" s="24"/>
    </row>
    <row r="40" spans="2:17" x14ac:dyDescent="0.25">
      <c r="B40" s="32" t="s">
        <v>23</v>
      </c>
      <c r="E40" s="52">
        <v>0</v>
      </c>
      <c r="F40" s="245" t="s">
        <v>59</v>
      </c>
      <c r="H40" s="24"/>
      <c r="J40" s="32" t="s">
        <v>23</v>
      </c>
      <c r="M40" s="52">
        <v>0</v>
      </c>
      <c r="N40" s="245" t="s">
        <v>209</v>
      </c>
      <c r="P40" s="24"/>
    </row>
    <row r="41" spans="2:17" x14ac:dyDescent="0.25">
      <c r="B41" s="32"/>
      <c r="F41" s="245"/>
      <c r="H41" s="24"/>
      <c r="J41" s="32"/>
      <c r="N41" s="245"/>
      <c r="P41" s="24"/>
    </row>
    <row r="42" spans="2:17" x14ac:dyDescent="0.25">
      <c r="B42" s="32" t="s">
        <v>24</v>
      </c>
      <c r="E42" s="52">
        <v>600</v>
      </c>
      <c r="F42" s="245" t="s">
        <v>59</v>
      </c>
      <c r="H42" s="24"/>
      <c r="J42" s="32" t="s">
        <v>24</v>
      </c>
      <c r="M42" s="52">
        <v>58500</v>
      </c>
      <c r="N42" s="245" t="s">
        <v>209</v>
      </c>
      <c r="P42" s="24"/>
    </row>
    <row r="43" spans="2:17" x14ac:dyDescent="0.25">
      <c r="B43" s="33"/>
      <c r="C43" s="25"/>
      <c r="D43" s="25"/>
      <c r="E43" s="25"/>
      <c r="F43" s="25"/>
      <c r="G43" s="25"/>
      <c r="H43" s="34"/>
      <c r="J43" s="33"/>
      <c r="K43" s="25"/>
      <c r="L43" s="25"/>
      <c r="M43" s="25"/>
      <c r="N43" s="25"/>
      <c r="O43" s="25"/>
      <c r="P43" s="34"/>
    </row>
    <row r="44" spans="2:17" x14ac:dyDescent="0.25">
      <c r="B44" s="46"/>
      <c r="C44" s="37"/>
      <c r="D44" s="37"/>
      <c r="E44" s="37"/>
      <c r="F44" s="37"/>
      <c r="G44" s="37"/>
      <c r="H44" s="38"/>
      <c r="J44" s="46"/>
      <c r="K44" s="37"/>
      <c r="L44" s="37"/>
      <c r="M44" s="37"/>
      <c r="N44" s="37"/>
      <c r="O44" s="37"/>
      <c r="P44" s="38"/>
    </row>
    <row r="45" spans="2:17" ht="13" x14ac:dyDescent="0.3">
      <c r="B45" s="31" t="s">
        <v>56</v>
      </c>
      <c r="H45" s="24"/>
      <c r="J45" s="31" t="s">
        <v>56</v>
      </c>
      <c r="P45" s="24"/>
    </row>
    <row r="46" spans="2:17" x14ac:dyDescent="0.25">
      <c r="B46" s="32"/>
      <c r="H46" s="24"/>
      <c r="J46" s="32"/>
      <c r="P46" s="24"/>
    </row>
    <row r="47" spans="2:17" x14ac:dyDescent="0.25">
      <c r="B47" s="32" t="s">
        <v>23</v>
      </c>
      <c r="E47" s="52">
        <v>0</v>
      </c>
      <c r="F47" s="54" t="s">
        <v>8</v>
      </c>
      <c r="H47" s="24"/>
      <c r="J47" s="32" t="s">
        <v>23</v>
      </c>
      <c r="M47" s="52">
        <v>0</v>
      </c>
      <c r="N47" s="54" t="s">
        <v>8</v>
      </c>
      <c r="P47" s="24"/>
    </row>
    <row r="48" spans="2:17" x14ac:dyDescent="0.25">
      <c r="B48" s="32"/>
      <c r="H48" s="24"/>
      <c r="J48" s="32"/>
      <c r="P48" s="24"/>
    </row>
    <row r="49" spans="2:16" x14ac:dyDescent="0.25">
      <c r="B49" s="32" t="s">
        <v>24</v>
      </c>
      <c r="E49" s="52">
        <v>2.5</v>
      </c>
      <c r="F49" s="54" t="s">
        <v>8</v>
      </c>
      <c r="H49" s="24"/>
      <c r="J49" s="32" t="s">
        <v>24</v>
      </c>
      <c r="M49" s="52">
        <v>2.5</v>
      </c>
      <c r="N49" s="54" t="s">
        <v>8</v>
      </c>
      <c r="P49" s="24"/>
    </row>
    <row r="50" spans="2:16" x14ac:dyDescent="0.25">
      <c r="B50" s="33"/>
      <c r="C50" s="25"/>
      <c r="D50" s="25"/>
      <c r="E50" s="25"/>
      <c r="F50" s="25"/>
      <c r="G50" s="25"/>
      <c r="H50" s="34"/>
      <c r="J50" s="33"/>
      <c r="K50" s="25"/>
      <c r="L50" s="25"/>
      <c r="M50" s="25"/>
      <c r="N50" s="25"/>
      <c r="O50" s="25"/>
      <c r="P50" s="34"/>
    </row>
    <row r="51" spans="2:16" hidden="1" x14ac:dyDescent="0.25">
      <c r="B51" s="46"/>
      <c r="C51" s="37"/>
      <c r="G51" s="37"/>
      <c r="H51" s="38"/>
    </row>
    <row r="52" spans="2:16" ht="13" hidden="1" x14ac:dyDescent="0.3">
      <c r="B52" s="31" t="s">
        <v>25</v>
      </c>
      <c r="H52" s="24"/>
    </row>
    <row r="53" spans="2:16" hidden="1" x14ac:dyDescent="0.25">
      <c r="B53" s="32"/>
      <c r="H53" s="24"/>
    </row>
    <row r="54" spans="2:16" hidden="1" x14ac:dyDescent="0.25">
      <c r="B54" s="32"/>
      <c r="H54" s="24"/>
    </row>
    <row r="55" spans="2:16" hidden="1" x14ac:dyDescent="0.25">
      <c r="B55" s="32"/>
      <c r="H55" s="24"/>
    </row>
    <row r="56" spans="2:16" hidden="1" x14ac:dyDescent="0.25">
      <c r="B56" s="32"/>
      <c r="H56" s="24"/>
    </row>
    <row r="57" spans="2:16" hidden="1" x14ac:dyDescent="0.25">
      <c r="B57" s="32"/>
      <c r="H57" s="24"/>
    </row>
    <row r="58" spans="2:16" hidden="1" x14ac:dyDescent="0.25">
      <c r="B58" s="32"/>
      <c r="H58" s="24"/>
    </row>
    <row r="59" spans="2:16" hidden="1" x14ac:dyDescent="0.25">
      <c r="B59" s="32"/>
      <c r="H59" s="24"/>
    </row>
    <row r="60" spans="2:16" hidden="1" x14ac:dyDescent="0.25">
      <c r="B60" s="33"/>
      <c r="C60" s="25"/>
      <c r="D60" s="25"/>
      <c r="E60" s="25"/>
      <c r="F60" s="25"/>
      <c r="G60" s="25"/>
      <c r="H60" s="34"/>
    </row>
    <row r="61" spans="2:16" hidden="1" x14ac:dyDescent="0.25"/>
    <row r="62" spans="2:16" hidden="1" x14ac:dyDescent="0.25"/>
    <row r="70" spans="7:7" x14ac:dyDescent="0.25">
      <c r="G70" s="40"/>
    </row>
    <row r="73" spans="7:7" x14ac:dyDescent="0.25">
      <c r="G73" s="40"/>
    </row>
    <row r="74" spans="7:7" x14ac:dyDescent="0.25">
      <c r="G74" s="40"/>
    </row>
    <row r="78" spans="7:7" x14ac:dyDescent="0.25">
      <c r="G78" s="40"/>
    </row>
    <row r="86" spans="7:7" x14ac:dyDescent="0.25">
      <c r="G86" s="40"/>
    </row>
    <row r="87" spans="7:7" x14ac:dyDescent="0.25">
      <c r="G87" s="40"/>
    </row>
    <row r="102" spans="2:12" ht="13" x14ac:dyDescent="0.3">
      <c r="B102" s="29" t="s">
        <v>57</v>
      </c>
      <c r="F102" s="29" t="s">
        <v>4</v>
      </c>
      <c r="I102" s="29" t="s">
        <v>210</v>
      </c>
    </row>
    <row r="103" spans="2:12" x14ac:dyDescent="0.25">
      <c r="F103" s="35" t="s">
        <v>2</v>
      </c>
    </row>
    <row r="104" spans="2:12" x14ac:dyDescent="0.25">
      <c r="B104" s="20" t="s">
        <v>5</v>
      </c>
      <c r="D104" s="35" t="b">
        <v>1</v>
      </c>
      <c r="F104" s="20" t="s">
        <v>0</v>
      </c>
      <c r="I104" s="20" t="s">
        <v>5</v>
      </c>
      <c r="L104" s="35" t="b">
        <v>1</v>
      </c>
    </row>
    <row r="105" spans="2:12" x14ac:dyDescent="0.25">
      <c r="B105" s="20" t="s">
        <v>58</v>
      </c>
      <c r="D105" s="35" t="b">
        <v>0</v>
      </c>
      <c r="F105" s="20" t="s">
        <v>2</v>
      </c>
      <c r="I105" s="20" t="s">
        <v>58</v>
      </c>
      <c r="L105" s="35" t="b">
        <v>0</v>
      </c>
    </row>
    <row r="106" spans="2:12" x14ac:dyDescent="0.25">
      <c r="F106" s="20" t="s">
        <v>35</v>
      </c>
    </row>
    <row r="108" spans="2:12" ht="13" x14ac:dyDescent="0.3">
      <c r="B108" s="29"/>
      <c r="F108" s="29"/>
    </row>
    <row r="110" spans="2:12" x14ac:dyDescent="0.25">
      <c r="D110" s="35"/>
    </row>
    <row r="111" spans="2:12" x14ac:dyDescent="0.25">
      <c r="D111" s="35"/>
    </row>
    <row r="112" spans="2:12" x14ac:dyDescent="0.25">
      <c r="D112" s="35"/>
    </row>
    <row r="113" spans="2:6" x14ac:dyDescent="0.25">
      <c r="D113" s="35"/>
    </row>
    <row r="114" spans="2:6" x14ac:dyDescent="0.25">
      <c r="D114" s="35"/>
    </row>
    <row r="115" spans="2:6" x14ac:dyDescent="0.25">
      <c r="D115" s="35"/>
    </row>
    <row r="116" spans="2:6" x14ac:dyDescent="0.25">
      <c r="D116" s="35"/>
    </row>
    <row r="117" spans="2:6" x14ac:dyDescent="0.25">
      <c r="D117" s="35"/>
    </row>
    <row r="118" spans="2:6" x14ac:dyDescent="0.25">
      <c r="D118" s="35"/>
    </row>
    <row r="123" spans="2:6" ht="13" x14ac:dyDescent="0.3">
      <c r="B123" s="29"/>
      <c r="F123" s="29"/>
    </row>
    <row r="129" spans="2:6" ht="13" x14ac:dyDescent="0.3">
      <c r="B129" s="29"/>
      <c r="F129" s="29"/>
    </row>
  </sheetData>
  <dataConsolidate/>
  <mergeCells count="2">
    <mergeCell ref="B37:H37"/>
    <mergeCell ref="J37:P37"/>
  </mergeCells>
  <phoneticPr fontId="0" type="noConversion"/>
  <dataValidations count="5">
    <dataValidation type="decimal" operator="greaterThan" allowBlank="1" showInputMessage="1" showErrorMessage="1" error="Maximum value must be larger than minimum value" sqref="E42 E49 M42 M49" xr:uid="{00000000-0002-0000-0800-000000000000}">
      <formula1>E40</formula1>
    </dataValidation>
    <dataValidation type="decimal" operator="lessThan" allowBlank="1" showInputMessage="1" showErrorMessage="1" error="Minimum value must be less than maximum value" sqref="E40 E47 M40 M47" xr:uid="{00000000-0002-0000-0800-000001000000}">
      <formula1>E42</formula1>
    </dataValidation>
    <dataValidation type="custom" allowBlank="1" showInputMessage="1" showErrorMessage="1" errorTitle="Out of range" error="Minimum flowrate has to be positive and less than maximum flow rate" sqref="F19 N28" xr:uid="{00000000-0002-0000-0800-000002000000}">
      <formula1>AND(F19&gt;0,F19&lt;F21)</formula1>
    </dataValidation>
    <dataValidation type="decimal" operator="greaterThan" allowBlank="1" showInputMessage="1" showErrorMessage="1" errorTitle="Out of range" error="Maximum flow rate has to be greater than minimum flow rate" sqref="F21 N30" xr:uid="{00000000-0002-0000-0800-000003000000}">
      <formula1>F19</formula1>
    </dataValidation>
    <dataValidation type="whole" allowBlank="1" showInputMessage="1" showErrorMessage="1" errorTitle="Out of range" error="Input must be in the range from 5 to 45" sqref="N32 F23" xr:uid="{00000000-0002-0000-0800-000004000000}">
      <formula1>5</formula1>
      <formula2>45</formula2>
    </dataValidation>
  </dataValidations>
  <pageMargins left="0.2" right="0.19" top="0.98" bottom="0.87" header="0.5" footer="0.5"/>
  <pageSetup paperSize="9" scale="61" orientation="portrait" r:id="rId1"/>
  <headerFooter alignWithMargins="0">
    <oddHeader>&amp;R&amp;D,&amp;T</oddHeader>
    <oddFooter>&amp;COutput from program "EMU - Orifice  Fiscal Gas Metering Station", Version 2.0. 
Ref. "Handbook of uncertainty calculations - Fiscal Orifice Gas and Turbine Oil metering stations", December 2002.</oddFooter>
  </headerFooter>
  <rowBreaks count="1" manualBreakCount="1">
    <brk id="87" max="17" man="1"/>
  </rowBreaks>
  <drawing r:id="rId2"/>
  <legacyDrawing r:id="rId3"/>
  <controls>
    <mc:AlternateContent xmlns:mc="http://schemas.openxmlformats.org/markup-compatibility/2006">
      <mc:Choice Requires="x14">
        <control shapeId="11397" r:id="rId4" name="CommandButton4">
          <controlPr defaultSize="0" autoLine="0" r:id="rId5">
            <anchor moveWithCells="1">
              <from>
                <xdr:col>13</xdr:col>
                <xdr:colOff>488950</xdr:colOff>
                <xdr:row>46</xdr:row>
                <xdr:rowOff>127000</xdr:rowOff>
              </from>
              <to>
                <xdr:col>15</xdr:col>
                <xdr:colOff>552450</xdr:colOff>
                <xdr:row>48</xdr:row>
                <xdr:rowOff>76200</xdr:rowOff>
              </to>
            </anchor>
          </controlPr>
        </control>
      </mc:Choice>
      <mc:Fallback>
        <control shapeId="11397" r:id="rId4" name="CommandButton4"/>
      </mc:Fallback>
    </mc:AlternateContent>
    <mc:AlternateContent xmlns:mc="http://schemas.openxmlformats.org/markup-compatibility/2006">
      <mc:Choice Requires="x14">
        <control shapeId="11395" r:id="rId6" name="CommandButton3">
          <controlPr defaultSize="0" autoLine="0" r:id="rId7">
            <anchor moveWithCells="1">
              <from>
                <xdr:col>13</xdr:col>
                <xdr:colOff>381000</xdr:colOff>
                <xdr:row>39</xdr:row>
                <xdr:rowOff>107950</xdr:rowOff>
              </from>
              <to>
                <xdr:col>15</xdr:col>
                <xdr:colOff>450850</xdr:colOff>
                <xdr:row>41</xdr:row>
                <xdr:rowOff>57150</xdr:rowOff>
              </to>
            </anchor>
          </controlPr>
        </control>
      </mc:Choice>
      <mc:Fallback>
        <control shapeId="11395" r:id="rId6" name="CommandButton3"/>
      </mc:Fallback>
    </mc:AlternateContent>
    <mc:AlternateContent xmlns:mc="http://schemas.openxmlformats.org/markup-compatibility/2006">
      <mc:Choice Requires="x14">
        <control shapeId="11394" r:id="rId8" name="CheckBox3">
          <controlPr defaultSize="0" autoLine="0" linkedCell="L104" r:id="rId9">
            <anchor moveWithCells="1">
              <from>
                <xdr:col>12</xdr:col>
                <xdr:colOff>203200</xdr:colOff>
                <xdr:row>36</xdr:row>
                <xdr:rowOff>336550</xdr:rowOff>
              </from>
              <to>
                <xdr:col>15</xdr:col>
                <xdr:colOff>323850</xdr:colOff>
                <xdr:row>38</xdr:row>
                <xdr:rowOff>50800</xdr:rowOff>
              </to>
            </anchor>
          </controlPr>
        </control>
      </mc:Choice>
      <mc:Fallback>
        <control shapeId="11394" r:id="rId8" name="CheckBox3"/>
      </mc:Fallback>
    </mc:AlternateContent>
    <mc:AlternateContent xmlns:mc="http://schemas.openxmlformats.org/markup-compatibility/2006">
      <mc:Choice Requires="x14">
        <control shapeId="11347" r:id="rId10" name="CommandButton12">
          <controlPr defaultSize="0" autoLine="0" autoPict="0" r:id="rId11">
            <anchor moveWithCells="1">
              <from>
                <xdr:col>4</xdr:col>
                <xdr:colOff>190500</xdr:colOff>
                <xdr:row>25</xdr:row>
                <xdr:rowOff>31750</xdr:rowOff>
              </from>
              <to>
                <xdr:col>7</xdr:col>
                <xdr:colOff>266700</xdr:colOff>
                <xdr:row>28</xdr:row>
                <xdr:rowOff>31750</xdr:rowOff>
              </to>
            </anchor>
          </controlPr>
        </control>
      </mc:Choice>
      <mc:Fallback>
        <control shapeId="11347" r:id="rId10" name="CommandButton12"/>
      </mc:Fallback>
    </mc:AlternateContent>
    <mc:AlternateContent xmlns:mc="http://schemas.openxmlformats.org/markup-compatibility/2006">
      <mc:Choice Requires="x14">
        <control shapeId="11341" r:id="rId12" name="CheckBox1">
          <controlPr defaultSize="0" autoLine="0" linkedCell="D104" r:id="rId13">
            <anchor moveWithCells="1">
              <from>
                <xdr:col>4</xdr:col>
                <xdr:colOff>69850</xdr:colOff>
                <xdr:row>36</xdr:row>
                <xdr:rowOff>342900</xdr:rowOff>
              </from>
              <to>
                <xdr:col>7</xdr:col>
                <xdr:colOff>31750</xdr:colOff>
                <xdr:row>38</xdr:row>
                <xdr:rowOff>57150</xdr:rowOff>
              </to>
            </anchor>
          </controlPr>
        </control>
      </mc:Choice>
      <mc:Fallback>
        <control shapeId="11341" r:id="rId12" name="CheckBox1"/>
      </mc:Fallback>
    </mc:AlternateContent>
    <mc:AlternateContent xmlns:mc="http://schemas.openxmlformats.org/markup-compatibility/2006">
      <mc:Choice Requires="x14">
        <control shapeId="11340" r:id="rId14" name="CommandButton1">
          <controlPr defaultSize="0" autoLine="0" r:id="rId15">
            <anchor moveWithCells="1">
              <from>
                <xdr:col>5</xdr:col>
                <xdr:colOff>381000</xdr:colOff>
                <xdr:row>39</xdr:row>
                <xdr:rowOff>107950</xdr:rowOff>
              </from>
              <to>
                <xdr:col>7</xdr:col>
                <xdr:colOff>438150</xdr:colOff>
                <xdr:row>41</xdr:row>
                <xdr:rowOff>57150</xdr:rowOff>
              </to>
            </anchor>
          </controlPr>
        </control>
      </mc:Choice>
      <mc:Fallback>
        <control shapeId="11340" r:id="rId14" name="CommandButton1"/>
      </mc:Fallback>
    </mc:AlternateContent>
    <mc:AlternateContent xmlns:mc="http://schemas.openxmlformats.org/markup-compatibility/2006">
      <mc:Choice Requires="x14">
        <control shapeId="11339" r:id="rId16" name="ListBox1">
          <controlPr defaultSize="0" autoLine="0" linkedCell="F103" listFillRange="F104:F106" r:id="rId17">
            <anchor moveWithCells="1">
              <from>
                <xdr:col>1</xdr:col>
                <xdr:colOff>107950</xdr:colOff>
                <xdr:row>26</xdr:row>
                <xdr:rowOff>31750</xdr:rowOff>
              </from>
              <to>
                <xdr:col>6</xdr:col>
                <xdr:colOff>565150</xdr:colOff>
                <xdr:row>27</xdr:row>
                <xdr:rowOff>57150</xdr:rowOff>
              </to>
            </anchor>
          </controlPr>
        </control>
      </mc:Choice>
      <mc:Fallback>
        <control shapeId="11339" r:id="rId16" name="ListBox1"/>
      </mc:Fallback>
    </mc:AlternateContent>
    <mc:AlternateContent xmlns:mc="http://schemas.openxmlformats.org/markup-compatibility/2006">
      <mc:Choice Requires="x14">
        <control shapeId="11304" r:id="rId18" name="OptionButton3">
          <controlPr defaultSize="0" autoLine="0" r:id="rId19">
            <anchor moveWithCells="1">
              <from>
                <xdr:col>42</xdr:col>
                <xdr:colOff>412750</xdr:colOff>
                <xdr:row>21</xdr:row>
                <xdr:rowOff>38100</xdr:rowOff>
              </from>
              <to>
                <xdr:col>45</xdr:col>
                <xdr:colOff>469900</xdr:colOff>
                <xdr:row>22</xdr:row>
                <xdr:rowOff>146050</xdr:rowOff>
              </to>
            </anchor>
          </controlPr>
        </control>
      </mc:Choice>
      <mc:Fallback>
        <control shapeId="11304" r:id="rId18" name="OptionButton3"/>
      </mc:Fallback>
    </mc:AlternateContent>
    <mc:AlternateContent xmlns:mc="http://schemas.openxmlformats.org/markup-compatibility/2006">
      <mc:Choice Requires="x14">
        <control shapeId="11303" r:id="rId20" name="OptionButton2">
          <controlPr defaultSize="0" autoLine="0" r:id="rId21">
            <anchor moveWithCells="1">
              <from>
                <xdr:col>42</xdr:col>
                <xdr:colOff>450850</xdr:colOff>
                <xdr:row>18</xdr:row>
                <xdr:rowOff>152400</xdr:rowOff>
              </from>
              <to>
                <xdr:col>45</xdr:col>
                <xdr:colOff>508000</xdr:colOff>
                <xdr:row>20</xdr:row>
                <xdr:rowOff>95250</xdr:rowOff>
              </to>
            </anchor>
          </controlPr>
        </control>
      </mc:Choice>
      <mc:Fallback>
        <control shapeId="11303" r:id="rId20" name="OptionButton2"/>
      </mc:Fallback>
    </mc:AlternateContent>
    <mc:AlternateContent xmlns:mc="http://schemas.openxmlformats.org/markup-compatibility/2006">
      <mc:Choice Requires="x14">
        <control shapeId="11302" r:id="rId22" name="OptionButton1">
          <controlPr defaultSize="0" autoLine="0" r:id="rId23">
            <anchor moveWithCells="1">
              <from>
                <xdr:col>42</xdr:col>
                <xdr:colOff>393700</xdr:colOff>
                <xdr:row>17</xdr:row>
                <xdr:rowOff>31750</xdr:rowOff>
              </from>
              <to>
                <xdr:col>45</xdr:col>
                <xdr:colOff>450850</xdr:colOff>
                <xdr:row>18</xdr:row>
                <xdr:rowOff>133350</xdr:rowOff>
              </to>
            </anchor>
          </controlPr>
        </control>
      </mc:Choice>
      <mc:Fallback>
        <control shapeId="11302" r:id="rId22" name="OptionButton1"/>
      </mc:Fallback>
    </mc:AlternateContent>
    <mc:AlternateContent xmlns:mc="http://schemas.openxmlformats.org/markup-compatibility/2006">
      <mc:Choice Requires="x14">
        <control shapeId="11300" r:id="rId24" name="CommandButton2">
          <controlPr defaultSize="0" autoLine="0" r:id="rId25">
            <anchor moveWithCells="1">
              <from>
                <xdr:col>5</xdr:col>
                <xdr:colOff>381000</xdr:colOff>
                <xdr:row>46</xdr:row>
                <xdr:rowOff>127000</xdr:rowOff>
              </from>
              <to>
                <xdr:col>7</xdr:col>
                <xdr:colOff>438150</xdr:colOff>
                <xdr:row>48</xdr:row>
                <xdr:rowOff>76200</xdr:rowOff>
              </to>
            </anchor>
          </controlPr>
        </control>
      </mc:Choice>
      <mc:Fallback>
        <control shapeId="11300" r:id="rId24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>
    <pageSetUpPr autoPageBreaks="0"/>
  </sheetPr>
  <dimension ref="B9:N63"/>
  <sheetViews>
    <sheetView showGridLines="0" topLeftCell="A57" zoomScale="90" zoomScaleNormal="100" workbookViewId="0">
      <selection activeCell="D18" sqref="D18"/>
    </sheetView>
  </sheetViews>
  <sheetFormatPr defaultColWidth="9.1796875" defaultRowHeight="12.5" x14ac:dyDescent="0.25"/>
  <cols>
    <col min="1" max="1" width="2.453125" style="20" customWidth="1"/>
    <col min="2" max="2" width="9.1796875" style="20"/>
    <col min="3" max="3" width="11.453125" style="20" customWidth="1"/>
    <col min="4" max="4" width="13.54296875" style="20" customWidth="1"/>
    <col min="5" max="5" width="9.1796875" style="20"/>
    <col min="6" max="6" width="25" style="20" customWidth="1"/>
    <col min="7" max="7" width="17.54296875" style="20" bestFit="1" customWidth="1"/>
    <col min="8" max="9" width="9.1796875" style="20"/>
    <col min="10" max="10" width="9.453125" style="20" bestFit="1" customWidth="1"/>
    <col min="11" max="11" width="12.453125" style="20" customWidth="1"/>
    <col min="12" max="12" width="9.1796875" style="20"/>
    <col min="13" max="13" width="25.81640625" style="20" customWidth="1"/>
    <col min="14" max="14" width="17.54296875" style="20" bestFit="1" customWidth="1"/>
    <col min="15" max="16384" width="9.1796875" style="20"/>
  </cols>
  <sheetData>
    <row r="9" spans="2:14" ht="18.75" customHeight="1" x14ac:dyDescent="0.25"/>
    <row r="11" spans="2:14" ht="13" x14ac:dyDescent="0.3">
      <c r="B11" s="47" t="s">
        <v>26</v>
      </c>
      <c r="C11" s="37"/>
      <c r="D11" s="37"/>
      <c r="E11" s="37"/>
      <c r="F11" s="37"/>
      <c r="G11" s="38"/>
      <c r="I11" s="47" t="s">
        <v>201</v>
      </c>
      <c r="J11" s="37"/>
      <c r="K11" s="37"/>
      <c r="L11" s="37"/>
      <c r="M11" s="37"/>
      <c r="N11" s="38"/>
    </row>
    <row r="12" spans="2:14" x14ac:dyDescent="0.25">
      <c r="B12" s="32"/>
      <c r="G12" s="24"/>
      <c r="I12" s="32"/>
      <c r="N12" s="24"/>
    </row>
    <row r="13" spans="2:14" x14ac:dyDescent="0.25">
      <c r="B13" s="32"/>
      <c r="G13" s="24"/>
      <c r="I13" s="32"/>
      <c r="N13" s="24"/>
    </row>
    <row r="14" spans="2:14" ht="13" x14ac:dyDescent="0.3">
      <c r="B14" s="30" t="s">
        <v>28</v>
      </c>
      <c r="D14" s="20" t="s">
        <v>224</v>
      </c>
      <c r="G14" s="24"/>
      <c r="I14" s="30" t="s">
        <v>28</v>
      </c>
      <c r="K14" s="54" t="s">
        <v>219</v>
      </c>
      <c r="N14" s="24"/>
    </row>
    <row r="15" spans="2:14" ht="13" x14ac:dyDescent="0.3">
      <c r="B15" s="30" t="s">
        <v>29</v>
      </c>
      <c r="D15" s="20" t="s">
        <v>150</v>
      </c>
      <c r="G15" s="24"/>
      <c r="I15" s="30" t="s">
        <v>29</v>
      </c>
      <c r="K15" s="20" t="s">
        <v>150</v>
      </c>
      <c r="N15" s="24"/>
    </row>
    <row r="16" spans="2:14" ht="13" x14ac:dyDescent="0.3">
      <c r="B16" s="30"/>
      <c r="D16" s="20" t="s">
        <v>149</v>
      </c>
      <c r="G16" s="24"/>
      <c r="I16" s="30"/>
      <c r="K16" s="20" t="s">
        <v>149</v>
      </c>
      <c r="N16" s="24"/>
    </row>
    <row r="17" spans="2:14" ht="13" x14ac:dyDescent="0.3">
      <c r="B17" s="32"/>
      <c r="C17" s="597" t="s">
        <v>188</v>
      </c>
      <c r="D17" s="597"/>
      <c r="G17" s="237" t="s">
        <v>187</v>
      </c>
      <c r="I17" s="32"/>
      <c r="J17" s="597" t="s">
        <v>188</v>
      </c>
      <c r="K17" s="597"/>
      <c r="N17" s="237" t="s">
        <v>187</v>
      </c>
    </row>
    <row r="18" spans="2:14" ht="13" x14ac:dyDescent="0.3">
      <c r="B18" s="30"/>
      <c r="C18" s="244">
        <f>'Kladd-plottedata'!B3</f>
        <v>11960</v>
      </c>
      <c r="D18" s="244">
        <v>838871.5972014732</v>
      </c>
      <c r="E18" s="246"/>
      <c r="F18" s="244" t="s">
        <v>225</v>
      </c>
      <c r="G18" s="243" t="s">
        <v>225</v>
      </c>
      <c r="H18" s="246"/>
      <c r="I18" s="247"/>
      <c r="J18" s="244">
        <v>12.987012987012987</v>
      </c>
      <c r="K18" s="244">
        <v>838871.59720162221</v>
      </c>
      <c r="L18" s="246"/>
      <c r="M18" s="244" t="s">
        <v>225</v>
      </c>
      <c r="N18" s="243" t="s">
        <v>225</v>
      </c>
    </row>
    <row r="19" spans="2:14" ht="13" x14ac:dyDescent="0.3">
      <c r="B19" s="30"/>
      <c r="C19" s="244">
        <f>IF('Kladd-plottedata'!B4="","",'Kladd-plottedata'!G4)</f>
        <v>2509.2857142857142</v>
      </c>
      <c r="D19" s="244">
        <v>11.075339111694271</v>
      </c>
      <c r="E19" s="246"/>
      <c r="F19" s="244" t="s">
        <v>225</v>
      </c>
      <c r="G19" s="243" t="s">
        <v>225</v>
      </c>
      <c r="H19" s="246"/>
      <c r="I19" s="247"/>
      <c r="J19" s="244">
        <v>3258.8126159554731</v>
      </c>
      <c r="K19" s="244">
        <v>11.086619703003473</v>
      </c>
      <c r="L19" s="246"/>
      <c r="M19" s="244" t="s">
        <v>225</v>
      </c>
      <c r="N19" s="243" t="s">
        <v>225</v>
      </c>
    </row>
    <row r="20" spans="2:14" ht="13" x14ac:dyDescent="0.3">
      <c r="B20" s="30"/>
      <c r="C20" s="244">
        <f>IF('Kladd-plottedata'!B5="","",'Kladd-plottedata'!G5)</f>
        <v>5008.5714285714284</v>
      </c>
      <c r="D20" s="244">
        <v>2.8688369147006543</v>
      </c>
      <c r="E20" s="246"/>
      <c r="F20" s="244" t="s">
        <v>225</v>
      </c>
      <c r="G20" s="243" t="s">
        <v>225</v>
      </c>
      <c r="H20" s="246"/>
      <c r="I20" s="247"/>
      <c r="J20" s="244">
        <v>6504.638218923933</v>
      </c>
      <c r="K20" s="244">
        <v>2.912082629862891</v>
      </c>
      <c r="L20" s="246"/>
      <c r="M20" s="244" t="s">
        <v>225</v>
      </c>
      <c r="N20" s="243" t="s">
        <v>225</v>
      </c>
    </row>
    <row r="21" spans="2:14" ht="13" x14ac:dyDescent="0.3">
      <c r="B21" s="30"/>
      <c r="C21" s="244">
        <f>IF('Kladd-plottedata'!B6="","",'Kladd-plottedata'!G6)</f>
        <v>7507.8571428571431</v>
      </c>
      <c r="D21" s="244">
        <v>1.4464480034322458</v>
      </c>
      <c r="E21" s="246"/>
      <c r="F21" s="244" t="s">
        <v>225</v>
      </c>
      <c r="G21" s="243" t="s">
        <v>225</v>
      </c>
      <c r="H21" s="246"/>
      <c r="I21" s="247"/>
      <c r="J21" s="244">
        <v>9750.4638218923938</v>
      </c>
      <c r="K21" s="244">
        <v>1.530428641470464</v>
      </c>
      <c r="L21" s="246"/>
      <c r="M21" s="244" t="s">
        <v>225</v>
      </c>
      <c r="N21" s="243" t="s">
        <v>225</v>
      </c>
    </row>
    <row r="22" spans="2:14" ht="13" x14ac:dyDescent="0.3">
      <c r="B22" s="30"/>
      <c r="C22" s="244">
        <f>IF('Kladd-plottedata'!B7="","",'Kladd-plottedata'!G7)</f>
        <v>10007.142857142857</v>
      </c>
      <c r="D22" s="244">
        <v>1.0293823177786443</v>
      </c>
      <c r="E22" s="246"/>
      <c r="F22" s="244" t="s">
        <v>225</v>
      </c>
      <c r="G22" s="243" t="s">
        <v>225</v>
      </c>
      <c r="H22" s="246"/>
      <c r="I22" s="247"/>
      <c r="J22" s="244">
        <v>12996.289424860854</v>
      </c>
      <c r="K22" s="244">
        <v>1.1443897745765355</v>
      </c>
      <c r="L22" s="246"/>
      <c r="M22" s="244" t="s">
        <v>225</v>
      </c>
      <c r="N22" s="243" t="s">
        <v>225</v>
      </c>
    </row>
    <row r="23" spans="2:14" ht="13" x14ac:dyDescent="0.3">
      <c r="B23" s="30"/>
      <c r="C23" s="244">
        <f>IF('Kladd-plottedata'!B8="","",'Kladd-plottedata'!G8)</f>
        <v>12506.428571428571</v>
      </c>
      <c r="D23" s="244">
        <v>0.88192594860407625</v>
      </c>
      <c r="E23" s="246"/>
      <c r="F23" s="244" t="s">
        <v>225</v>
      </c>
      <c r="G23" s="243" t="s">
        <v>225</v>
      </c>
      <c r="H23" s="246"/>
      <c r="I23" s="247"/>
      <c r="J23" s="244">
        <v>16242.115027829312</v>
      </c>
      <c r="K23" s="244">
        <v>1.0138014494077232</v>
      </c>
      <c r="L23" s="246"/>
      <c r="M23" s="244" t="s">
        <v>225</v>
      </c>
      <c r="N23" s="243" t="s">
        <v>225</v>
      </c>
    </row>
    <row r="24" spans="2:14" ht="13" x14ac:dyDescent="0.3">
      <c r="B24" s="30"/>
      <c r="C24" s="244">
        <f>IF('Kladd-plottedata'!B9="","",'Kladd-plottedata'!G9)</f>
        <v>15005.714285714286</v>
      </c>
      <c r="D24" s="244">
        <v>0.82268091659863152</v>
      </c>
      <c r="E24" s="246"/>
      <c r="F24" s="244" t="s">
        <v>225</v>
      </c>
      <c r="G24" s="243" t="s">
        <v>225</v>
      </c>
      <c r="H24" s="246"/>
      <c r="I24" s="247"/>
      <c r="J24" s="244">
        <v>19487.940630797773</v>
      </c>
      <c r="K24" s="244">
        <v>0.96270654435064718</v>
      </c>
      <c r="L24" s="246"/>
      <c r="M24" s="244" t="s">
        <v>225</v>
      </c>
      <c r="N24" s="243" t="s">
        <v>225</v>
      </c>
    </row>
    <row r="25" spans="2:14" ht="13" x14ac:dyDescent="0.3">
      <c r="B25" s="30"/>
      <c r="C25" s="244">
        <f>IF('Kladd-plottedata'!B10="","",'Kladd-plottedata'!G10)</f>
        <v>17505</v>
      </c>
      <c r="D25" s="244">
        <v>0.79607347779885651</v>
      </c>
      <c r="E25" s="246"/>
      <c r="F25" s="244" t="s">
        <v>225</v>
      </c>
      <c r="G25" s="243" t="s">
        <v>225</v>
      </c>
      <c r="H25" s="246"/>
      <c r="I25" s="247"/>
      <c r="J25" s="244">
        <v>22733.766233766233</v>
      </c>
      <c r="K25" s="244">
        <v>0.94007073247429973</v>
      </c>
      <c r="L25" s="246"/>
      <c r="M25" s="244" t="s">
        <v>225</v>
      </c>
      <c r="N25" s="243" t="s">
        <v>225</v>
      </c>
    </row>
    <row r="26" spans="2:14" ht="13" x14ac:dyDescent="0.3">
      <c r="B26" s="30"/>
      <c r="C26" s="244">
        <f>IF('Kladd-plottedata'!B11="","",'Kladd-plottedata'!G11)</f>
        <v>20004.285714285714</v>
      </c>
      <c r="D26" s="244">
        <v>0.7829872709454514</v>
      </c>
      <c r="E26" s="246"/>
      <c r="F26" s="244" t="s">
        <v>225</v>
      </c>
      <c r="G26" s="243" t="s">
        <v>225</v>
      </c>
      <c r="H26" s="246"/>
      <c r="I26" s="247"/>
      <c r="J26" s="244">
        <v>25979.591836734693</v>
      </c>
      <c r="K26" s="244">
        <v>0.92901510561594525</v>
      </c>
      <c r="L26" s="246"/>
      <c r="M26" s="244" t="s">
        <v>225</v>
      </c>
      <c r="N26" s="243" t="s">
        <v>225</v>
      </c>
    </row>
    <row r="27" spans="2:14" ht="13" x14ac:dyDescent="0.3">
      <c r="B27" s="30"/>
      <c r="C27" s="244">
        <f>IF('Kladd-plottedata'!B12="","",'Kladd-plottedata'!G12)</f>
        <v>22503.571428571428</v>
      </c>
      <c r="D27" s="244">
        <v>0.7761173227225735</v>
      </c>
      <c r="E27" s="246"/>
      <c r="F27" s="244" t="s">
        <v>225</v>
      </c>
      <c r="G27" s="243" t="s">
        <v>225</v>
      </c>
      <c r="H27" s="246"/>
      <c r="I27" s="247"/>
      <c r="J27" s="244">
        <v>29225.417439703153</v>
      </c>
      <c r="K27" s="244">
        <v>0.92323241853287175</v>
      </c>
      <c r="L27" s="246"/>
      <c r="M27" s="244" t="s">
        <v>225</v>
      </c>
      <c r="N27" s="243" t="s">
        <v>225</v>
      </c>
    </row>
    <row r="28" spans="2:14" ht="13" x14ac:dyDescent="0.3">
      <c r="B28" s="30"/>
      <c r="C28" s="244">
        <f>IF('Kladd-plottedata'!B13="","",'Kladd-plottedata'!G13)</f>
        <v>25002.857142857141</v>
      </c>
      <c r="D28" s="244">
        <v>0.772391115094757</v>
      </c>
      <c r="E28" s="246"/>
      <c r="F28" s="244" t="s">
        <v>225</v>
      </c>
      <c r="G28" s="243" t="s">
        <v>225</v>
      </c>
      <c r="H28" s="246"/>
      <c r="I28" s="247"/>
      <c r="J28" s="244">
        <v>32471.243042671613</v>
      </c>
      <c r="K28" s="244">
        <v>0.92010218708430525</v>
      </c>
      <c r="L28" s="246"/>
      <c r="M28" s="244" t="s">
        <v>225</v>
      </c>
      <c r="N28" s="243" t="s">
        <v>225</v>
      </c>
    </row>
    <row r="29" spans="2:14" ht="13" x14ac:dyDescent="0.3">
      <c r="B29" s="30"/>
      <c r="C29" s="244">
        <f>IF('Kladd-plottedata'!B14="","",'Kladd-plottedata'!G14)</f>
        <v>27502.142857142855</v>
      </c>
      <c r="D29" s="244">
        <v>0.77040759526244984</v>
      </c>
      <c r="E29" s="246"/>
      <c r="F29" s="244" t="s">
        <v>225</v>
      </c>
      <c r="G29" s="243" t="s">
        <v>225</v>
      </c>
      <c r="H29" s="246"/>
      <c r="I29" s="247"/>
      <c r="J29" s="244">
        <v>35717.068645640073</v>
      </c>
      <c r="K29" s="244">
        <v>0.91843772942865909</v>
      </c>
      <c r="L29" s="246"/>
      <c r="M29" s="244" t="s">
        <v>225</v>
      </c>
      <c r="N29" s="243" t="s">
        <v>225</v>
      </c>
    </row>
    <row r="30" spans="2:14" ht="13" x14ac:dyDescent="0.3">
      <c r="B30" s="30"/>
      <c r="C30" s="244">
        <f>IF('Kladd-plottedata'!B15="","",'Kladd-plottedata'!G15)</f>
        <v>30001.428571428572</v>
      </c>
      <c r="D30" s="244">
        <v>0.76949043054969923</v>
      </c>
      <c r="E30" s="246"/>
      <c r="F30" s="244" t="s">
        <v>225</v>
      </c>
      <c r="G30" s="243" t="s">
        <v>225</v>
      </c>
      <c r="H30" s="246"/>
      <c r="I30" s="247"/>
      <c r="J30" s="244">
        <v>38962.894248608536</v>
      </c>
      <c r="K30" s="244">
        <v>0.91766852550774647</v>
      </c>
      <c r="L30" s="246"/>
      <c r="M30" s="244" t="s">
        <v>225</v>
      </c>
      <c r="N30" s="243" t="s">
        <v>225</v>
      </c>
    </row>
    <row r="31" spans="2:14" ht="13" x14ac:dyDescent="0.3">
      <c r="B31" s="30"/>
      <c r="C31" s="244">
        <f>IF('Kladd-plottedata'!B16="","",'Kladd-plottedata'!G16)</f>
        <v>32500.714285714286</v>
      </c>
      <c r="D31" s="244">
        <v>0.76929746257196918</v>
      </c>
      <c r="E31" s="246"/>
      <c r="F31" s="244" t="s">
        <v>225</v>
      </c>
      <c r="G31" s="243" t="s">
        <v>225</v>
      </c>
      <c r="H31" s="246"/>
      <c r="I31" s="247"/>
      <c r="J31" s="244">
        <v>42208.719851576992</v>
      </c>
      <c r="K31" s="244">
        <v>0.9175067225473994</v>
      </c>
      <c r="L31" s="246"/>
      <c r="M31" s="244" t="s">
        <v>225</v>
      </c>
      <c r="N31" s="243" t="s">
        <v>225</v>
      </c>
    </row>
    <row r="32" spans="2:14" ht="13" x14ac:dyDescent="0.3">
      <c r="B32" s="30"/>
      <c r="C32" s="244">
        <f>IF('Kladd-plottedata'!B17="","",'Kladd-plottedata'!G17)</f>
        <v>35000</v>
      </c>
      <c r="D32" s="244">
        <v>0.76965619839433574</v>
      </c>
      <c r="E32" s="246"/>
      <c r="F32" s="244" t="s">
        <v>225</v>
      </c>
      <c r="G32" s="243" t="s">
        <v>225</v>
      </c>
      <c r="H32" s="246"/>
      <c r="I32" s="247"/>
      <c r="J32" s="244">
        <v>45454.545454545456</v>
      </c>
      <c r="K32" s="244">
        <v>0.91780753087279743</v>
      </c>
      <c r="L32" s="246"/>
      <c r="M32" s="244" t="s">
        <v>225</v>
      </c>
      <c r="N32" s="243" t="s">
        <v>225</v>
      </c>
    </row>
    <row r="33" spans="2:14" ht="13" x14ac:dyDescent="0.3">
      <c r="B33" s="30"/>
      <c r="C33" s="244">
        <f>IF('Kladd-plottedata'!B18="","",'Kladd-plottedata'!G18)</f>
        <v>35000</v>
      </c>
      <c r="D33" s="244" t="s">
        <v>225</v>
      </c>
      <c r="E33" s="246"/>
      <c r="F33" s="244" t="s">
        <v>225</v>
      </c>
      <c r="G33" s="243" t="s">
        <v>225</v>
      </c>
      <c r="H33" s="246"/>
      <c r="I33" s="247"/>
      <c r="J33" s="244" t="s">
        <v>225</v>
      </c>
      <c r="K33" s="244" t="s">
        <v>225</v>
      </c>
      <c r="L33" s="246"/>
      <c r="M33" s="244" t="s">
        <v>225</v>
      </c>
      <c r="N33" s="243" t="s">
        <v>225</v>
      </c>
    </row>
    <row r="34" spans="2:14" ht="13" x14ac:dyDescent="0.3">
      <c r="B34" s="30"/>
      <c r="C34" s="244">
        <f>IF('Kladd-plottedata'!B19="","",'Kladd-plottedata'!G19)</f>
        <v>35000</v>
      </c>
      <c r="D34" s="244" t="s">
        <v>225</v>
      </c>
      <c r="E34" s="246"/>
      <c r="F34" s="244" t="s">
        <v>225</v>
      </c>
      <c r="G34" s="243" t="s">
        <v>225</v>
      </c>
      <c r="H34" s="246"/>
      <c r="I34" s="247"/>
      <c r="J34" s="244" t="s">
        <v>225</v>
      </c>
      <c r="K34" s="244" t="s">
        <v>225</v>
      </c>
      <c r="L34" s="246"/>
      <c r="M34" s="244" t="s">
        <v>225</v>
      </c>
      <c r="N34" s="243" t="s">
        <v>225</v>
      </c>
    </row>
    <row r="35" spans="2:14" ht="13" x14ac:dyDescent="0.3">
      <c r="B35" s="30"/>
      <c r="C35" s="244">
        <f>IF('Kladd-plottedata'!B20="","",'Kladd-plottedata'!G20)</f>
        <v>35000</v>
      </c>
      <c r="D35" s="244" t="s">
        <v>225</v>
      </c>
      <c r="E35" s="246"/>
      <c r="F35" s="244" t="s">
        <v>225</v>
      </c>
      <c r="G35" s="243" t="s">
        <v>225</v>
      </c>
      <c r="H35" s="246"/>
      <c r="I35" s="247"/>
      <c r="J35" s="244" t="s">
        <v>225</v>
      </c>
      <c r="K35" s="244" t="s">
        <v>225</v>
      </c>
      <c r="L35" s="246"/>
      <c r="M35" s="244" t="s">
        <v>225</v>
      </c>
      <c r="N35" s="243" t="s">
        <v>225</v>
      </c>
    </row>
    <row r="36" spans="2:14" ht="13" x14ac:dyDescent="0.3">
      <c r="B36" s="30"/>
      <c r="C36" s="244">
        <f>IF('Kladd-plottedata'!B21="","",'Kladd-plottedata'!G21)</f>
        <v>35000</v>
      </c>
      <c r="D36" s="244" t="s">
        <v>225</v>
      </c>
      <c r="E36" s="246"/>
      <c r="F36" s="244" t="s">
        <v>225</v>
      </c>
      <c r="G36" s="243" t="s">
        <v>225</v>
      </c>
      <c r="H36" s="246"/>
      <c r="I36" s="247"/>
      <c r="J36" s="244" t="s">
        <v>225</v>
      </c>
      <c r="K36" s="244" t="s">
        <v>225</v>
      </c>
      <c r="L36" s="246"/>
      <c r="M36" s="244" t="s">
        <v>225</v>
      </c>
      <c r="N36" s="243" t="s">
        <v>225</v>
      </c>
    </row>
    <row r="37" spans="2:14" ht="13" x14ac:dyDescent="0.3">
      <c r="B37" s="30"/>
      <c r="C37" s="244">
        <f>IF('Kladd-plottedata'!B22="","",'Kladd-plottedata'!G22)</f>
        <v>35000</v>
      </c>
      <c r="D37" s="244" t="s">
        <v>225</v>
      </c>
      <c r="E37" s="246"/>
      <c r="F37" s="244" t="s">
        <v>225</v>
      </c>
      <c r="G37" s="243" t="s">
        <v>225</v>
      </c>
      <c r="H37" s="246"/>
      <c r="I37" s="247"/>
      <c r="J37" s="244" t="s">
        <v>225</v>
      </c>
      <c r="K37" s="244" t="s">
        <v>225</v>
      </c>
      <c r="L37" s="246"/>
      <c r="M37" s="244" t="s">
        <v>225</v>
      </c>
      <c r="N37" s="243" t="s">
        <v>225</v>
      </c>
    </row>
    <row r="38" spans="2:14" ht="13" x14ac:dyDescent="0.3">
      <c r="B38" s="30"/>
      <c r="C38" s="244" t="s">
        <v>225</v>
      </c>
      <c r="D38" s="244" t="s">
        <v>225</v>
      </c>
      <c r="E38" s="246"/>
      <c r="F38" s="244" t="s">
        <v>225</v>
      </c>
      <c r="G38" s="243" t="s">
        <v>225</v>
      </c>
      <c r="H38" s="246"/>
      <c r="I38" s="247"/>
      <c r="J38" s="244" t="s">
        <v>225</v>
      </c>
      <c r="K38" s="244" t="s">
        <v>225</v>
      </c>
      <c r="L38" s="246"/>
      <c r="M38" s="244" t="s">
        <v>225</v>
      </c>
      <c r="N38" s="243" t="s">
        <v>225</v>
      </c>
    </row>
    <row r="39" spans="2:14" ht="13" x14ac:dyDescent="0.3">
      <c r="B39" s="30"/>
      <c r="C39" s="244" t="s">
        <v>225</v>
      </c>
      <c r="D39" s="244" t="s">
        <v>225</v>
      </c>
      <c r="E39" s="246"/>
      <c r="F39" s="244" t="s">
        <v>225</v>
      </c>
      <c r="G39" s="243" t="s">
        <v>225</v>
      </c>
      <c r="H39" s="246"/>
      <c r="I39" s="247"/>
      <c r="J39" s="244" t="s">
        <v>225</v>
      </c>
      <c r="K39" s="244" t="s">
        <v>225</v>
      </c>
      <c r="L39" s="246"/>
      <c r="M39" s="244" t="s">
        <v>225</v>
      </c>
      <c r="N39" s="243" t="s">
        <v>225</v>
      </c>
    </row>
    <row r="40" spans="2:14" ht="13" x14ac:dyDescent="0.3">
      <c r="B40" s="30"/>
      <c r="C40" s="244" t="s">
        <v>225</v>
      </c>
      <c r="D40" s="244" t="s">
        <v>225</v>
      </c>
      <c r="E40" s="246"/>
      <c r="F40" s="244" t="s">
        <v>225</v>
      </c>
      <c r="G40" s="243" t="s">
        <v>225</v>
      </c>
      <c r="H40" s="246"/>
      <c r="I40" s="247"/>
      <c r="J40" s="244" t="s">
        <v>225</v>
      </c>
      <c r="K40" s="244" t="s">
        <v>225</v>
      </c>
      <c r="L40" s="246"/>
      <c r="M40" s="244" t="s">
        <v>225</v>
      </c>
      <c r="N40" s="243" t="s">
        <v>225</v>
      </c>
    </row>
    <row r="41" spans="2:14" ht="13" x14ac:dyDescent="0.3">
      <c r="B41" s="30"/>
      <c r="C41" s="244" t="s">
        <v>225</v>
      </c>
      <c r="D41" s="244" t="s">
        <v>225</v>
      </c>
      <c r="E41" s="246"/>
      <c r="F41" s="244" t="s">
        <v>225</v>
      </c>
      <c r="G41" s="243" t="s">
        <v>225</v>
      </c>
      <c r="H41" s="246"/>
      <c r="I41" s="247"/>
      <c r="J41" s="244" t="s">
        <v>225</v>
      </c>
      <c r="K41" s="244" t="s">
        <v>225</v>
      </c>
      <c r="L41" s="246"/>
      <c r="M41" s="244" t="s">
        <v>225</v>
      </c>
      <c r="N41" s="243" t="s">
        <v>225</v>
      </c>
    </row>
    <row r="42" spans="2:14" ht="13" x14ac:dyDescent="0.3">
      <c r="B42" s="30"/>
      <c r="C42" s="244" t="s">
        <v>225</v>
      </c>
      <c r="D42" s="244" t="s">
        <v>225</v>
      </c>
      <c r="E42" s="246"/>
      <c r="F42" s="244" t="s">
        <v>225</v>
      </c>
      <c r="G42" s="243" t="s">
        <v>225</v>
      </c>
      <c r="H42" s="246"/>
      <c r="I42" s="247"/>
      <c r="J42" s="244" t="s">
        <v>225</v>
      </c>
      <c r="K42" s="244" t="s">
        <v>225</v>
      </c>
      <c r="L42" s="246"/>
      <c r="M42" s="244" t="s">
        <v>225</v>
      </c>
      <c r="N42" s="243" t="s">
        <v>225</v>
      </c>
    </row>
    <row r="43" spans="2:14" ht="13" x14ac:dyDescent="0.3">
      <c r="B43" s="30"/>
      <c r="C43" s="244" t="s">
        <v>225</v>
      </c>
      <c r="D43" s="244" t="s">
        <v>225</v>
      </c>
      <c r="E43" s="246"/>
      <c r="F43" s="244" t="s">
        <v>225</v>
      </c>
      <c r="G43" s="243" t="s">
        <v>225</v>
      </c>
      <c r="H43" s="246"/>
      <c r="I43" s="247"/>
      <c r="J43" s="244" t="s">
        <v>225</v>
      </c>
      <c r="K43" s="244" t="s">
        <v>225</v>
      </c>
      <c r="L43" s="246"/>
      <c r="M43" s="244" t="s">
        <v>225</v>
      </c>
      <c r="N43" s="243" t="s">
        <v>225</v>
      </c>
    </row>
    <row r="44" spans="2:14" ht="13" x14ac:dyDescent="0.3">
      <c r="B44" s="30"/>
      <c r="C44" s="244" t="s">
        <v>225</v>
      </c>
      <c r="D44" s="244" t="s">
        <v>225</v>
      </c>
      <c r="E44" s="246"/>
      <c r="F44" s="244" t="s">
        <v>225</v>
      </c>
      <c r="G44" s="243" t="s">
        <v>225</v>
      </c>
      <c r="H44" s="246"/>
      <c r="I44" s="247"/>
      <c r="J44" s="244" t="s">
        <v>225</v>
      </c>
      <c r="K44" s="244" t="s">
        <v>225</v>
      </c>
      <c r="L44" s="246"/>
      <c r="M44" s="244" t="s">
        <v>225</v>
      </c>
      <c r="N44" s="243" t="s">
        <v>225</v>
      </c>
    </row>
    <row r="45" spans="2:14" ht="13" x14ac:dyDescent="0.3">
      <c r="B45" s="30"/>
      <c r="C45" s="244" t="s">
        <v>225</v>
      </c>
      <c r="D45" s="244" t="s">
        <v>225</v>
      </c>
      <c r="E45" s="246"/>
      <c r="F45" s="244" t="s">
        <v>225</v>
      </c>
      <c r="G45" s="243" t="s">
        <v>225</v>
      </c>
      <c r="H45" s="246"/>
      <c r="I45" s="247"/>
      <c r="J45" s="244" t="s">
        <v>225</v>
      </c>
      <c r="K45" s="244" t="s">
        <v>225</v>
      </c>
      <c r="L45" s="246"/>
      <c r="M45" s="244" t="s">
        <v>225</v>
      </c>
      <c r="N45" s="243" t="s">
        <v>225</v>
      </c>
    </row>
    <row r="46" spans="2:14" ht="13" x14ac:dyDescent="0.3">
      <c r="B46" s="30"/>
      <c r="C46" s="244" t="s">
        <v>225</v>
      </c>
      <c r="D46" s="244" t="s">
        <v>225</v>
      </c>
      <c r="E46" s="246"/>
      <c r="F46" s="244" t="s">
        <v>225</v>
      </c>
      <c r="G46" s="243" t="s">
        <v>225</v>
      </c>
      <c r="H46" s="246"/>
      <c r="I46" s="247"/>
      <c r="J46" s="244" t="s">
        <v>225</v>
      </c>
      <c r="K46" s="244" t="s">
        <v>225</v>
      </c>
      <c r="L46" s="246"/>
      <c r="M46" s="244" t="s">
        <v>225</v>
      </c>
      <c r="N46" s="243" t="s">
        <v>225</v>
      </c>
    </row>
    <row r="47" spans="2:14" ht="13" x14ac:dyDescent="0.3">
      <c r="B47" s="30"/>
      <c r="C47" s="244" t="s">
        <v>225</v>
      </c>
      <c r="D47" s="244" t="s">
        <v>225</v>
      </c>
      <c r="E47" s="246"/>
      <c r="F47" s="244" t="s">
        <v>225</v>
      </c>
      <c r="G47" s="243" t="s">
        <v>225</v>
      </c>
      <c r="H47" s="246"/>
      <c r="I47" s="247"/>
      <c r="J47" s="244" t="s">
        <v>225</v>
      </c>
      <c r="K47" s="244" t="s">
        <v>225</v>
      </c>
      <c r="L47" s="246"/>
      <c r="M47" s="244" t="s">
        <v>225</v>
      </c>
      <c r="N47" s="243" t="s">
        <v>225</v>
      </c>
    </row>
    <row r="48" spans="2:14" ht="13" x14ac:dyDescent="0.3">
      <c r="B48" s="30"/>
      <c r="C48" s="244" t="s">
        <v>225</v>
      </c>
      <c r="D48" s="244" t="s">
        <v>225</v>
      </c>
      <c r="E48" s="246"/>
      <c r="F48" s="244" t="s">
        <v>225</v>
      </c>
      <c r="G48" s="243" t="s">
        <v>225</v>
      </c>
      <c r="H48" s="246"/>
      <c r="I48" s="247"/>
      <c r="J48" s="244" t="s">
        <v>225</v>
      </c>
      <c r="K48" s="244" t="s">
        <v>225</v>
      </c>
      <c r="L48" s="246"/>
      <c r="M48" s="244" t="s">
        <v>225</v>
      </c>
      <c r="N48" s="243" t="s">
        <v>225</v>
      </c>
    </row>
    <row r="49" spans="2:14" ht="13" x14ac:dyDescent="0.3">
      <c r="B49" s="30"/>
      <c r="C49" s="244" t="s">
        <v>225</v>
      </c>
      <c r="D49" s="244" t="s">
        <v>225</v>
      </c>
      <c r="E49" s="246"/>
      <c r="F49" s="244" t="s">
        <v>225</v>
      </c>
      <c r="G49" s="243" t="s">
        <v>225</v>
      </c>
      <c r="H49" s="246"/>
      <c r="I49" s="247"/>
      <c r="J49" s="244" t="s">
        <v>225</v>
      </c>
      <c r="K49" s="244" t="s">
        <v>225</v>
      </c>
      <c r="L49" s="246"/>
      <c r="M49" s="244" t="s">
        <v>225</v>
      </c>
      <c r="N49" s="243" t="s">
        <v>225</v>
      </c>
    </row>
    <row r="50" spans="2:14" ht="13" x14ac:dyDescent="0.3">
      <c r="B50" s="30"/>
      <c r="C50" s="244" t="s">
        <v>225</v>
      </c>
      <c r="D50" s="244" t="s">
        <v>225</v>
      </c>
      <c r="E50" s="246"/>
      <c r="F50" s="244" t="s">
        <v>225</v>
      </c>
      <c r="G50" s="243" t="s">
        <v>225</v>
      </c>
      <c r="H50" s="246"/>
      <c r="I50" s="247"/>
      <c r="J50" s="244" t="s">
        <v>225</v>
      </c>
      <c r="K50" s="244" t="s">
        <v>225</v>
      </c>
      <c r="L50" s="246"/>
      <c r="M50" s="244" t="s">
        <v>225</v>
      </c>
      <c r="N50" s="243" t="s">
        <v>225</v>
      </c>
    </row>
    <row r="51" spans="2:14" ht="13" x14ac:dyDescent="0.3">
      <c r="B51" s="30"/>
      <c r="C51" s="244" t="s">
        <v>225</v>
      </c>
      <c r="D51" s="244" t="s">
        <v>225</v>
      </c>
      <c r="E51" s="246"/>
      <c r="F51" s="244" t="s">
        <v>225</v>
      </c>
      <c r="G51" s="243" t="s">
        <v>225</v>
      </c>
      <c r="H51" s="246"/>
      <c r="I51" s="247"/>
      <c r="J51" s="244" t="s">
        <v>225</v>
      </c>
      <c r="K51" s="244" t="s">
        <v>225</v>
      </c>
      <c r="L51" s="246"/>
      <c r="M51" s="244" t="s">
        <v>225</v>
      </c>
      <c r="N51" s="243" t="s">
        <v>225</v>
      </c>
    </row>
    <row r="52" spans="2:14" ht="13" x14ac:dyDescent="0.3">
      <c r="B52" s="30"/>
      <c r="C52" s="244" t="s">
        <v>225</v>
      </c>
      <c r="D52" s="244" t="s">
        <v>225</v>
      </c>
      <c r="E52" s="246"/>
      <c r="F52" s="244" t="s">
        <v>225</v>
      </c>
      <c r="G52" s="243" t="s">
        <v>225</v>
      </c>
      <c r="H52" s="246"/>
      <c r="I52" s="247"/>
      <c r="J52" s="244" t="s">
        <v>225</v>
      </c>
      <c r="K52" s="244" t="s">
        <v>225</v>
      </c>
      <c r="L52" s="246"/>
      <c r="M52" s="244" t="s">
        <v>225</v>
      </c>
      <c r="N52" s="243" t="s">
        <v>225</v>
      </c>
    </row>
    <row r="53" spans="2:14" ht="13" x14ac:dyDescent="0.3">
      <c r="B53" s="30"/>
      <c r="C53" s="244" t="s">
        <v>225</v>
      </c>
      <c r="D53" s="244" t="s">
        <v>225</v>
      </c>
      <c r="E53" s="246"/>
      <c r="F53" s="244" t="s">
        <v>225</v>
      </c>
      <c r="G53" s="243" t="s">
        <v>225</v>
      </c>
      <c r="H53" s="246"/>
      <c r="I53" s="247"/>
      <c r="J53" s="244" t="s">
        <v>225</v>
      </c>
      <c r="K53" s="244" t="s">
        <v>225</v>
      </c>
      <c r="L53" s="246"/>
      <c r="M53" s="244" t="s">
        <v>225</v>
      </c>
      <c r="N53" s="243" t="s">
        <v>225</v>
      </c>
    </row>
    <row r="54" spans="2:14" ht="13" x14ac:dyDescent="0.3">
      <c r="B54" s="30"/>
      <c r="C54" s="244" t="s">
        <v>225</v>
      </c>
      <c r="D54" s="244" t="s">
        <v>225</v>
      </c>
      <c r="E54" s="246"/>
      <c r="F54" s="244" t="s">
        <v>225</v>
      </c>
      <c r="G54" s="243" t="s">
        <v>225</v>
      </c>
      <c r="H54" s="246"/>
      <c r="I54" s="247"/>
      <c r="J54" s="244" t="s">
        <v>225</v>
      </c>
      <c r="K54" s="244" t="s">
        <v>225</v>
      </c>
      <c r="L54" s="246"/>
      <c r="M54" s="244" t="s">
        <v>225</v>
      </c>
      <c r="N54" s="243" t="s">
        <v>225</v>
      </c>
    </row>
    <row r="55" spans="2:14" ht="13" x14ac:dyDescent="0.3">
      <c r="B55" s="30"/>
      <c r="C55" s="244" t="s">
        <v>225</v>
      </c>
      <c r="D55" s="244" t="s">
        <v>225</v>
      </c>
      <c r="E55" s="246"/>
      <c r="F55" s="244" t="s">
        <v>225</v>
      </c>
      <c r="G55" s="243" t="s">
        <v>225</v>
      </c>
      <c r="H55" s="246"/>
      <c r="I55" s="247"/>
      <c r="J55" s="244" t="s">
        <v>225</v>
      </c>
      <c r="K55" s="244" t="s">
        <v>225</v>
      </c>
      <c r="L55" s="246"/>
      <c r="M55" s="244" t="s">
        <v>225</v>
      </c>
      <c r="N55" s="243" t="s">
        <v>225</v>
      </c>
    </row>
    <row r="56" spans="2:14" ht="13" x14ac:dyDescent="0.3">
      <c r="B56" s="30"/>
      <c r="C56" s="244" t="s">
        <v>225</v>
      </c>
      <c r="D56" s="244" t="s">
        <v>225</v>
      </c>
      <c r="E56" s="246"/>
      <c r="F56" s="244" t="s">
        <v>225</v>
      </c>
      <c r="G56" s="243" t="s">
        <v>225</v>
      </c>
      <c r="H56" s="246"/>
      <c r="I56" s="247"/>
      <c r="J56" s="244" t="s">
        <v>225</v>
      </c>
      <c r="K56" s="244" t="s">
        <v>225</v>
      </c>
      <c r="L56" s="246"/>
      <c r="M56" s="244" t="s">
        <v>225</v>
      </c>
      <c r="N56" s="243" t="s">
        <v>225</v>
      </c>
    </row>
    <row r="57" spans="2:14" ht="13" x14ac:dyDescent="0.3">
      <c r="B57" s="30"/>
      <c r="C57" s="244" t="s">
        <v>225</v>
      </c>
      <c r="D57" s="244" t="s">
        <v>225</v>
      </c>
      <c r="E57" s="246"/>
      <c r="F57" s="244" t="s">
        <v>225</v>
      </c>
      <c r="G57" s="243" t="s">
        <v>225</v>
      </c>
      <c r="H57" s="246"/>
      <c r="I57" s="247"/>
      <c r="J57" s="244" t="s">
        <v>225</v>
      </c>
      <c r="K57" s="244" t="s">
        <v>225</v>
      </c>
      <c r="L57" s="246"/>
      <c r="M57" s="244" t="s">
        <v>225</v>
      </c>
      <c r="N57" s="243" t="s">
        <v>225</v>
      </c>
    </row>
    <row r="58" spans="2:14" ht="13" x14ac:dyDescent="0.3">
      <c r="B58" s="30"/>
      <c r="C58" s="244" t="s">
        <v>225</v>
      </c>
      <c r="D58" s="244" t="s">
        <v>225</v>
      </c>
      <c r="E58" s="246"/>
      <c r="F58" s="244" t="s">
        <v>225</v>
      </c>
      <c r="G58" s="243" t="s">
        <v>225</v>
      </c>
      <c r="H58" s="246"/>
      <c r="I58" s="247"/>
      <c r="J58" s="244" t="s">
        <v>225</v>
      </c>
      <c r="K58" s="244" t="s">
        <v>225</v>
      </c>
      <c r="L58" s="246"/>
      <c r="M58" s="244" t="s">
        <v>225</v>
      </c>
      <c r="N58" s="243" t="s">
        <v>225</v>
      </c>
    </row>
    <row r="59" spans="2:14" ht="13" x14ac:dyDescent="0.3">
      <c r="B59" s="30"/>
      <c r="C59" s="244" t="s">
        <v>225</v>
      </c>
      <c r="D59" s="244" t="s">
        <v>225</v>
      </c>
      <c r="E59" s="246"/>
      <c r="F59" s="244" t="s">
        <v>225</v>
      </c>
      <c r="G59" s="243" t="s">
        <v>225</v>
      </c>
      <c r="H59" s="246"/>
      <c r="I59" s="247"/>
      <c r="J59" s="244" t="s">
        <v>225</v>
      </c>
      <c r="K59" s="244" t="s">
        <v>225</v>
      </c>
      <c r="L59" s="246"/>
      <c r="M59" s="244" t="s">
        <v>225</v>
      </c>
      <c r="N59" s="243" t="s">
        <v>225</v>
      </c>
    </row>
    <row r="60" spans="2:14" ht="13" x14ac:dyDescent="0.3">
      <c r="B60" s="30"/>
      <c r="C60" s="244" t="s">
        <v>225</v>
      </c>
      <c r="D60" s="244" t="s">
        <v>225</v>
      </c>
      <c r="E60" s="246"/>
      <c r="F60" s="244" t="s">
        <v>225</v>
      </c>
      <c r="G60" s="243" t="s">
        <v>225</v>
      </c>
      <c r="H60" s="246"/>
      <c r="I60" s="247"/>
      <c r="J60" s="244" t="s">
        <v>225</v>
      </c>
      <c r="K60" s="244" t="s">
        <v>225</v>
      </c>
      <c r="L60" s="246"/>
      <c r="M60" s="244" t="s">
        <v>225</v>
      </c>
      <c r="N60" s="243" t="s">
        <v>225</v>
      </c>
    </row>
    <row r="61" spans="2:14" ht="13" x14ac:dyDescent="0.3">
      <c r="B61" s="30"/>
      <c r="C61" s="244" t="s">
        <v>225</v>
      </c>
      <c r="D61" s="244" t="s">
        <v>225</v>
      </c>
      <c r="E61" s="246"/>
      <c r="F61" s="244" t="s">
        <v>225</v>
      </c>
      <c r="G61" s="243" t="s">
        <v>225</v>
      </c>
      <c r="H61" s="246"/>
      <c r="I61" s="247"/>
      <c r="J61" s="244" t="s">
        <v>225</v>
      </c>
      <c r="K61" s="244" t="s">
        <v>225</v>
      </c>
      <c r="L61" s="246"/>
      <c r="M61" s="244" t="s">
        <v>225</v>
      </c>
      <c r="N61" s="243" t="s">
        <v>225</v>
      </c>
    </row>
    <row r="62" spans="2:14" ht="13" x14ac:dyDescent="0.3">
      <c r="B62" s="30"/>
      <c r="C62" s="244" t="s">
        <v>225</v>
      </c>
      <c r="D62" s="244" t="s">
        <v>225</v>
      </c>
      <c r="E62" s="246"/>
      <c r="F62" s="244" t="s">
        <v>225</v>
      </c>
      <c r="G62" s="243" t="s">
        <v>225</v>
      </c>
      <c r="H62" s="246"/>
      <c r="I62" s="247"/>
      <c r="J62" s="244" t="s">
        <v>225</v>
      </c>
      <c r="K62" s="244" t="s">
        <v>225</v>
      </c>
      <c r="L62" s="246"/>
      <c r="M62" s="244" t="s">
        <v>225</v>
      </c>
      <c r="N62" s="243" t="s">
        <v>225</v>
      </c>
    </row>
    <row r="63" spans="2:14" x14ac:dyDescent="0.25">
      <c r="B63" s="33"/>
      <c r="C63" s="248"/>
      <c r="D63" s="248"/>
      <c r="E63" s="248"/>
      <c r="F63" s="248"/>
      <c r="G63" s="249"/>
      <c r="H63" s="246"/>
      <c r="I63" s="250"/>
      <c r="J63" s="251" t="s">
        <v>225</v>
      </c>
      <c r="K63" s="251" t="s">
        <v>225</v>
      </c>
      <c r="L63" s="248"/>
      <c r="M63" s="251" t="s">
        <v>225</v>
      </c>
      <c r="N63" s="252" t="s">
        <v>225</v>
      </c>
    </row>
  </sheetData>
  <mergeCells count="2">
    <mergeCell ref="C17:D17"/>
    <mergeCell ref="J17:K17"/>
  </mergeCells>
  <phoneticPr fontId="14" type="noConversion"/>
  <pageMargins left="0.75" right="0.75" top="1" bottom="1" header="0.5" footer="0.5"/>
  <pageSetup paperSize="9" scale="49" orientation="portrait" r:id="rId1"/>
  <headerFooter alignWithMargins="0">
    <oddFooter>&amp;COutput from program "EMU - Orifice  Fiscal Gas Metering Station", Version 2.0. 
Ref. "Handbook of uncertainty calculations - Fiscal Orifice Gas and Turbine Oil metering stations", December 2002.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B6ABC-DE56-42B8-B4D6-C4C59BE903B7}">
  <sheetPr codeName="Planilha2"/>
  <dimension ref="A1:N43"/>
  <sheetViews>
    <sheetView topLeftCell="A9" workbookViewId="0">
      <selection activeCell="F19" sqref="F19"/>
    </sheetView>
  </sheetViews>
  <sheetFormatPr defaultRowHeight="12.5" x14ac:dyDescent="0.25"/>
  <cols>
    <col min="1" max="1" width="9.1796875" style="308" customWidth="1"/>
    <col min="2" max="2" width="15" style="308" customWidth="1"/>
    <col min="3" max="3" width="19.453125" style="308" bestFit="1" customWidth="1"/>
    <col min="4" max="4" width="22.54296875" style="308" bestFit="1" customWidth="1"/>
    <col min="5" max="5" width="16.453125" customWidth="1"/>
    <col min="6" max="6" width="23.453125" customWidth="1"/>
    <col min="7" max="7" width="11" customWidth="1"/>
  </cols>
  <sheetData>
    <row r="1" spans="1:14" ht="13" thickBot="1" x14ac:dyDescent="0.3">
      <c r="A1" s="308" t="s">
        <v>261</v>
      </c>
      <c r="C1" s="316" t="s">
        <v>266</v>
      </c>
      <c r="D1" s="316" t="s">
        <v>265</v>
      </c>
      <c r="E1" s="320" t="s">
        <v>294</v>
      </c>
      <c r="N1" s="304" t="s">
        <v>268</v>
      </c>
    </row>
    <row r="2" spans="1:14" ht="13" thickBot="1" x14ac:dyDescent="0.3">
      <c r="A2" s="308">
        <v>1</v>
      </c>
      <c r="B2" s="308" t="s">
        <v>262</v>
      </c>
      <c r="C2" s="309">
        <v>1.0108315826631156</v>
      </c>
      <c r="D2" s="309">
        <v>10555.471217590015</v>
      </c>
      <c r="E2" s="317">
        <f>rDPmax</f>
        <v>60</v>
      </c>
      <c r="F2" s="314" t="s">
        <v>263</v>
      </c>
      <c r="G2" s="321">
        <v>2</v>
      </c>
      <c r="J2">
        <f t="shared" ref="J2:J41" si="0">rMaxUnc</f>
        <v>2</v>
      </c>
      <c r="N2">
        <f>$D2/'Gas parameters'!$O$14</f>
        <v>13914.409725270254</v>
      </c>
    </row>
    <row r="3" spans="1:14" ht="13" thickBot="1" x14ac:dyDescent="0.3">
      <c r="A3" s="308">
        <v>2</v>
      </c>
      <c r="B3" s="322">
        <v>0.02</v>
      </c>
      <c r="C3" s="310">
        <v>1.0108724572481171</v>
      </c>
      <c r="D3" s="310">
        <v>10452.519399490355</v>
      </c>
      <c r="E3" s="318">
        <f t="shared" ref="E3:E22" si="1">$B3*($E$41-$E$2)+$E$2</f>
        <v>58.833136443283045</v>
      </c>
      <c r="F3" s="315" t="s">
        <v>264</v>
      </c>
      <c r="G3" s="313"/>
      <c r="J3">
        <f t="shared" si="0"/>
        <v>2</v>
      </c>
      <c r="N3">
        <f>$D3/'Gas parameters'!$O$14</f>
        <v>13778.696809241173</v>
      </c>
    </row>
    <row r="4" spans="1:14" ht="13" thickBot="1" x14ac:dyDescent="0.3">
      <c r="A4" s="308">
        <v>3</v>
      </c>
      <c r="B4" s="322">
        <v>0.04</v>
      </c>
      <c r="C4" s="310">
        <v>1.0109160756394735</v>
      </c>
      <c r="D4" s="310">
        <v>10348.555750181271</v>
      </c>
      <c r="E4" s="318">
        <f t="shared" si="1"/>
        <v>57.666272886566091</v>
      </c>
      <c r="F4" s="315" t="s">
        <v>295</v>
      </c>
      <c r="G4" s="312">
        <f>Report!C21</f>
        <v>60</v>
      </c>
      <c r="H4" s="304" t="s">
        <v>244</v>
      </c>
      <c r="J4">
        <f t="shared" si="0"/>
        <v>2</v>
      </c>
      <c r="N4">
        <f>$D4/'Gas parameters'!$O$14</f>
        <v>13641.650079332019</v>
      </c>
    </row>
    <row r="5" spans="1:14" ht="13" thickBot="1" x14ac:dyDescent="0.3">
      <c r="A5" s="308">
        <v>4</v>
      </c>
      <c r="B5" s="322">
        <v>0.06</v>
      </c>
      <c r="C5" s="310">
        <v>1.010962672585336</v>
      </c>
      <c r="D5" s="310">
        <v>10243.530741321783</v>
      </c>
      <c r="E5" s="318">
        <f t="shared" si="1"/>
        <v>56.499409329849136</v>
      </c>
      <c r="J5">
        <f t="shared" si="0"/>
        <v>2</v>
      </c>
      <c r="N5">
        <f>$D5/'Gas parameters'!$O$14</f>
        <v>13503.204246403615</v>
      </c>
    </row>
    <row r="6" spans="1:14" ht="13" thickBot="1" x14ac:dyDescent="0.3">
      <c r="A6" s="308">
        <v>5</v>
      </c>
      <c r="B6" s="322">
        <v>0.08</v>
      </c>
      <c r="C6" s="310">
        <v>1.0110125001751178</v>
      </c>
      <c r="D6" s="310">
        <v>10137.411299497817</v>
      </c>
      <c r="E6" s="318">
        <f t="shared" si="1"/>
        <v>55.332545773132182</v>
      </c>
      <c r="F6" s="315" t="s">
        <v>267</v>
      </c>
      <c r="G6" s="312">
        <v>1.656822164152292</v>
      </c>
      <c r="H6" s="304" t="s">
        <v>244</v>
      </c>
      <c r="J6">
        <f t="shared" si="0"/>
        <v>2</v>
      </c>
      <c r="N6">
        <f>$D6/'Gas parameters'!$O$14</f>
        <v>13363.315712493826</v>
      </c>
    </row>
    <row r="7" spans="1:14" x14ac:dyDescent="0.25">
      <c r="A7" s="308">
        <v>6</v>
      </c>
      <c r="B7" s="322">
        <v>0.15</v>
      </c>
      <c r="C7" s="310">
        <v>1.0112166613038749</v>
      </c>
      <c r="D7" s="310">
        <v>9756.865262371588</v>
      </c>
      <c r="E7" s="318">
        <f t="shared" si="1"/>
        <v>51.248523324622845</v>
      </c>
      <c r="G7">
        <v>1</v>
      </c>
      <c r="J7">
        <f t="shared" si="0"/>
        <v>2</v>
      </c>
      <c r="N7">
        <f>$D7/'Gas parameters'!$O$14</f>
        <v>12861.67316421248</v>
      </c>
    </row>
    <row r="8" spans="1:14" x14ac:dyDescent="0.25">
      <c r="A8" s="308">
        <v>7</v>
      </c>
      <c r="B8" s="322">
        <v>0.2</v>
      </c>
      <c r="C8" s="310">
        <v>1.0113974599059166</v>
      </c>
      <c r="D8" s="310">
        <v>9475.5463691696204</v>
      </c>
      <c r="E8" s="318">
        <f t="shared" si="1"/>
        <v>48.331364432830455</v>
      </c>
      <c r="J8">
        <f t="shared" si="0"/>
        <v>2</v>
      </c>
      <c r="N8">
        <f>$D8/'Gas parameters'!$O$14</f>
        <v>12490.833600276324</v>
      </c>
    </row>
    <row r="9" spans="1:14" x14ac:dyDescent="0.25">
      <c r="A9" s="308">
        <v>8</v>
      </c>
      <c r="B9" s="322">
        <v>0.25</v>
      </c>
      <c r="C9" s="310">
        <v>1.0116160469496569</v>
      </c>
      <c r="D9" s="310">
        <v>9185.6254378391659</v>
      </c>
      <c r="E9" s="318">
        <f t="shared" si="1"/>
        <v>45.414205541038072</v>
      </c>
      <c r="J9">
        <f t="shared" si="0"/>
        <v>2</v>
      </c>
      <c r="N9">
        <f>$D9/'Gas parameters'!$O$14</f>
        <v>12108.654676824632</v>
      </c>
    </row>
    <row r="10" spans="1:14" x14ac:dyDescent="0.25">
      <c r="A10" s="308">
        <v>9</v>
      </c>
      <c r="B10" s="322">
        <v>0.3</v>
      </c>
      <c r="C10" s="310">
        <v>1.0118831619346422</v>
      </c>
      <c r="D10" s="310">
        <v>8886.2008542134827</v>
      </c>
      <c r="E10" s="318">
        <f t="shared" si="1"/>
        <v>42.497046649245689</v>
      </c>
      <c r="J10">
        <f t="shared" si="0"/>
        <v>2</v>
      </c>
      <c r="N10">
        <f>$D10/'Gas parameters'!$O$14</f>
        <v>11713.9478700415</v>
      </c>
    </row>
    <row r="11" spans="1:14" x14ac:dyDescent="0.25">
      <c r="A11" s="308">
        <v>10</v>
      </c>
      <c r="B11" s="322">
        <v>0.35</v>
      </c>
      <c r="C11" s="310">
        <v>1.0122136002141884</v>
      </c>
      <c r="D11" s="310">
        <v>8576.2768878240513</v>
      </c>
      <c r="E11" s="318">
        <f t="shared" si="1"/>
        <v>39.579887757453307</v>
      </c>
      <c r="J11">
        <f t="shared" si="0"/>
        <v>2</v>
      </c>
      <c r="N11">
        <f>$D11/'Gas parameters'!$O$14</f>
        <v>11305.400590329622</v>
      </c>
    </row>
    <row r="12" spans="1:14" x14ac:dyDescent="0.25">
      <c r="A12" s="308">
        <v>11</v>
      </c>
      <c r="B12" s="322">
        <v>0.4</v>
      </c>
      <c r="C12" s="310">
        <v>1.0126282673426139</v>
      </c>
      <c r="D12" s="310">
        <v>8254.6706863148429</v>
      </c>
      <c r="E12" s="318">
        <f t="shared" si="1"/>
        <v>36.662728865660917</v>
      </c>
      <c r="J12">
        <f t="shared" si="0"/>
        <v>2</v>
      </c>
      <c r="N12">
        <f>$D12/'Gas parameters'!$O$14</f>
        <v>10881.453580694493</v>
      </c>
    </row>
    <row r="13" spans="1:14" x14ac:dyDescent="0.25">
      <c r="A13" s="308">
        <v>12</v>
      </c>
      <c r="B13" s="322">
        <v>0.45</v>
      </c>
      <c r="C13" s="310">
        <v>1.0131574706970876</v>
      </c>
      <c r="D13" s="310">
        <v>7919.958995374699</v>
      </c>
      <c r="E13" s="318">
        <f t="shared" si="1"/>
        <v>33.745569973868534</v>
      </c>
      <c r="J13">
        <f t="shared" si="0"/>
        <v>2</v>
      </c>
      <c r="N13">
        <f>$D13/'Gas parameters'!$O$14</f>
        <v>10440.230682012521</v>
      </c>
    </row>
    <row r="14" spans="1:14" x14ac:dyDescent="0.25">
      <c r="A14" s="308">
        <v>13</v>
      </c>
      <c r="B14" s="322">
        <v>0.5</v>
      </c>
      <c r="C14" s="310">
        <v>1.0138464786322141</v>
      </c>
      <c r="D14" s="310">
        <v>7570.4036826813344</v>
      </c>
      <c r="E14" s="318">
        <f t="shared" si="1"/>
        <v>30.828411082076148</v>
      </c>
      <c r="J14">
        <f t="shared" si="0"/>
        <v>2</v>
      </c>
      <c r="N14">
        <f>$D14/'Gas parameters'!$O$14</f>
        <v>9979.4406573705965</v>
      </c>
    </row>
    <row r="15" spans="1:14" x14ac:dyDescent="0.25">
      <c r="A15" s="308">
        <v>14</v>
      </c>
      <c r="B15" s="322">
        <v>0.55000000000000004</v>
      </c>
      <c r="C15" s="310">
        <v>1.014765722996084</v>
      </c>
      <c r="D15" s="310">
        <v>7203.7035736278676</v>
      </c>
      <c r="E15" s="318">
        <f t="shared" si="1"/>
        <v>27.911252190283761</v>
      </c>
      <c r="J15">
        <f t="shared" si="0"/>
        <v>2</v>
      </c>
      <c r="N15">
        <f>$D15/'Gas parameters'!$O$14</f>
        <v>9496.0500575110291</v>
      </c>
    </row>
    <row r="16" spans="1:14" x14ac:dyDescent="0.25">
      <c r="A16" s="308">
        <v>15</v>
      </c>
      <c r="B16" s="322">
        <v>0.6</v>
      </c>
      <c r="C16" s="310">
        <v>1.0160277036424716</v>
      </c>
      <c r="D16" s="310">
        <v>6817.3491192991032</v>
      </c>
      <c r="E16" s="318">
        <f t="shared" si="1"/>
        <v>24.994093298491379</v>
      </c>
      <c r="J16">
        <f t="shared" si="0"/>
        <v>2</v>
      </c>
      <c r="N16">
        <f>$D16/'Gas parameters'!$O$14</f>
        <v>8986.7507504601926</v>
      </c>
    </row>
    <row r="17" spans="1:14" x14ac:dyDescent="0.25">
      <c r="A17" s="308">
        <v>16</v>
      </c>
      <c r="B17" s="322">
        <v>0.65</v>
      </c>
      <c r="C17" s="310">
        <v>1.0178246472160712</v>
      </c>
      <c r="D17" s="310">
        <v>6407.6576698998588</v>
      </c>
      <c r="E17" s="318">
        <f t="shared" si="1"/>
        <v>22.076934406698989</v>
      </c>
      <c r="J17">
        <f t="shared" si="0"/>
        <v>2</v>
      </c>
      <c r="N17">
        <f>$D17/'Gas parameters'!$O$14</f>
        <v>8446.6882018189535</v>
      </c>
    </row>
    <row r="18" spans="1:14" x14ac:dyDescent="0.25">
      <c r="A18" s="308">
        <v>17</v>
      </c>
      <c r="B18" s="322">
        <v>0.7</v>
      </c>
      <c r="C18" s="310">
        <v>1.0205039652548373</v>
      </c>
      <c r="D18" s="310">
        <v>5969.8221000837329</v>
      </c>
      <c r="E18" s="318">
        <f t="shared" si="1"/>
        <v>19.159775514906606</v>
      </c>
      <c r="J18">
        <f t="shared" si="0"/>
        <v>2</v>
      </c>
      <c r="N18">
        <f>$D18/'Gas parameters'!$O$14</f>
        <v>7869.5255735351075</v>
      </c>
    </row>
    <row r="19" spans="1:14" x14ac:dyDescent="0.25">
      <c r="A19" s="308">
        <v>18</v>
      </c>
      <c r="B19" s="322">
        <v>0.75</v>
      </c>
      <c r="C19" s="310">
        <v>1.0247474786072865</v>
      </c>
      <c r="D19" s="310">
        <v>5497.1152489954075</v>
      </c>
      <c r="E19" s="318">
        <f t="shared" si="1"/>
        <v>16.242616623114223</v>
      </c>
      <c r="J19">
        <f t="shared" si="0"/>
        <v>2</v>
      </c>
      <c r="N19">
        <f>$D19/'Gas parameters'!$O$14</f>
        <v>7246.395002630381</v>
      </c>
    </row>
    <row r="20" spans="1:14" x14ac:dyDescent="0.25">
      <c r="A20" s="308">
        <v>19</v>
      </c>
      <c r="B20" s="322">
        <v>0.8</v>
      </c>
      <c r="C20" s="310">
        <v>1.032045449310921</v>
      </c>
      <c r="D20" s="310">
        <v>4979.6064344627266</v>
      </c>
      <c r="E20" s="318">
        <f t="shared" si="1"/>
        <v>13.325457731321833</v>
      </c>
      <c r="J20">
        <f t="shared" si="0"/>
        <v>2</v>
      </c>
      <c r="N20">
        <f>$D20/'Gas parameters'!$O$14</f>
        <v>6564.2056874014315</v>
      </c>
    </row>
    <row r="21" spans="1:14" x14ac:dyDescent="0.25">
      <c r="A21" s="308">
        <v>20</v>
      </c>
      <c r="B21" s="322">
        <v>0.85</v>
      </c>
      <c r="C21" s="310">
        <v>1.0461828749491247</v>
      </c>
      <c r="D21" s="310">
        <v>4401.5054429896209</v>
      </c>
      <c r="E21" s="318">
        <f t="shared" si="1"/>
        <v>10.408298839529451</v>
      </c>
      <c r="J21">
        <f t="shared" si="0"/>
        <v>2</v>
      </c>
      <c r="N21">
        <f>$D21/'Gas parameters'!$O$14</f>
        <v>5802.14268783235</v>
      </c>
    </row>
    <row r="22" spans="1:14" x14ac:dyDescent="0.25">
      <c r="A22" s="308">
        <v>21</v>
      </c>
      <c r="B22" s="322">
        <v>0.9</v>
      </c>
      <c r="C22" s="310">
        <v>1.0792059492772994</v>
      </c>
      <c r="D22" s="310">
        <v>3734.7327877658822</v>
      </c>
      <c r="E22" s="318">
        <f t="shared" si="1"/>
        <v>7.4911399477370679</v>
      </c>
      <c r="J22">
        <f t="shared" si="0"/>
        <v>2</v>
      </c>
      <c r="M22" s="325"/>
      <c r="N22">
        <f>$D22/'Gas parameters'!$O$14</f>
        <v>4923.1911254493571</v>
      </c>
    </row>
    <row r="23" spans="1:14" x14ac:dyDescent="0.25">
      <c r="A23" s="308">
        <v>22</v>
      </c>
      <c r="B23" s="322">
        <v>0.92500000000000004</v>
      </c>
      <c r="C23" s="310">
        <v>1.1151924325674329</v>
      </c>
      <c r="D23" s="310">
        <v>3351.8615639970321</v>
      </c>
      <c r="E23" s="318">
        <f t="shared" ref="E23:E40" si="2">$B23*($E$41-$E$2)+$E$2</f>
        <v>6.0325605018408694</v>
      </c>
      <c r="J23">
        <f t="shared" si="0"/>
        <v>2</v>
      </c>
      <c r="N23">
        <f>$D23/'Gas parameters'!$O$14</f>
        <v>4418.4834748181283</v>
      </c>
    </row>
    <row r="24" spans="1:14" x14ac:dyDescent="0.25">
      <c r="A24" s="308">
        <v>23</v>
      </c>
      <c r="B24" s="322">
        <v>0.95</v>
      </c>
      <c r="C24" s="310">
        <v>1.1873500619940789</v>
      </c>
      <c r="D24" s="310">
        <v>2919.1270444367419</v>
      </c>
      <c r="E24" s="318">
        <f t="shared" si="2"/>
        <v>4.5739810559446852</v>
      </c>
      <c r="J24">
        <f t="shared" si="0"/>
        <v>2</v>
      </c>
      <c r="N24">
        <f>$D24/'Gas parameters'!$O$14</f>
        <v>3848.0451416250221</v>
      </c>
    </row>
    <row r="25" spans="1:14" x14ac:dyDescent="0.25">
      <c r="A25" s="308">
        <v>24</v>
      </c>
      <c r="B25" s="322">
        <v>0.97</v>
      </c>
      <c r="C25" s="310">
        <v>1.3127664025613661</v>
      </c>
      <c r="D25" s="310">
        <v>2519.866151847757</v>
      </c>
      <c r="E25" s="318">
        <f t="shared" si="2"/>
        <v>3.4071174992277307</v>
      </c>
      <c r="J25">
        <f t="shared" si="0"/>
        <v>2</v>
      </c>
      <c r="N25">
        <f>$D25/'Gas parameters'!$O$14</f>
        <v>3321.7323383176335</v>
      </c>
    </row>
    <row r="26" spans="1:14" x14ac:dyDescent="0.25">
      <c r="A26" s="308">
        <v>25</v>
      </c>
      <c r="B26" s="322">
        <v>0.97499999999999998</v>
      </c>
      <c r="C26" s="310">
        <v>1.3643764924307331</v>
      </c>
      <c r="D26" s="310">
        <v>2409.6555559386843</v>
      </c>
      <c r="E26" s="318">
        <f t="shared" si="2"/>
        <v>3.1154016100484867</v>
      </c>
      <c r="J26">
        <f t="shared" si="0"/>
        <v>2</v>
      </c>
      <c r="N26">
        <f>$D26/'Gas parameters'!$O$14</f>
        <v>3176.4507723947854</v>
      </c>
    </row>
    <row r="27" spans="1:14" x14ac:dyDescent="0.25">
      <c r="A27" s="308">
        <v>26</v>
      </c>
      <c r="B27" s="322">
        <v>0.98</v>
      </c>
      <c r="C27" s="310">
        <v>1.429894653946097</v>
      </c>
      <c r="D27" s="310">
        <v>2294.2095805842227</v>
      </c>
      <c r="E27" s="318">
        <f t="shared" si="2"/>
        <v>2.8236857208692498</v>
      </c>
      <c r="J27">
        <f t="shared" si="0"/>
        <v>2</v>
      </c>
      <c r="N27">
        <f>$D27/'Gas parameters'!$O$14</f>
        <v>3024.2678362565548</v>
      </c>
    </row>
    <row r="28" spans="1:14" x14ac:dyDescent="0.25">
      <c r="A28" s="308">
        <v>27</v>
      </c>
      <c r="B28" s="322">
        <v>0.98499999999999999</v>
      </c>
      <c r="C28" s="310">
        <v>1.5147655714209136</v>
      </c>
      <c r="D28" s="310">
        <v>2172.6290048213859</v>
      </c>
      <c r="E28" s="318">
        <f t="shared" si="2"/>
        <v>2.531969831690013</v>
      </c>
      <c r="J28">
        <f t="shared" si="0"/>
        <v>2</v>
      </c>
      <c r="N28">
        <f>$D28/'Gas parameters'!$O$14</f>
        <v>2863.9981608507592</v>
      </c>
    </row>
    <row r="29" spans="1:14" x14ac:dyDescent="0.25">
      <c r="A29" s="308">
        <v>28</v>
      </c>
      <c r="B29" s="322">
        <v>0.99029999999999996</v>
      </c>
      <c r="C29" s="310">
        <v>1.6352209843459389</v>
      </c>
      <c r="D29" s="310">
        <v>2035.8485616361629</v>
      </c>
      <c r="E29" s="318">
        <f t="shared" si="2"/>
        <v>2.2227509891600192</v>
      </c>
      <c r="J29">
        <f t="shared" si="0"/>
        <v>2</v>
      </c>
      <c r="N29">
        <f>$D29/'Gas parameters'!$O$14</f>
        <v>2683.6917501135813</v>
      </c>
    </row>
    <row r="30" spans="1:14" x14ac:dyDescent="0.25">
      <c r="A30" s="308">
        <v>29</v>
      </c>
      <c r="B30" s="322">
        <v>0.99300000000000099</v>
      </c>
      <c r="C30" s="310">
        <v>1.7135822995781282</v>
      </c>
      <c r="D30" s="310">
        <v>1962.3870235601041</v>
      </c>
      <c r="E30" s="318">
        <f t="shared" si="2"/>
        <v>2.0652244090031715</v>
      </c>
      <c r="J30">
        <f t="shared" si="0"/>
        <v>2</v>
      </c>
      <c r="N30">
        <f>$D30/'Gas parameters'!$O$14</f>
        <v>2586.853445241371</v>
      </c>
    </row>
    <row r="31" spans="1:14" x14ac:dyDescent="0.25">
      <c r="A31" s="308">
        <v>30</v>
      </c>
      <c r="B31" s="322">
        <v>0.99330000000000096</v>
      </c>
      <c r="C31" s="310">
        <v>1.7232029895311245</v>
      </c>
      <c r="D31" s="310">
        <v>1954.026912752659</v>
      </c>
      <c r="E31" s="318">
        <f t="shared" si="2"/>
        <v>2.0477214556524217</v>
      </c>
      <c r="J31">
        <f t="shared" si="0"/>
        <v>2</v>
      </c>
      <c r="N31">
        <f>$D31/'Gas parameters'!$O$14</f>
        <v>2575.8329986193762</v>
      </c>
    </row>
    <row r="32" spans="1:14" x14ac:dyDescent="0.25">
      <c r="A32" s="308">
        <v>31</v>
      </c>
      <c r="B32" s="322">
        <v>0.99360000000000104</v>
      </c>
      <c r="C32" s="310">
        <v>1.7329750239315378</v>
      </c>
      <c r="D32" s="310">
        <v>1945.6682584375594</v>
      </c>
      <c r="E32" s="318">
        <f t="shared" si="2"/>
        <v>2.0302185023016577</v>
      </c>
      <c r="J32">
        <f t="shared" si="0"/>
        <v>2</v>
      </c>
      <c r="N32">
        <f>$D32/'Gas parameters'!$O$14</f>
        <v>2564.8144719714728</v>
      </c>
    </row>
    <row r="33" spans="1:14" x14ac:dyDescent="0.25">
      <c r="A33" s="308">
        <v>32</v>
      </c>
      <c r="B33" s="322">
        <v>0.993900000000001</v>
      </c>
      <c r="C33" s="310">
        <v>1.7429461370098571</v>
      </c>
      <c r="D33" s="310">
        <v>1937.2734415740438</v>
      </c>
      <c r="E33" s="318">
        <f t="shared" si="2"/>
        <v>2.0127155489509079</v>
      </c>
      <c r="J33">
        <f t="shared" si="0"/>
        <v>2</v>
      </c>
      <c r="N33">
        <f>$D33/'Gas parameters'!$O$14</f>
        <v>2553.7482752096544</v>
      </c>
    </row>
    <row r="34" spans="1:14" x14ac:dyDescent="0.25">
      <c r="A34" s="308">
        <v>33</v>
      </c>
      <c r="B34" s="322">
        <v>0.99570000000000103</v>
      </c>
      <c r="C34" s="310">
        <v>1.8066866441276381</v>
      </c>
      <c r="D34" s="310">
        <v>1886.5642248037821</v>
      </c>
      <c r="E34" s="318">
        <f t="shared" si="2"/>
        <v>1.9076978288463806</v>
      </c>
      <c r="J34">
        <f t="shared" si="0"/>
        <v>2</v>
      </c>
      <c r="N34">
        <f>$D34/'Gas parameters'!$O$14</f>
        <v>2486.9024845818376</v>
      </c>
    </row>
    <row r="35" spans="1:14" x14ac:dyDescent="0.25">
      <c r="A35" s="308">
        <v>34</v>
      </c>
      <c r="B35" s="322">
        <v>0.996000000000001</v>
      </c>
      <c r="C35" s="310">
        <v>1.8188048636562961</v>
      </c>
      <c r="D35" s="310">
        <v>1877.456804778489</v>
      </c>
      <c r="E35" s="318">
        <f t="shared" si="2"/>
        <v>1.8901948754956308</v>
      </c>
      <c r="J35">
        <f t="shared" si="0"/>
        <v>2</v>
      </c>
      <c r="N35">
        <f>$D35/'Gas parameters'!$O$14</f>
        <v>2474.8969216695082</v>
      </c>
    </row>
    <row r="36" spans="1:14" x14ac:dyDescent="0.25">
      <c r="A36" s="308">
        <v>35</v>
      </c>
      <c r="B36" s="322">
        <v>0.99750000000000205</v>
      </c>
      <c r="C36" s="310">
        <v>1.8798746223908105</v>
      </c>
      <c r="D36" s="310">
        <v>1833.8531268467059</v>
      </c>
      <c r="E36" s="318">
        <f t="shared" si="2"/>
        <v>1.8026801087417965</v>
      </c>
      <c r="J36">
        <f t="shared" si="0"/>
        <v>2</v>
      </c>
      <c r="N36">
        <f>$D36/'Gas parameters'!$O$14</f>
        <v>2417.4177786009832</v>
      </c>
    </row>
    <row r="37" spans="1:14" x14ac:dyDescent="0.25">
      <c r="A37" s="308">
        <v>36</v>
      </c>
      <c r="B37" s="322">
        <v>0.999000000000002</v>
      </c>
      <c r="C37" s="310">
        <v>1.9485387230500986</v>
      </c>
      <c r="D37" s="310">
        <v>1788.8889004398584</v>
      </c>
      <c r="E37" s="318">
        <f t="shared" si="2"/>
        <v>1.7151653419880262</v>
      </c>
      <c r="J37">
        <f t="shared" si="0"/>
        <v>2</v>
      </c>
      <c r="N37">
        <f>$D37/'Gas parameters'!$O$14</f>
        <v>2358.1451363562592</v>
      </c>
    </row>
    <row r="38" spans="1:14" x14ac:dyDescent="0.25">
      <c r="A38" s="308">
        <v>37</v>
      </c>
      <c r="B38" s="322">
        <v>0.99930000000000196</v>
      </c>
      <c r="C38" s="310">
        <v>1.9638339256157982</v>
      </c>
      <c r="D38" s="310">
        <v>1779.3935116716898</v>
      </c>
      <c r="E38" s="318">
        <f t="shared" si="2"/>
        <v>1.6976623886372764</v>
      </c>
      <c r="J38">
        <f t="shared" si="0"/>
        <v>2</v>
      </c>
      <c r="N38">
        <f>$D38/'Gas parameters'!$O$14</f>
        <v>2345.6281461530316</v>
      </c>
    </row>
    <row r="39" spans="1:14" x14ac:dyDescent="0.25">
      <c r="A39" s="308">
        <v>38</v>
      </c>
      <c r="B39" s="322">
        <v>0.99960000000000204</v>
      </c>
      <c r="C39" s="310">
        <v>1.9789056210877101</v>
      </c>
      <c r="D39" s="310">
        <v>1770.2086998121401</v>
      </c>
      <c r="E39" s="318">
        <f t="shared" si="2"/>
        <v>1.6801594352865123</v>
      </c>
      <c r="J39">
        <f t="shared" si="0"/>
        <v>2</v>
      </c>
      <c r="N39">
        <f>$D39/'Gas parameters'!$O$14</f>
        <v>2333.5205639495648</v>
      </c>
    </row>
    <row r="40" spans="1:14" x14ac:dyDescent="0.25">
      <c r="A40" s="308">
        <v>39</v>
      </c>
      <c r="B40" s="322">
        <v>0.99990000000000201</v>
      </c>
      <c r="C40" s="310">
        <v>1.9943362138622034</v>
      </c>
      <c r="D40" s="310">
        <v>1760.9759566637133</v>
      </c>
      <c r="E40" s="318">
        <f t="shared" si="2"/>
        <v>1.6626564819357625</v>
      </c>
      <c r="J40">
        <f t="shared" si="0"/>
        <v>2</v>
      </c>
      <c r="N40">
        <f>$D40/'Gas parameters'!$O$14</f>
        <v>2321.3497978693822</v>
      </c>
    </row>
    <row r="41" spans="1:14" ht="13" thickBot="1" x14ac:dyDescent="0.3">
      <c r="A41" s="308">
        <v>40</v>
      </c>
      <c r="B41" s="322">
        <v>1</v>
      </c>
      <c r="C41" s="311">
        <v>1.9995455092018923</v>
      </c>
      <c r="D41" s="311">
        <v>1757.8970295842187</v>
      </c>
      <c r="E41" s="319">
        <f>rDPMin</f>
        <v>1.656822164152292</v>
      </c>
      <c r="J41">
        <f t="shared" si="0"/>
        <v>2</v>
      </c>
      <c r="N41">
        <f>$D41/'Gas parameters'!$O$14</f>
        <v>2317.2911014819647</v>
      </c>
    </row>
    <row r="42" spans="1:14" x14ac:dyDescent="0.25">
      <c r="A42"/>
      <c r="B42"/>
      <c r="C42"/>
      <c r="D42"/>
      <c r="J42">
        <f>J41</f>
        <v>2</v>
      </c>
      <c r="N42">
        <v>0</v>
      </c>
    </row>
    <row r="43" spans="1:14" x14ac:dyDescent="0.25">
      <c r="J43">
        <f>J42</f>
        <v>2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4436" r:id="rId3" name="Option Button 4">
              <controlPr defaultSize="0" autoFill="0" autoLine="0" autoPict="0">
                <anchor moveWithCells="1">
                  <from>
                    <xdr:col>2</xdr:col>
                    <xdr:colOff>603250</xdr:colOff>
                    <xdr:row>46</xdr:row>
                    <xdr:rowOff>127000</xdr:rowOff>
                  </from>
                  <to>
                    <xdr:col>3</xdr:col>
                    <xdr:colOff>336550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37" r:id="rId4" name="Option Button 5">
              <controlPr defaultSize="0" autoFill="0" autoLine="0" autoPict="0">
                <anchor moveWithCells="1">
                  <from>
                    <xdr:col>2</xdr:col>
                    <xdr:colOff>603250</xdr:colOff>
                    <xdr:row>47</xdr:row>
                    <xdr:rowOff>152400</xdr:rowOff>
                  </from>
                  <to>
                    <xdr:col>3</xdr:col>
                    <xdr:colOff>336550</xdr:colOff>
                    <xdr:row>49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80221-0D91-4F26-9319-898627DCC3A0}">
  <sheetPr codeName="Planilha3"/>
  <dimension ref="A1:N42"/>
  <sheetViews>
    <sheetView workbookViewId="0">
      <selection activeCell="D5" sqref="D5"/>
    </sheetView>
  </sheetViews>
  <sheetFormatPr defaultRowHeight="12.5" x14ac:dyDescent="0.25"/>
  <cols>
    <col min="1" max="1" width="9.1796875" style="308" customWidth="1"/>
    <col min="2" max="2" width="15" style="308" customWidth="1"/>
    <col min="3" max="3" width="19.453125" style="308" bestFit="1" customWidth="1"/>
    <col min="4" max="4" width="22.54296875" style="308" bestFit="1" customWidth="1"/>
    <col min="5" max="5" width="16.453125" customWidth="1"/>
    <col min="6" max="6" width="23.453125" customWidth="1"/>
    <col min="7" max="7" width="11" customWidth="1"/>
  </cols>
  <sheetData>
    <row r="1" spans="1:14" ht="13" thickBot="1" x14ac:dyDescent="0.3">
      <c r="A1" s="308" t="s">
        <v>261</v>
      </c>
      <c r="C1" s="316" t="s">
        <v>266</v>
      </c>
      <c r="D1" s="316" t="s">
        <v>265</v>
      </c>
      <c r="E1" s="320" t="s">
        <v>294</v>
      </c>
      <c r="N1" s="304" t="s">
        <v>268</v>
      </c>
    </row>
    <row r="2" spans="1:14" ht="13" thickBot="1" x14ac:dyDescent="0.3">
      <c r="A2" s="308">
        <v>1</v>
      </c>
      <c r="B2" s="308" t="s">
        <v>262</v>
      </c>
      <c r="C2" s="309">
        <v>1.0754275791316745</v>
      </c>
      <c r="D2" s="309">
        <v>8695.4067001154763</v>
      </c>
      <c r="E2" s="317">
        <f>rDPmax</f>
        <v>0</v>
      </c>
      <c r="F2" s="314" t="s">
        <v>263</v>
      </c>
      <c r="G2" s="321">
        <v>1.5</v>
      </c>
      <c r="J2">
        <f t="shared" ref="J2:J41" si="0">rMaxUnc</f>
        <v>1.5</v>
      </c>
      <c r="N2">
        <f>$D2/'Gas parameters'!$O$14</f>
        <v>11462.439625778376</v>
      </c>
    </row>
    <row r="3" spans="1:14" ht="13" thickBot="1" x14ac:dyDescent="0.3">
      <c r="A3" s="308">
        <v>2</v>
      </c>
      <c r="B3" s="322">
        <v>0.02</v>
      </c>
      <c r="C3" s="310">
        <v>1.0754797168433405</v>
      </c>
      <c r="D3" s="310">
        <v>8612.7950922166856</v>
      </c>
      <c r="E3" s="318">
        <f t="shared" ref="E3:E22" si="1">$B3*($E$41-$E$2)+$E$2</f>
        <v>6.3673793641461029E-2</v>
      </c>
      <c r="F3" s="315" t="s">
        <v>264</v>
      </c>
      <c r="G3" s="313"/>
      <c r="J3">
        <f t="shared" si="0"/>
        <v>1.5</v>
      </c>
      <c r="N3">
        <f>$D3/'Gas parameters'!$O$14</f>
        <v>11353.539536272983</v>
      </c>
    </row>
    <row r="4" spans="1:14" ht="13" thickBot="1" x14ac:dyDescent="0.3">
      <c r="A4" s="308">
        <v>3</v>
      </c>
      <c r="B4" s="322">
        <v>0.04</v>
      </c>
      <c r="C4" s="310">
        <v>1.0755351705265328</v>
      </c>
      <c r="D4" s="310">
        <v>8529.4072410715544</v>
      </c>
      <c r="E4" s="318">
        <f t="shared" si="1"/>
        <v>0.12734758728292206</v>
      </c>
      <c r="F4" s="315" t="s">
        <v>295</v>
      </c>
      <c r="G4" s="312">
        <f>'Gas parameters'!F22</f>
        <v>0</v>
      </c>
      <c r="H4" s="304" t="s">
        <v>244</v>
      </c>
      <c r="J4">
        <f t="shared" si="0"/>
        <v>1.5</v>
      </c>
      <c r="N4">
        <f>$D4/'Gas parameters'!$O$14</f>
        <v>11243.616189126751</v>
      </c>
    </row>
    <row r="5" spans="1:14" ht="13" thickBot="1" x14ac:dyDescent="0.3">
      <c r="A5" s="308">
        <v>4</v>
      </c>
      <c r="B5" s="322">
        <v>0.06</v>
      </c>
      <c r="C5" s="310">
        <v>1.0755942251170598</v>
      </c>
      <c r="D5" s="310">
        <v>8445.1915087252492</v>
      </c>
      <c r="E5" s="318">
        <f t="shared" si="1"/>
        <v>0.19102138092438306</v>
      </c>
      <c r="J5">
        <f t="shared" si="0"/>
        <v>1.5</v>
      </c>
      <c r="N5">
        <f>$D5/'Gas parameters'!$O$14</f>
        <v>11132.601514270034</v>
      </c>
    </row>
    <row r="6" spans="1:14" ht="13" thickBot="1" x14ac:dyDescent="0.3">
      <c r="A6" s="308">
        <v>5</v>
      </c>
      <c r="B6" s="322">
        <v>0.08</v>
      </c>
      <c r="C6" s="310">
        <v>1.0756571762687392</v>
      </c>
      <c r="D6" s="310">
        <v>8360.12275641409</v>
      </c>
      <c r="E6" s="318">
        <f t="shared" si="1"/>
        <v>0.25469517456584412</v>
      </c>
      <c r="F6" s="315" t="s">
        <v>267</v>
      </c>
      <c r="G6" s="312">
        <v>3.1836896820730511</v>
      </c>
      <c r="H6" s="304" t="s">
        <v>244</v>
      </c>
      <c r="J6">
        <f t="shared" si="0"/>
        <v>1.5</v>
      </c>
      <c r="N6">
        <f>$D6/'Gas parameters'!$O$14</f>
        <v>11020.462373337845</v>
      </c>
    </row>
    <row r="7" spans="1:14" x14ac:dyDescent="0.25">
      <c r="A7" s="308">
        <v>6</v>
      </c>
      <c r="B7" s="322">
        <v>0.15</v>
      </c>
      <c r="C7" s="310">
        <v>1.0759132238629558</v>
      </c>
      <c r="D7" s="310">
        <v>8055.290026274969</v>
      </c>
      <c r="E7" s="318">
        <f t="shared" si="1"/>
        <v>0.47755345231095764</v>
      </c>
      <c r="G7">
        <v>1</v>
      </c>
      <c r="J7">
        <f t="shared" si="0"/>
        <v>1.5</v>
      </c>
      <c r="N7">
        <f>$D7/'Gas parameters'!$O$14</f>
        <v>10618.626451720233</v>
      </c>
    </row>
    <row r="8" spans="1:14" x14ac:dyDescent="0.25">
      <c r="A8" s="308">
        <v>7</v>
      </c>
      <c r="B8" s="322">
        <v>0.2</v>
      </c>
      <c r="C8" s="310">
        <v>1.0761378185980601</v>
      </c>
      <c r="D8" s="310">
        <v>7830.1725364234926</v>
      </c>
      <c r="E8" s="318">
        <f t="shared" si="1"/>
        <v>0.63673793641461029</v>
      </c>
      <c r="J8">
        <f t="shared" si="0"/>
        <v>1.5</v>
      </c>
      <c r="N8">
        <f>$D8/'Gas parameters'!$O$14</f>
        <v>10321.872576355776</v>
      </c>
    </row>
    <row r="9" spans="1:14" x14ac:dyDescent="0.25">
      <c r="A9" s="308">
        <v>8</v>
      </c>
      <c r="B9" s="322">
        <v>0.25</v>
      </c>
      <c r="C9" s="310">
        <v>1.0764070892167137</v>
      </c>
      <c r="D9" s="310">
        <v>7598.3963474042566</v>
      </c>
      <c r="E9" s="318">
        <f t="shared" si="1"/>
        <v>0.79592242051826279</v>
      </c>
      <c r="J9">
        <f t="shared" si="0"/>
        <v>1.5</v>
      </c>
      <c r="N9">
        <f>$D9/'Gas parameters'!$O$14</f>
        <v>10016.341085426122</v>
      </c>
    </row>
    <row r="10" spans="1:14" x14ac:dyDescent="0.25">
      <c r="A10" s="308">
        <v>9</v>
      </c>
      <c r="B10" s="322">
        <v>0.3</v>
      </c>
      <c r="C10" s="310">
        <v>1.0767332312892692</v>
      </c>
      <c r="D10" s="310">
        <v>7359.2883237853675</v>
      </c>
      <c r="E10" s="318">
        <f t="shared" si="1"/>
        <v>0.95510690462191528</v>
      </c>
      <c r="J10">
        <f t="shared" si="0"/>
        <v>1.5</v>
      </c>
      <c r="N10">
        <f>$D10/'Gas parameters'!$O$14</f>
        <v>9701.1446398436165</v>
      </c>
    </row>
    <row r="11" spans="1:14" x14ac:dyDescent="0.25">
      <c r="A11" s="308">
        <v>10</v>
      </c>
      <c r="B11" s="322">
        <v>0.35</v>
      </c>
      <c r="C11" s="310">
        <v>1.0771328511870413</v>
      </c>
      <c r="D11" s="310">
        <v>7112.1089546426228</v>
      </c>
      <c r="E11" s="318">
        <f t="shared" si="1"/>
        <v>1.1142913887255679</v>
      </c>
      <c r="J11">
        <f t="shared" si="0"/>
        <v>1.5</v>
      </c>
      <c r="N11">
        <f>$D11/'Gas parameters'!$O$14</f>
        <v>9375.3084031671788</v>
      </c>
    </row>
    <row r="12" spans="1:14" x14ac:dyDescent="0.25">
      <c r="A12" s="308">
        <v>11</v>
      </c>
      <c r="B12" s="322">
        <v>0.4</v>
      </c>
      <c r="C12" s="310">
        <v>1.0776291056030336</v>
      </c>
      <c r="D12" s="310">
        <v>6855.9853117100402</v>
      </c>
      <c r="E12" s="318">
        <f t="shared" si="1"/>
        <v>1.2734758728292206</v>
      </c>
      <c r="J12">
        <f t="shared" si="0"/>
        <v>1.5</v>
      </c>
      <c r="N12">
        <f>$D12/'Gas parameters'!$O$14</f>
        <v>9037.6816658450298</v>
      </c>
    </row>
    <row r="13" spans="1:14" x14ac:dyDescent="0.25">
      <c r="A13" s="308">
        <v>12</v>
      </c>
      <c r="B13" s="322">
        <v>0.45</v>
      </c>
      <c r="C13" s="310">
        <v>1.0782550601279428</v>
      </c>
      <c r="D13" s="310">
        <v>6589.8746970747552</v>
      </c>
      <c r="E13" s="318">
        <f t="shared" si="1"/>
        <v>1.4326603569328731</v>
      </c>
      <c r="J13">
        <f t="shared" si="0"/>
        <v>1.5</v>
      </c>
      <c r="N13">
        <f>$D13/'Gas parameters'!$O$14</f>
        <v>8686.8899249601309</v>
      </c>
    </row>
    <row r="14" spans="1:14" x14ac:dyDescent="0.25">
      <c r="A14" s="308">
        <v>13</v>
      </c>
      <c r="B14" s="322">
        <v>0.5</v>
      </c>
      <c r="C14" s="310">
        <v>1.0790592400508183</v>
      </c>
      <c r="D14" s="310">
        <v>6312.5145048312779</v>
      </c>
      <c r="E14" s="318">
        <f t="shared" si="1"/>
        <v>1.5918448410365256</v>
      </c>
      <c r="J14">
        <f t="shared" si="0"/>
        <v>1.5</v>
      </c>
      <c r="N14">
        <f>$D14/'Gas parameters'!$O$14</f>
        <v>8321.2687909718916</v>
      </c>
    </row>
    <row r="15" spans="1:14" x14ac:dyDescent="0.25">
      <c r="A15" s="308">
        <v>14</v>
      </c>
      <c r="B15" s="322">
        <v>0.55000000000000004</v>
      </c>
      <c r="C15" s="310">
        <v>1.0801151729108112</v>
      </c>
      <c r="D15" s="310">
        <v>6022.351288055067</v>
      </c>
      <c r="E15" s="318">
        <f t="shared" si="1"/>
        <v>1.7510293251401783</v>
      </c>
      <c r="J15">
        <f t="shared" si="0"/>
        <v>1.5</v>
      </c>
      <c r="N15">
        <f>$D15/'Gas parameters'!$O$14</f>
        <v>7938.7704825402934</v>
      </c>
    </row>
    <row r="16" spans="1:14" x14ac:dyDescent="0.25">
      <c r="A16" s="308">
        <v>15</v>
      </c>
      <c r="B16" s="322">
        <v>0.6</v>
      </c>
      <c r="C16" s="310">
        <v>1.0815392663109424</v>
      </c>
      <c r="D16" s="310">
        <v>5717.3061205611666</v>
      </c>
      <c r="E16" s="318">
        <f t="shared" si="1"/>
        <v>1.9102138092438306</v>
      </c>
      <c r="J16">
        <f t="shared" si="0"/>
        <v>1.5</v>
      </c>
      <c r="N16">
        <f>$D16/'Gas parameters'!$O$14</f>
        <v>7536.6545222266886</v>
      </c>
    </row>
    <row r="17" spans="1:14" x14ac:dyDescent="0.25">
      <c r="A17" s="308">
        <v>16</v>
      </c>
      <c r="B17" s="322">
        <v>0.65</v>
      </c>
      <c r="C17" s="310">
        <v>1.0835212888022174</v>
      </c>
      <c r="D17" s="310">
        <v>5395.0942387346722</v>
      </c>
      <c r="E17" s="318">
        <f t="shared" si="1"/>
        <v>2.0693982933474833</v>
      </c>
      <c r="J17">
        <f t="shared" si="0"/>
        <v>1.5</v>
      </c>
      <c r="N17">
        <f>$D17/'Gas parameters'!$O$14</f>
        <v>7111.9090940346323</v>
      </c>
    </row>
    <row r="18" spans="1:14" x14ac:dyDescent="0.25">
      <c r="A18" s="308">
        <v>17</v>
      </c>
      <c r="B18" s="322">
        <v>0.7</v>
      </c>
      <c r="C18" s="310">
        <v>1.0863939085409697</v>
      </c>
      <c r="D18" s="310">
        <v>5052.3141331542847</v>
      </c>
      <c r="E18" s="318">
        <f t="shared" si="1"/>
        <v>2.2285827774511358</v>
      </c>
      <c r="J18">
        <f t="shared" si="0"/>
        <v>1.5</v>
      </c>
      <c r="N18">
        <f>$D18/'Gas parameters'!$O$14</f>
        <v>6660.0502678015873</v>
      </c>
    </row>
    <row r="19" spans="1:14" x14ac:dyDescent="0.25">
      <c r="A19" s="308">
        <v>18</v>
      </c>
      <c r="B19" s="322">
        <v>0.75</v>
      </c>
      <c r="C19" s="310">
        <v>1.0907781082215691</v>
      </c>
      <c r="D19" s="310">
        <v>4684.4503149261118</v>
      </c>
      <c r="E19" s="318">
        <f t="shared" si="1"/>
        <v>2.3877672615547882</v>
      </c>
      <c r="J19">
        <f t="shared" si="0"/>
        <v>1.5</v>
      </c>
      <c r="N19">
        <f>$D19/'Gas parameters'!$O$14</f>
        <v>6175.1256458293055</v>
      </c>
    </row>
    <row r="20" spans="1:14" x14ac:dyDescent="0.25">
      <c r="A20" s="308">
        <v>19</v>
      </c>
      <c r="B20" s="322">
        <v>0.8</v>
      </c>
      <c r="C20" s="310">
        <v>1.0979450863428231</v>
      </c>
      <c r="D20" s="310">
        <v>4285.0437868158588</v>
      </c>
      <c r="E20" s="318">
        <f t="shared" si="1"/>
        <v>2.5469517456584412</v>
      </c>
      <c r="J20">
        <f t="shared" si="0"/>
        <v>1.5</v>
      </c>
      <c r="N20">
        <f>$D20/'Gas parameters'!$O$14</f>
        <v>5648.6208631899008</v>
      </c>
    </row>
    <row r="21" spans="1:14" x14ac:dyDescent="0.25">
      <c r="A21" s="308">
        <v>20</v>
      </c>
      <c r="B21" s="322">
        <v>0.85</v>
      </c>
      <c r="C21" s="310">
        <v>1.1108374686083364</v>
      </c>
      <c r="D21" s="310">
        <v>3844.2698651851729</v>
      </c>
      <c r="E21" s="318">
        <f t="shared" si="1"/>
        <v>2.7061362297620932</v>
      </c>
      <c r="J21">
        <f t="shared" si="0"/>
        <v>1.5</v>
      </c>
      <c r="N21">
        <f>$D21/'Gas parameters'!$O$14</f>
        <v>5067.584847330837</v>
      </c>
    </row>
    <row r="22" spans="1:14" x14ac:dyDescent="0.25">
      <c r="A22" s="308">
        <v>21</v>
      </c>
      <c r="B22" s="322">
        <v>0.9</v>
      </c>
      <c r="C22" s="310">
        <v>1.1375730008490814</v>
      </c>
      <c r="D22" s="310">
        <v>3345.8556713251796</v>
      </c>
      <c r="E22" s="318">
        <f t="shared" si="1"/>
        <v>2.8653207138657462</v>
      </c>
      <c r="J22">
        <f t="shared" si="0"/>
        <v>1.5</v>
      </c>
      <c r="N22">
        <f>$D22/'Gas parameters'!$O$14</f>
        <v>4410.5664003759284</v>
      </c>
    </row>
    <row r="23" spans="1:14" x14ac:dyDescent="0.25">
      <c r="A23" s="308">
        <v>22</v>
      </c>
      <c r="B23" s="322">
        <v>0.92500000000000004</v>
      </c>
      <c r="C23" s="310">
        <v>1.1631973651163596</v>
      </c>
      <c r="D23" s="310">
        <v>3066.2770192677103</v>
      </c>
      <c r="E23" s="318">
        <f t="shared" ref="E23:E40" si="2">$B23*($E$41-$E$2)+$E$2</f>
        <v>2.9449129559175726</v>
      </c>
      <c r="J23">
        <f t="shared" si="0"/>
        <v>1.5</v>
      </c>
      <c r="N23">
        <f>$D23/'Gas parameters'!$O$14</f>
        <v>4042.0208532397974</v>
      </c>
    </row>
    <row r="24" spans="1:14" x14ac:dyDescent="0.25">
      <c r="A24" s="308">
        <v>23</v>
      </c>
      <c r="B24" s="322">
        <v>0.95</v>
      </c>
      <c r="C24" s="310">
        <v>1.2076676739783698</v>
      </c>
      <c r="D24" s="310">
        <v>2758.5250871073467</v>
      </c>
      <c r="E24" s="318">
        <f t="shared" si="2"/>
        <v>3.0245051979693987</v>
      </c>
      <c r="J24">
        <f t="shared" si="0"/>
        <v>1.5</v>
      </c>
      <c r="N24">
        <f>$D24/'Gas parameters'!$O$14</f>
        <v>3636.3367876448015</v>
      </c>
    </row>
    <row r="25" spans="1:14" x14ac:dyDescent="0.25">
      <c r="A25" s="308">
        <v>24</v>
      </c>
      <c r="B25" s="322">
        <v>0.97</v>
      </c>
      <c r="C25" s="310">
        <v>1.2716119339827301</v>
      </c>
      <c r="D25" s="310">
        <v>2484.9874423461811</v>
      </c>
      <c r="E25" s="318">
        <f t="shared" si="2"/>
        <v>3.0881789916108597</v>
      </c>
      <c r="J25">
        <f t="shared" si="0"/>
        <v>1.5</v>
      </c>
      <c r="N25">
        <f>$D25/'Gas parameters'!$O$14</f>
        <v>3275.7546036727931</v>
      </c>
    </row>
    <row r="26" spans="1:14" x14ac:dyDescent="0.25">
      <c r="A26" s="308">
        <v>25</v>
      </c>
      <c r="B26" s="322">
        <v>0.97499999999999998</v>
      </c>
      <c r="C26" s="310">
        <v>1.2946128232878191</v>
      </c>
      <c r="D26" s="310">
        <v>2411.7590516425034</v>
      </c>
      <c r="E26" s="318">
        <f t="shared" si="2"/>
        <v>3.1040974400212247</v>
      </c>
      <c r="J26">
        <f t="shared" si="0"/>
        <v>1.5</v>
      </c>
      <c r="N26">
        <f>$D26/'Gas parameters'!$O$14</f>
        <v>3179.2236378097855</v>
      </c>
    </row>
    <row r="27" spans="1:14" x14ac:dyDescent="0.25">
      <c r="A27" s="308">
        <v>26</v>
      </c>
      <c r="B27" s="322">
        <v>0.98</v>
      </c>
      <c r="C27" s="310">
        <v>1.3217697770590568</v>
      </c>
      <c r="D27" s="310">
        <v>2336.2288623131362</v>
      </c>
      <c r="E27" s="318">
        <f t="shared" si="2"/>
        <v>3.1200158884315901</v>
      </c>
      <c r="J27">
        <f t="shared" si="0"/>
        <v>1.5</v>
      </c>
      <c r="N27">
        <f>$D27/'Gas parameters'!$O$14</f>
        <v>3079.6584000964094</v>
      </c>
    </row>
    <row r="28" spans="1:14" x14ac:dyDescent="0.25">
      <c r="A28" s="308">
        <v>27</v>
      </c>
      <c r="B28" s="322">
        <v>0.98499999999999999</v>
      </c>
      <c r="C28" s="310">
        <v>1.3541248713883454</v>
      </c>
      <c r="D28" s="310">
        <v>2258.1706245198266</v>
      </c>
      <c r="E28" s="318">
        <f t="shared" si="2"/>
        <v>3.1359343368419554</v>
      </c>
      <c r="J28">
        <f t="shared" si="0"/>
        <v>1.5</v>
      </c>
      <c r="N28">
        <f>$D28/'Gas parameters'!$O$14</f>
        <v>2976.7606439755159</v>
      </c>
    </row>
    <row r="29" spans="1:14" x14ac:dyDescent="0.25">
      <c r="A29" s="308">
        <v>28</v>
      </c>
      <c r="B29" s="322">
        <v>0.99029999999999996</v>
      </c>
      <c r="C29" s="310">
        <v>1.395648671693335</v>
      </c>
      <c r="D29" s="310">
        <v>2172.3683138740016</v>
      </c>
      <c r="E29" s="318">
        <f t="shared" si="2"/>
        <v>3.1528078921569422</v>
      </c>
      <c r="J29">
        <f t="shared" si="0"/>
        <v>1.5</v>
      </c>
      <c r="N29">
        <f>$D29/'Gas parameters'!$O$14</f>
        <v>2863.6545134115495</v>
      </c>
    </row>
    <row r="30" spans="1:14" x14ac:dyDescent="0.25">
      <c r="A30" s="308">
        <v>29</v>
      </c>
      <c r="B30" s="322">
        <v>0.99300000000000099</v>
      </c>
      <c r="C30" s="310">
        <v>1.4202183140017342</v>
      </c>
      <c r="D30" s="310">
        <v>2127.5485335981712</v>
      </c>
      <c r="E30" s="318">
        <f t="shared" si="2"/>
        <v>3.161403854298543</v>
      </c>
      <c r="J30">
        <f t="shared" si="0"/>
        <v>1.5</v>
      </c>
      <c r="N30">
        <f>$D30/'Gas parameters'!$O$14</f>
        <v>2804.5722826234787</v>
      </c>
    </row>
    <row r="31" spans="1:14" x14ac:dyDescent="0.25">
      <c r="A31" s="308">
        <v>30</v>
      </c>
      <c r="B31" s="322">
        <v>0.99330000000000096</v>
      </c>
      <c r="C31" s="310">
        <v>1.4232837998127228</v>
      </c>
      <c r="D31" s="310">
        <v>2122.2206563480031</v>
      </c>
      <c r="E31" s="318">
        <f t="shared" si="2"/>
        <v>3.1623589612031648</v>
      </c>
      <c r="J31">
        <f t="shared" si="0"/>
        <v>1.5</v>
      </c>
      <c r="N31">
        <f>$D31/'Gas parameters'!$O$14</f>
        <v>2797.5489801581898</v>
      </c>
    </row>
    <row r="32" spans="1:14" x14ac:dyDescent="0.25">
      <c r="A32" s="308">
        <v>31</v>
      </c>
      <c r="B32" s="322">
        <v>0.99360000000000104</v>
      </c>
      <c r="C32" s="310">
        <v>1.4262339692535866</v>
      </c>
      <c r="D32" s="310">
        <v>2117.144977083688</v>
      </c>
      <c r="E32" s="318">
        <f t="shared" si="2"/>
        <v>3.1633140681077867</v>
      </c>
      <c r="J32">
        <f t="shared" si="0"/>
        <v>1.5</v>
      </c>
      <c r="N32">
        <f>$D32/'Gas parameters'!$O$14</f>
        <v>2790.858129559304</v>
      </c>
    </row>
    <row r="33" spans="1:14" x14ac:dyDescent="0.25">
      <c r="A33" s="308">
        <v>32</v>
      </c>
      <c r="B33" s="322">
        <v>0.993900000000001</v>
      </c>
      <c r="C33" s="310">
        <v>1.429221149290145</v>
      </c>
      <c r="D33" s="310">
        <v>2112.0563970281828</v>
      </c>
      <c r="E33" s="318">
        <f t="shared" si="2"/>
        <v>3.1642691750124086</v>
      </c>
      <c r="J33">
        <f t="shared" si="0"/>
        <v>1.5</v>
      </c>
      <c r="N33">
        <f>$D33/'Gas parameters'!$O$14</f>
        <v>2784.150272908229</v>
      </c>
    </row>
    <row r="34" spans="1:14" x14ac:dyDescent="0.25">
      <c r="A34" s="308">
        <v>33</v>
      </c>
      <c r="B34" s="322">
        <v>0.99570000000000103</v>
      </c>
      <c r="C34" s="310">
        <v>1.4478910381654153</v>
      </c>
      <c r="D34" s="310">
        <v>2081.3536048519022</v>
      </c>
      <c r="E34" s="318">
        <f t="shared" si="2"/>
        <v>3.1699998164401402</v>
      </c>
      <c r="J34">
        <f t="shared" si="0"/>
        <v>1.5</v>
      </c>
      <c r="N34">
        <f>$D34/'Gas parameters'!$O$14</f>
        <v>2743.6773066858714</v>
      </c>
    </row>
    <row r="35" spans="1:14" x14ac:dyDescent="0.25">
      <c r="A35" s="308">
        <v>34</v>
      </c>
      <c r="B35" s="322">
        <v>0.996000000000001</v>
      </c>
      <c r="C35" s="310">
        <v>1.4512087463987196</v>
      </c>
      <c r="D35" s="310">
        <v>2076.0864627030833</v>
      </c>
      <c r="E35" s="318">
        <f t="shared" si="2"/>
        <v>3.170954923344762</v>
      </c>
      <c r="J35">
        <f t="shared" si="0"/>
        <v>1.5</v>
      </c>
      <c r="N35">
        <f>$D35/'Gas parameters'!$O$14</f>
        <v>2736.7340663104183</v>
      </c>
    </row>
    <row r="36" spans="1:14" x14ac:dyDescent="0.25">
      <c r="A36" s="308">
        <v>35</v>
      </c>
      <c r="B36" s="322">
        <v>0.99750000000000205</v>
      </c>
      <c r="C36" s="310">
        <v>1.4681191880585158</v>
      </c>
      <c r="D36" s="310">
        <v>2050.0602299520674</v>
      </c>
      <c r="E36" s="318">
        <f t="shared" si="2"/>
        <v>3.1757304578678749</v>
      </c>
      <c r="J36">
        <f t="shared" si="0"/>
        <v>1.5</v>
      </c>
      <c r="N36">
        <f>$D36/'Gas parameters'!$O$14</f>
        <v>2702.4258238229204</v>
      </c>
    </row>
    <row r="37" spans="1:14" x14ac:dyDescent="0.25">
      <c r="A37" s="308">
        <v>36</v>
      </c>
      <c r="B37" s="322">
        <v>0.999000000000002</v>
      </c>
      <c r="C37" s="310">
        <v>1.4861970509216278</v>
      </c>
      <c r="D37" s="310">
        <v>2023.6494069231696</v>
      </c>
      <c r="E37" s="318">
        <f t="shared" si="2"/>
        <v>3.1805059923909846</v>
      </c>
      <c r="J37">
        <f t="shared" si="0"/>
        <v>1.5</v>
      </c>
      <c r="N37">
        <f>$D37/'Gas parameters'!$O$14</f>
        <v>2667.6106075971124</v>
      </c>
    </row>
    <row r="38" spans="1:14" x14ac:dyDescent="0.25">
      <c r="A38" s="308">
        <v>37</v>
      </c>
      <c r="B38" s="322">
        <v>0.99930000000000196</v>
      </c>
      <c r="C38" s="310">
        <v>1.4900001519003705</v>
      </c>
      <c r="D38" s="310">
        <v>2018.2662136122353</v>
      </c>
      <c r="E38" s="318">
        <f t="shared" si="2"/>
        <v>3.1814610992956061</v>
      </c>
      <c r="J38">
        <f t="shared" si="0"/>
        <v>1.5</v>
      </c>
      <c r="N38">
        <f>$D38/'Gas parameters'!$O$14</f>
        <v>2660.5143865175787</v>
      </c>
    </row>
    <row r="39" spans="1:14" x14ac:dyDescent="0.25">
      <c r="A39" s="308">
        <v>38</v>
      </c>
      <c r="B39" s="322">
        <v>0.99960000000000204</v>
      </c>
      <c r="C39" s="310">
        <v>1.4938125353917868</v>
      </c>
      <c r="D39" s="310">
        <v>2012.9274947373406</v>
      </c>
      <c r="E39" s="318">
        <f t="shared" si="2"/>
        <v>3.1824162062002284</v>
      </c>
      <c r="J39">
        <f t="shared" si="0"/>
        <v>1.5</v>
      </c>
      <c r="N39">
        <f>$D39/'Gas parameters'!$O$14</f>
        <v>2653.476792429924</v>
      </c>
    </row>
    <row r="40" spans="1:14" x14ac:dyDescent="0.25">
      <c r="A40" s="308">
        <v>39</v>
      </c>
      <c r="B40" s="322">
        <v>0.99990000000000201</v>
      </c>
      <c r="C40" s="310">
        <v>1.4976763624649196</v>
      </c>
      <c r="D40" s="310">
        <v>2007.5744198451766</v>
      </c>
      <c r="E40" s="318">
        <f t="shared" si="2"/>
        <v>3.1833713131048502</v>
      </c>
      <c r="J40">
        <f t="shared" si="0"/>
        <v>1.5</v>
      </c>
      <c r="N40">
        <f>$D40/'Gas parameters'!$O$14</f>
        <v>2646.4202739852049</v>
      </c>
    </row>
    <row r="41" spans="1:14" ht="13" thickBot="1" x14ac:dyDescent="0.3">
      <c r="A41" s="308">
        <v>40</v>
      </c>
      <c r="B41" s="322">
        <v>1</v>
      </c>
      <c r="C41" s="311">
        <v>1.4989674104350705</v>
      </c>
      <c r="D41" s="311">
        <v>2005.7985017217795</v>
      </c>
      <c r="E41" s="319">
        <f>rDPMin</f>
        <v>3.1836896820730511</v>
      </c>
      <c r="J41">
        <f t="shared" si="0"/>
        <v>1.5</v>
      </c>
      <c r="N41">
        <f>$D41/'Gas parameters'!$O$14</f>
        <v>2644.0792271576315</v>
      </c>
    </row>
    <row r="42" spans="1:14" x14ac:dyDescent="0.25">
      <c r="A42"/>
      <c r="B42"/>
      <c r="C42"/>
      <c r="D42"/>
      <c r="J42">
        <f>J41</f>
        <v>1.5</v>
      </c>
      <c r="N42">
        <v>0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1601" r:id="rId3" name="Option Button 1">
              <controlPr defaultSize="0" autoFill="0" autoLine="0" autoPict="0">
                <anchor moveWithCells="1">
                  <from>
                    <xdr:col>2</xdr:col>
                    <xdr:colOff>603250</xdr:colOff>
                    <xdr:row>46</xdr:row>
                    <xdr:rowOff>127000</xdr:rowOff>
                  </from>
                  <to>
                    <xdr:col>3</xdr:col>
                    <xdr:colOff>336550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602" r:id="rId4" name="Option Button 2">
              <controlPr defaultSize="0" autoFill="0" autoLine="0" autoPict="0">
                <anchor moveWithCells="1">
                  <from>
                    <xdr:col>2</xdr:col>
                    <xdr:colOff>603250</xdr:colOff>
                    <xdr:row>47</xdr:row>
                    <xdr:rowOff>152400</xdr:rowOff>
                  </from>
                  <to>
                    <xdr:col>3</xdr:col>
                    <xdr:colOff>336550</xdr:colOff>
                    <xdr:row>49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D47E2-AF49-4E3B-A2B3-C8FE1AFF9180}">
  <sheetPr codeName="Planilha4"/>
  <dimension ref="A1:N42"/>
  <sheetViews>
    <sheetView workbookViewId="0">
      <selection activeCell="G3" sqref="G3"/>
    </sheetView>
  </sheetViews>
  <sheetFormatPr defaultRowHeight="12.5" x14ac:dyDescent="0.25"/>
  <cols>
    <col min="1" max="1" width="9.1796875" style="308" customWidth="1"/>
    <col min="2" max="2" width="15" style="308" customWidth="1"/>
    <col min="3" max="3" width="19.453125" style="308" bestFit="1" customWidth="1"/>
    <col min="4" max="4" width="22.54296875" style="308" bestFit="1" customWidth="1"/>
    <col min="5" max="5" width="16.453125" customWidth="1"/>
    <col min="6" max="6" width="23.453125" customWidth="1"/>
    <col min="7" max="7" width="11" customWidth="1"/>
  </cols>
  <sheetData>
    <row r="1" spans="1:14" ht="13" thickBot="1" x14ac:dyDescent="0.3">
      <c r="A1" s="308" t="s">
        <v>261</v>
      </c>
      <c r="C1" s="316" t="s">
        <v>266</v>
      </c>
      <c r="D1" s="316" t="s">
        <v>265</v>
      </c>
      <c r="E1" s="320" t="s">
        <v>294</v>
      </c>
      <c r="N1" s="304" t="s">
        <v>268</v>
      </c>
    </row>
    <row r="2" spans="1:14" ht="13" thickBot="1" x14ac:dyDescent="0.3">
      <c r="A2" s="308">
        <v>1</v>
      </c>
      <c r="B2" s="308" t="s">
        <v>262</v>
      </c>
      <c r="C2" s="309">
        <v>1.0767634507736696</v>
      </c>
      <c r="D2" s="309">
        <v>3553.2465456994732</v>
      </c>
      <c r="E2" s="317">
        <f>rDPmax</f>
        <v>0</v>
      </c>
      <c r="F2" s="314" t="s">
        <v>263</v>
      </c>
      <c r="G2" s="321">
        <v>1.5</v>
      </c>
      <c r="J2">
        <f t="shared" ref="J2:J41" si="0">rMaxUnc</f>
        <v>1.5</v>
      </c>
      <c r="N2">
        <f>$D2/'Gas parameters'!$O$14</f>
        <v>4683.9527362239296</v>
      </c>
    </row>
    <row r="3" spans="1:14" ht="13" thickBot="1" x14ac:dyDescent="0.3">
      <c r="A3" s="308">
        <v>2</v>
      </c>
      <c r="B3" s="322">
        <v>0.02</v>
      </c>
      <c r="C3" s="310">
        <v>1.076875064159307</v>
      </c>
      <c r="D3" s="310">
        <v>3520.3720501174134</v>
      </c>
      <c r="E3" s="318">
        <f t="shared" ref="E3:E22" si="1">$B3*($E$41-$E$2)+$E$2</f>
        <v>1.5394065838713633E-2</v>
      </c>
      <c r="F3" s="315" t="s">
        <v>264</v>
      </c>
      <c r="G3" s="313"/>
      <c r="J3">
        <f t="shared" si="0"/>
        <v>1.5</v>
      </c>
      <c r="N3">
        <f>$D3/'Gas parameters'!$O$14</f>
        <v>4640.6169919818258</v>
      </c>
    </row>
    <row r="4" spans="1:14" ht="13" thickBot="1" x14ac:dyDescent="0.3">
      <c r="A4" s="308">
        <v>3</v>
      </c>
      <c r="B4" s="322">
        <v>0.04</v>
      </c>
      <c r="C4" s="310">
        <v>1.0769934030440345</v>
      </c>
      <c r="D4" s="310">
        <v>3487.1377858129117</v>
      </c>
      <c r="E4" s="318">
        <f t="shared" si="1"/>
        <v>3.0788131677427267E-2</v>
      </c>
      <c r="F4" s="315" t="s">
        <v>295</v>
      </c>
      <c r="G4" s="312">
        <f>'Gas parameters'!F24</f>
        <v>0</v>
      </c>
      <c r="H4" s="304" t="s">
        <v>244</v>
      </c>
      <c r="J4">
        <f t="shared" si="0"/>
        <v>1.5</v>
      </c>
      <c r="N4">
        <f>$D4/'Gas parameters'!$O$14</f>
        <v>4596.8069942168622</v>
      </c>
    </row>
    <row r="5" spans="1:14" ht="13" thickBot="1" x14ac:dyDescent="0.3">
      <c r="A5" s="308">
        <v>4</v>
      </c>
      <c r="B5" s="322">
        <v>0.06</v>
      </c>
      <c r="C5" s="310">
        <v>1.0771188261256786</v>
      </c>
      <c r="D5" s="310">
        <v>3453.5830848259734</v>
      </c>
      <c r="E5" s="318">
        <f t="shared" si="1"/>
        <v>4.6182197516140895E-2</v>
      </c>
      <c r="J5">
        <f t="shared" si="0"/>
        <v>1.5</v>
      </c>
      <c r="N5">
        <f>$D5/'Gas parameters'!$O$14</f>
        <v>4552.5745911230861</v>
      </c>
    </row>
    <row r="6" spans="1:14" ht="13" thickBot="1" x14ac:dyDescent="0.3">
      <c r="A6" s="308">
        <v>5</v>
      </c>
      <c r="B6" s="322">
        <v>0.08</v>
      </c>
      <c r="C6" s="310">
        <v>1.0772519036329298</v>
      </c>
      <c r="D6" s="310">
        <v>3419.6987262010871</v>
      </c>
      <c r="E6" s="318">
        <f t="shared" si="1"/>
        <v>6.1576263354854534E-2</v>
      </c>
      <c r="F6" s="315" t="s">
        <v>267</v>
      </c>
      <c r="G6" s="312">
        <v>0.76970329193568165</v>
      </c>
      <c r="H6" s="304" t="s">
        <v>244</v>
      </c>
      <c r="J6">
        <f t="shared" si="0"/>
        <v>1.5</v>
      </c>
      <c r="N6">
        <f>$D6/'Gas parameters'!$O$14</f>
        <v>4507.9076274730915</v>
      </c>
    </row>
    <row r="7" spans="1:14" x14ac:dyDescent="0.25">
      <c r="A7" s="308">
        <v>6</v>
      </c>
      <c r="B7" s="322">
        <v>0.15</v>
      </c>
      <c r="C7" s="310">
        <v>1.0777876070174133</v>
      </c>
      <c r="D7" s="310">
        <v>3298.3706789826756</v>
      </c>
      <c r="E7" s="318">
        <f t="shared" si="1"/>
        <v>0.11545549379035225</v>
      </c>
      <c r="G7">
        <v>1</v>
      </c>
      <c r="J7">
        <f t="shared" si="0"/>
        <v>1.5</v>
      </c>
      <c r="N7">
        <f>$D7/'Gas parameters'!$O$14</f>
        <v>4347.9708396818814</v>
      </c>
    </row>
    <row r="8" spans="1:14" x14ac:dyDescent="0.25">
      <c r="A8" s="308">
        <v>7</v>
      </c>
      <c r="B8" s="322">
        <v>0.2</v>
      </c>
      <c r="C8" s="310">
        <v>1.0782515611760735</v>
      </c>
      <c r="D8" s="310">
        <v>3208.8642513595032</v>
      </c>
      <c r="E8" s="318">
        <f t="shared" si="1"/>
        <v>0.15394065838713633</v>
      </c>
      <c r="J8">
        <f t="shared" si="0"/>
        <v>1.5</v>
      </c>
      <c r="N8">
        <f>$D8/'Gas parameters'!$O$14</f>
        <v>4229.9818762977893</v>
      </c>
    </row>
    <row r="9" spans="1:14" x14ac:dyDescent="0.25">
      <c r="A9" s="308">
        <v>8</v>
      </c>
      <c r="B9" s="322">
        <v>0.25</v>
      </c>
      <c r="C9" s="310">
        <v>1.0788020457129874</v>
      </c>
      <c r="D9" s="310">
        <v>3116.8002195059917</v>
      </c>
      <c r="E9" s="318">
        <f t="shared" si="1"/>
        <v>0.19242582298392041</v>
      </c>
      <c r="J9">
        <f t="shared" si="0"/>
        <v>1.5</v>
      </c>
      <c r="N9">
        <f>$D9/'Gas parameters'!$O$14</f>
        <v>4108.6214335697223</v>
      </c>
    </row>
    <row r="10" spans="1:14" x14ac:dyDescent="0.25">
      <c r="A10" s="308">
        <v>9</v>
      </c>
      <c r="B10" s="322">
        <v>0.3</v>
      </c>
      <c r="C10" s="310">
        <v>1.0794619073085827</v>
      </c>
      <c r="D10" s="310">
        <v>3021.9286133929345</v>
      </c>
      <c r="E10" s="318">
        <f t="shared" si="1"/>
        <v>0.2309109875807045</v>
      </c>
      <c r="J10">
        <f t="shared" si="0"/>
        <v>1.5</v>
      </c>
      <c r="N10">
        <f>$D10/'Gas parameters'!$O$14</f>
        <v>3983.5599965633196</v>
      </c>
    </row>
    <row r="11" spans="1:14" x14ac:dyDescent="0.25">
      <c r="A11" s="308">
        <v>10</v>
      </c>
      <c r="B11" s="322">
        <v>0.35</v>
      </c>
      <c r="C11" s="310">
        <v>1.0802619079849789</v>
      </c>
      <c r="D11" s="310">
        <v>2923.9760511237951</v>
      </c>
      <c r="E11" s="318">
        <f t="shared" si="1"/>
        <v>0.26939615217748858</v>
      </c>
      <c r="J11">
        <f t="shared" si="0"/>
        <v>1.5</v>
      </c>
      <c r="N11">
        <f>$D11/'Gas parameters'!$O$14</f>
        <v>3854.4371884046859</v>
      </c>
    </row>
    <row r="12" spans="1:14" x14ac:dyDescent="0.25">
      <c r="A12" s="308">
        <v>11</v>
      </c>
      <c r="B12" s="322">
        <v>0.4</v>
      </c>
      <c r="C12" s="310">
        <v>1.081244401763642</v>
      </c>
      <c r="D12" s="310">
        <v>2822.6216930173309</v>
      </c>
      <c r="E12" s="318">
        <f t="shared" si="1"/>
        <v>0.30788131677427266</v>
      </c>
      <c r="J12">
        <f t="shared" si="0"/>
        <v>1.5</v>
      </c>
      <c r="N12">
        <f>$D12/'Gas parameters'!$O$14</f>
        <v>3720.8300725248232</v>
      </c>
    </row>
    <row r="13" spans="1:14" x14ac:dyDescent="0.25">
      <c r="A13" s="308">
        <v>12</v>
      </c>
      <c r="B13" s="322">
        <v>0.45</v>
      </c>
      <c r="C13" s="310">
        <v>1.0824689883107994</v>
      </c>
      <c r="D13" s="310">
        <v>2717.4848376922046</v>
      </c>
      <c r="E13" s="318">
        <f t="shared" si="1"/>
        <v>0.34636648137105674</v>
      </c>
      <c r="J13">
        <f t="shared" si="0"/>
        <v>1.5</v>
      </c>
      <c r="N13">
        <f>$D13/'Gas parameters'!$O$14</f>
        <v>3582.2368015979491</v>
      </c>
    </row>
    <row r="14" spans="1:14" x14ac:dyDescent="0.25">
      <c r="A14" s="308">
        <v>13</v>
      </c>
      <c r="B14" s="322">
        <v>0.5</v>
      </c>
      <c r="C14" s="310">
        <v>1.0840216585874447</v>
      </c>
      <c r="D14" s="310">
        <v>2608.1080215692173</v>
      </c>
      <c r="E14" s="318">
        <f t="shared" si="1"/>
        <v>0.38485164596784083</v>
      </c>
      <c r="J14">
        <f t="shared" si="0"/>
        <v>1.5</v>
      </c>
      <c r="N14">
        <f>$D14/'Gas parameters'!$O$14</f>
        <v>3438.0543390050316</v>
      </c>
    </row>
    <row r="15" spans="1:14" x14ac:dyDescent="0.25">
      <c r="A15" s="308">
        <v>14</v>
      </c>
      <c r="B15" s="322">
        <v>0.55000000000000004</v>
      </c>
      <c r="C15" s="310">
        <v>1.0860301279566094</v>
      </c>
      <c r="D15" s="310">
        <v>2493.9334449295607</v>
      </c>
      <c r="E15" s="318">
        <f t="shared" si="1"/>
        <v>0.42333681056462497</v>
      </c>
      <c r="J15">
        <f t="shared" si="0"/>
        <v>1.5</v>
      </c>
      <c r="N15">
        <f>$D15/'Gas parameters'!$O$14</f>
        <v>3287.5473832448729</v>
      </c>
    </row>
    <row r="16" spans="1:14" x14ac:dyDescent="0.25">
      <c r="A16" s="308">
        <v>15</v>
      </c>
      <c r="B16" s="322">
        <v>0.6</v>
      </c>
      <c r="C16" s="310">
        <v>1.0886906336018032</v>
      </c>
      <c r="D16" s="310">
        <v>2374.2691942034735</v>
      </c>
      <c r="E16" s="318">
        <f t="shared" si="1"/>
        <v>0.46182197516140899</v>
      </c>
      <c r="J16">
        <f t="shared" si="0"/>
        <v>1.5</v>
      </c>
      <c r="N16">
        <f>$D16/'Gas parameters'!$O$14</f>
        <v>3129.8038415548026</v>
      </c>
    </row>
    <row r="17" spans="1:14" x14ac:dyDescent="0.25">
      <c r="A17" s="308">
        <v>16</v>
      </c>
      <c r="B17" s="322">
        <v>0.65</v>
      </c>
      <c r="C17" s="310">
        <v>1.0923171154807887</v>
      </c>
      <c r="D17" s="310">
        <v>2248.2392886136518</v>
      </c>
      <c r="E17" s="318">
        <f t="shared" si="1"/>
        <v>0.50030713975819308</v>
      </c>
      <c r="J17">
        <f t="shared" si="0"/>
        <v>1.5</v>
      </c>
      <c r="N17">
        <f>$D17/'Gas parameters'!$O$14</f>
        <v>2963.6689805083729</v>
      </c>
    </row>
    <row r="18" spans="1:14" x14ac:dyDescent="0.25">
      <c r="A18" s="308">
        <v>17</v>
      </c>
      <c r="B18" s="322">
        <v>0.7</v>
      </c>
      <c r="C18" s="310">
        <v>1.0974369089202889</v>
      </c>
      <c r="D18" s="310">
        <v>2114.7069582222571</v>
      </c>
      <c r="E18" s="318">
        <f t="shared" si="1"/>
        <v>0.53879230435497716</v>
      </c>
      <c r="J18">
        <f t="shared" si="0"/>
        <v>1.5</v>
      </c>
      <c r="N18">
        <f>$D18/'Gas parameters'!$O$14</f>
        <v>2787.6442897736051</v>
      </c>
    </row>
    <row r="19" spans="1:14" x14ac:dyDescent="0.25">
      <c r="A19" s="308">
        <v>18</v>
      </c>
      <c r="B19" s="322">
        <v>0.75</v>
      </c>
      <c r="C19" s="310">
        <v>1.1049906538963439</v>
      </c>
      <c r="D19" s="310">
        <v>1972.1512583664883</v>
      </c>
      <c r="E19" s="318">
        <f t="shared" si="1"/>
        <v>0.57727746895176124</v>
      </c>
      <c r="J19">
        <f t="shared" si="0"/>
        <v>1.5</v>
      </c>
      <c r="N19">
        <f>$D19/'Gas parameters'!$O$14</f>
        <v>2599.7248330694542</v>
      </c>
    </row>
    <row r="20" spans="1:14" x14ac:dyDescent="0.25">
      <c r="A20" s="308">
        <v>19</v>
      </c>
      <c r="B20" s="322">
        <v>0.8</v>
      </c>
      <c r="C20" s="310">
        <v>1.1167885414155889</v>
      </c>
      <c r="D20" s="310">
        <v>1818.4569346071087</v>
      </c>
      <c r="E20" s="318">
        <f t="shared" si="1"/>
        <v>0.61576263354854532</v>
      </c>
      <c r="J20">
        <f t="shared" si="0"/>
        <v>1.5</v>
      </c>
      <c r="N20">
        <f>$D20/'Gas parameters'!$O$14</f>
        <v>2397.1222444069449</v>
      </c>
    </row>
    <row r="21" spans="1:14" x14ac:dyDescent="0.25">
      <c r="A21" s="308">
        <v>20</v>
      </c>
      <c r="B21" s="322">
        <v>0.85</v>
      </c>
      <c r="C21" s="310">
        <v>1.1366764467790109</v>
      </c>
      <c r="D21" s="310">
        <v>1650.5292764330147</v>
      </c>
      <c r="E21" s="318">
        <f t="shared" si="1"/>
        <v>0.65424779814532941</v>
      </c>
      <c r="J21">
        <f t="shared" si="0"/>
        <v>1.5</v>
      </c>
      <c r="N21">
        <f>$D21/'Gas parameters'!$O$14</f>
        <v>2175.7570213986482</v>
      </c>
    </row>
    <row r="22" spans="1:14" x14ac:dyDescent="0.25">
      <c r="A22" s="308">
        <v>21</v>
      </c>
      <c r="B22" s="322">
        <v>0.9</v>
      </c>
      <c r="C22" s="310">
        <v>1.1741426487047899</v>
      </c>
      <c r="D22" s="310">
        <v>1462.9783327035789</v>
      </c>
      <c r="E22" s="318">
        <f t="shared" si="1"/>
        <v>0.69273296274211349</v>
      </c>
      <c r="J22">
        <f t="shared" si="0"/>
        <v>1.5</v>
      </c>
      <c r="M22" s="325"/>
      <c r="N22">
        <f>$D22/'Gas parameters'!$O$14</f>
        <v>1928.5240346738449</v>
      </c>
    </row>
    <row r="23" spans="1:14" x14ac:dyDescent="0.25">
      <c r="A23" s="308">
        <v>22</v>
      </c>
      <c r="B23" s="322">
        <v>0.92500000000000004</v>
      </c>
      <c r="C23" s="310">
        <v>1.2064538522304495</v>
      </c>
      <c r="D23" s="310">
        <v>1359.8008793631066</v>
      </c>
      <c r="E23" s="318">
        <f t="shared" ref="E23:E40" si="2">$B23*($E$41-$E$2)+$E$2</f>
        <v>0.71197554504050553</v>
      </c>
      <c r="J23">
        <f t="shared" si="0"/>
        <v>1.5</v>
      </c>
      <c r="N23">
        <f>$D23/'Gas parameters'!$O$14</f>
        <v>1792.5136822608838</v>
      </c>
    </row>
    <row r="24" spans="1:14" x14ac:dyDescent="0.25">
      <c r="A24" s="308">
        <v>23</v>
      </c>
      <c r="B24" s="322">
        <v>0.95</v>
      </c>
      <c r="C24" s="310">
        <v>1.2568571315805355</v>
      </c>
      <c r="D24" s="310">
        <v>1248.0495007533736</v>
      </c>
      <c r="E24" s="318">
        <f t="shared" si="2"/>
        <v>0.73121812733889757</v>
      </c>
      <c r="J24">
        <f t="shared" si="0"/>
        <v>1.5</v>
      </c>
      <c r="N24">
        <f>$D24/'Gas parameters'!$O$14</f>
        <v>1645.2010292029706</v>
      </c>
    </row>
    <row r="25" spans="1:14" x14ac:dyDescent="0.25">
      <c r="A25" s="308">
        <v>24</v>
      </c>
      <c r="B25" s="322">
        <v>0.97</v>
      </c>
      <c r="C25" s="310">
        <v>1.3205115087480912</v>
      </c>
      <c r="D25" s="310">
        <v>1150.7608430687967</v>
      </c>
      <c r="E25" s="318">
        <f t="shared" si="2"/>
        <v>0.74661219317761118</v>
      </c>
      <c r="J25">
        <f t="shared" si="0"/>
        <v>1.5</v>
      </c>
      <c r="N25">
        <f>$D25/'Gas parameters'!$O$14</f>
        <v>1516.95339186501</v>
      </c>
    </row>
    <row r="26" spans="1:14" x14ac:dyDescent="0.25">
      <c r="A26" s="308">
        <v>25</v>
      </c>
      <c r="B26" s="322">
        <v>0.97499999999999998</v>
      </c>
      <c r="C26" s="310">
        <v>1.3414405100061617</v>
      </c>
      <c r="D26" s="310">
        <v>1125.1742404927591</v>
      </c>
      <c r="E26" s="318">
        <f t="shared" si="2"/>
        <v>0.75046070963728961</v>
      </c>
      <c r="J26">
        <f t="shared" si="0"/>
        <v>1.5</v>
      </c>
      <c r="N26">
        <f>$D26/'Gas parameters'!$O$14</f>
        <v>1483.22467768621</v>
      </c>
    </row>
    <row r="27" spans="1:14" x14ac:dyDescent="0.25">
      <c r="A27" s="308">
        <v>26</v>
      </c>
      <c r="B27" s="322">
        <v>0.98</v>
      </c>
      <c r="C27" s="310">
        <v>1.3651012738120496</v>
      </c>
      <c r="D27" s="310">
        <v>1098.9657929166258</v>
      </c>
      <c r="E27" s="318">
        <f t="shared" si="2"/>
        <v>0.75430922609696804</v>
      </c>
      <c r="J27">
        <f t="shared" si="0"/>
        <v>1.5</v>
      </c>
      <c r="N27">
        <f>$D27/'Gas parameters'!$O$14</f>
        <v>1448.6762363783623</v>
      </c>
    </row>
    <row r="28" spans="1:14" x14ac:dyDescent="0.25">
      <c r="A28" s="308">
        <v>27</v>
      </c>
      <c r="B28" s="322">
        <v>0.98499999999999999</v>
      </c>
      <c r="C28" s="310">
        <v>1.3919544849311216</v>
      </c>
      <c r="D28" s="310">
        <v>1072.1167915982051</v>
      </c>
      <c r="E28" s="318">
        <f t="shared" si="2"/>
        <v>0.75815774255664647</v>
      </c>
      <c r="J28">
        <f t="shared" si="0"/>
        <v>1.5</v>
      </c>
      <c r="N28">
        <f>$D28/'Gas parameters'!$O$14</f>
        <v>1413.2834057450632</v>
      </c>
    </row>
    <row r="29" spans="1:14" x14ac:dyDescent="0.25">
      <c r="A29" s="308">
        <v>28</v>
      </c>
      <c r="B29" s="322">
        <v>0.99029999999999996</v>
      </c>
      <c r="C29" s="310">
        <v>1.4245218463596152</v>
      </c>
      <c r="D29" s="310">
        <v>1042.9381616869985</v>
      </c>
      <c r="E29" s="318">
        <f t="shared" si="2"/>
        <v>0.76223717000390556</v>
      </c>
      <c r="J29">
        <f t="shared" si="0"/>
        <v>1.5</v>
      </c>
      <c r="N29">
        <f>$D29/'Gas parameters'!$O$14</f>
        <v>1374.8196173042425</v>
      </c>
    </row>
    <row r="30" spans="1:14" x14ac:dyDescent="0.25">
      <c r="A30" s="308">
        <v>29</v>
      </c>
      <c r="B30" s="322">
        <v>0.99300000000000099</v>
      </c>
      <c r="C30" s="310">
        <v>1.4433348285046432</v>
      </c>
      <c r="D30" s="310">
        <v>1027.5018082118609</v>
      </c>
      <c r="E30" s="318">
        <f t="shared" si="2"/>
        <v>0.7643153688921327</v>
      </c>
      <c r="J30">
        <f t="shared" si="0"/>
        <v>1.5</v>
      </c>
      <c r="N30">
        <f>$D30/'Gas parameters'!$O$14</f>
        <v>1354.471141855867</v>
      </c>
    </row>
    <row r="31" spans="1:14" x14ac:dyDescent="0.25">
      <c r="A31" s="308">
        <v>30</v>
      </c>
      <c r="B31" s="322">
        <v>0.99330000000000096</v>
      </c>
      <c r="C31" s="310">
        <v>1.4455410782943507</v>
      </c>
      <c r="D31" s="310">
        <v>1025.7523020052101</v>
      </c>
      <c r="E31" s="318">
        <f t="shared" si="2"/>
        <v>0.76454627987971335</v>
      </c>
      <c r="J31">
        <f t="shared" si="0"/>
        <v>1.5</v>
      </c>
      <c r="N31">
        <f>$D31/'Gas parameters'!$O$14</f>
        <v>1352.1649116862775</v>
      </c>
    </row>
    <row r="32" spans="1:14" x14ac:dyDescent="0.25">
      <c r="A32" s="308">
        <v>31</v>
      </c>
      <c r="B32" s="322">
        <v>0.99360000000000104</v>
      </c>
      <c r="C32" s="310">
        <v>1.4477089903871996</v>
      </c>
      <c r="D32" s="310">
        <v>1024.0450514207321</v>
      </c>
      <c r="E32" s="318">
        <f t="shared" si="2"/>
        <v>0.76477719086729412</v>
      </c>
      <c r="J32">
        <f t="shared" si="0"/>
        <v>1.5</v>
      </c>
      <c r="N32">
        <f>$D32/'Gas parameters'!$O$14</f>
        <v>1349.9143836287003</v>
      </c>
    </row>
    <row r="33" spans="1:14" x14ac:dyDescent="0.25">
      <c r="A33" s="308">
        <v>32</v>
      </c>
      <c r="B33" s="322">
        <v>0.993900000000001</v>
      </c>
      <c r="C33" s="310">
        <v>1.4498956423992426</v>
      </c>
      <c r="D33" s="310">
        <v>1022.3347936579718</v>
      </c>
      <c r="E33" s="318">
        <f t="shared" si="2"/>
        <v>0.76500810185487478</v>
      </c>
      <c r="J33">
        <f t="shared" si="0"/>
        <v>1.5</v>
      </c>
      <c r="N33">
        <f>$D33/'Gas parameters'!$O$14</f>
        <v>1347.6598914552751</v>
      </c>
    </row>
    <row r="34" spans="1:14" x14ac:dyDescent="0.25">
      <c r="A34" s="308">
        <v>33</v>
      </c>
      <c r="B34" s="322">
        <v>0.99570000000000103</v>
      </c>
      <c r="C34" s="310">
        <v>1.4632846590269699</v>
      </c>
      <c r="D34" s="310">
        <v>1012.1114457213921</v>
      </c>
      <c r="E34" s="318">
        <f t="shared" si="2"/>
        <v>0.76639356778035905</v>
      </c>
      <c r="J34">
        <f t="shared" si="0"/>
        <v>1.5</v>
      </c>
      <c r="N34">
        <f>$D34/'Gas parameters'!$O$14</f>
        <v>1334.1832925407225</v>
      </c>
    </row>
    <row r="35" spans="1:14" x14ac:dyDescent="0.25">
      <c r="A35" s="308">
        <v>34</v>
      </c>
      <c r="B35" s="322">
        <v>0.996000000000001</v>
      </c>
      <c r="C35" s="310">
        <v>1.4657399704815073</v>
      </c>
      <c r="D35" s="310">
        <v>1010.2814748621532</v>
      </c>
      <c r="E35" s="318">
        <f t="shared" si="2"/>
        <v>0.76662447876793971</v>
      </c>
      <c r="J35">
        <f t="shared" si="0"/>
        <v>1.5</v>
      </c>
      <c r="N35">
        <f>$D35/'Gas parameters'!$O$14</f>
        <v>1331.7709924362684</v>
      </c>
    </row>
    <row r="36" spans="1:14" x14ac:dyDescent="0.25">
      <c r="A36" s="308">
        <v>35</v>
      </c>
      <c r="B36" s="322">
        <v>0.99750000000000205</v>
      </c>
      <c r="C36" s="310">
        <v>1.4776599806526505</v>
      </c>
      <c r="D36" s="310">
        <v>1001.5846925503328</v>
      </c>
      <c r="E36" s="318">
        <f t="shared" si="2"/>
        <v>0.76777903370584399</v>
      </c>
      <c r="J36">
        <f t="shared" si="0"/>
        <v>1.5</v>
      </c>
      <c r="N36">
        <f>$D36/'Gas parameters'!$O$14</f>
        <v>1320.3067394546963</v>
      </c>
    </row>
    <row r="37" spans="1:14" x14ac:dyDescent="0.25">
      <c r="A37" s="308">
        <v>36</v>
      </c>
      <c r="B37" s="322">
        <v>0.999000000000002</v>
      </c>
      <c r="C37" s="310">
        <v>1.4901190857368785</v>
      </c>
      <c r="D37" s="310">
        <v>992.8107921478653</v>
      </c>
      <c r="E37" s="318">
        <f t="shared" si="2"/>
        <v>0.7689335886437475</v>
      </c>
      <c r="J37">
        <f t="shared" si="0"/>
        <v>1.5</v>
      </c>
      <c r="N37">
        <f>$D37/'Gas parameters'!$O$14</f>
        <v>1308.7408280356779</v>
      </c>
    </row>
    <row r="38" spans="1:14" x14ac:dyDescent="0.25">
      <c r="A38" s="308">
        <v>37</v>
      </c>
      <c r="B38" s="322">
        <v>0.99930000000000196</v>
      </c>
      <c r="C38" s="310">
        <v>1.4926810673455966</v>
      </c>
      <c r="D38" s="310">
        <v>991.04476335289542</v>
      </c>
      <c r="E38" s="318">
        <f t="shared" si="2"/>
        <v>0.76916449963132816</v>
      </c>
      <c r="J38">
        <f t="shared" si="0"/>
        <v>1.5</v>
      </c>
      <c r="N38">
        <f>$D38/'Gas parameters'!$O$14</f>
        <v>1306.4128174965665</v>
      </c>
    </row>
    <row r="39" spans="1:14" x14ac:dyDescent="0.25">
      <c r="A39" s="308">
        <v>38</v>
      </c>
      <c r="B39" s="322">
        <v>0.99960000000000204</v>
      </c>
      <c r="C39" s="310">
        <v>1.4952635535799654</v>
      </c>
      <c r="D39" s="310">
        <v>989.27736893343172</v>
      </c>
      <c r="E39" s="318">
        <f t="shared" si="2"/>
        <v>0.76939541061890893</v>
      </c>
      <c r="J39">
        <f t="shared" si="0"/>
        <v>1.5</v>
      </c>
      <c r="N39">
        <f>$D39/'Gas parameters'!$O$14</f>
        <v>1304.0830067669808</v>
      </c>
    </row>
    <row r="40" spans="1:14" x14ac:dyDescent="0.25">
      <c r="A40" s="308">
        <v>39</v>
      </c>
      <c r="B40" s="322">
        <v>0.99990000000000201</v>
      </c>
      <c r="C40" s="310">
        <v>1.4978694097408274</v>
      </c>
      <c r="D40" s="310">
        <v>987.50680032078594</v>
      </c>
      <c r="E40" s="318">
        <f t="shared" si="2"/>
        <v>0.76962632160648958</v>
      </c>
      <c r="J40">
        <f t="shared" si="0"/>
        <v>1.5</v>
      </c>
      <c r="N40">
        <f>$D40/'Gas parameters'!$O$14</f>
        <v>1301.7490117595385</v>
      </c>
    </row>
    <row r="41" spans="1:14" ht="13" thickBot="1" x14ac:dyDescent="0.3">
      <c r="A41" s="308">
        <v>40</v>
      </c>
      <c r="B41" s="322">
        <v>1</v>
      </c>
      <c r="C41" s="311">
        <v>1.4978694097408274</v>
      </c>
      <c r="D41" s="311">
        <v>987.50680032078594</v>
      </c>
      <c r="E41" s="319">
        <f>rDPMin</f>
        <v>0.76970329193568165</v>
      </c>
      <c r="J41">
        <f t="shared" si="0"/>
        <v>1.5</v>
      </c>
      <c r="N41">
        <f>$D41/'Gas parameters'!$O$14</f>
        <v>1301.7490117595385</v>
      </c>
    </row>
    <row r="42" spans="1:14" x14ac:dyDescent="0.25">
      <c r="A42"/>
      <c r="B42"/>
      <c r="C42"/>
      <c r="D42"/>
      <c r="J42">
        <f>J41</f>
        <v>1.5</v>
      </c>
      <c r="N42">
        <v>0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2625" r:id="rId3" name="Option Button 1">
              <controlPr defaultSize="0" autoFill="0" autoLine="0" autoPict="0">
                <anchor moveWithCells="1">
                  <from>
                    <xdr:col>2</xdr:col>
                    <xdr:colOff>603250</xdr:colOff>
                    <xdr:row>46</xdr:row>
                    <xdr:rowOff>127000</xdr:rowOff>
                  </from>
                  <to>
                    <xdr:col>3</xdr:col>
                    <xdr:colOff>336550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26" r:id="rId4" name="Option Button 2">
              <controlPr defaultSize="0" autoFill="0" autoLine="0" autoPict="0">
                <anchor moveWithCells="1">
                  <from>
                    <xdr:col>2</xdr:col>
                    <xdr:colOff>603250</xdr:colOff>
                    <xdr:row>47</xdr:row>
                    <xdr:rowOff>152400</xdr:rowOff>
                  </from>
                  <to>
                    <xdr:col>3</xdr:col>
                    <xdr:colOff>336550</xdr:colOff>
                    <xdr:row>49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3:Q133"/>
  <sheetViews>
    <sheetView topLeftCell="A51" workbookViewId="0">
      <selection activeCell="B80" sqref="B80"/>
    </sheetView>
  </sheetViews>
  <sheetFormatPr defaultRowHeight="12.5" x14ac:dyDescent="0.25"/>
  <cols>
    <col min="1" max="1" width="39.453125" customWidth="1"/>
    <col min="2" max="2" width="13.1796875" bestFit="1" customWidth="1"/>
  </cols>
  <sheetData>
    <row r="3" spans="1:5" ht="20" x14ac:dyDescent="0.4">
      <c r="A3" s="53" t="s">
        <v>62</v>
      </c>
    </row>
    <row r="7" spans="1:5" x14ac:dyDescent="0.25">
      <c r="A7" t="s">
        <v>63</v>
      </c>
      <c r="B7">
        <f>B37*3600*2*B39^3/(1-B39^4)</f>
        <v>295.57587841404319</v>
      </c>
    </row>
    <row r="8" spans="1:5" x14ac:dyDescent="0.25">
      <c r="A8" t="s">
        <v>64</v>
      </c>
      <c r="B8">
        <f>2/(B39*B41)*3600*B37</f>
        <v>92.545921592420626</v>
      </c>
    </row>
    <row r="9" spans="1:5" x14ac:dyDescent="0.25">
      <c r="A9" t="s">
        <v>65</v>
      </c>
      <c r="B9">
        <f>B37*3600/B55</f>
        <v>2923.3096516506521</v>
      </c>
    </row>
    <row r="10" spans="1:5" x14ac:dyDescent="0.25">
      <c r="A10" t="s">
        <v>66</v>
      </c>
      <c r="B10">
        <f>3600*B37/(2*D59/100)</f>
        <v>53050.647760601969</v>
      </c>
    </row>
    <row r="11" spans="1:5" x14ac:dyDescent="0.25">
      <c r="A11" t="s">
        <v>67</v>
      </c>
      <c r="B11">
        <f>3600*B37/(2*B53)</f>
        <v>5.881553319881041</v>
      </c>
    </row>
    <row r="12" spans="1:5" x14ac:dyDescent="0.25">
      <c r="A12" t="s">
        <v>68</v>
      </c>
      <c r="B12">
        <f>3600*B37/B79</f>
        <v>1757.944412911409</v>
      </c>
    </row>
    <row r="14" spans="1:5" x14ac:dyDescent="0.25">
      <c r="A14" t="s">
        <v>69</v>
      </c>
      <c r="B14">
        <f>1/B41</f>
        <v>1.1394712853236098E-2</v>
      </c>
    </row>
    <row r="15" spans="1:5" x14ac:dyDescent="0.25">
      <c r="A15" t="s">
        <v>70</v>
      </c>
      <c r="B15">
        <f>(0.000521*0.7*(B39*1000000/B47)^(-0.3)*(-B65*1000000/(B47^2)))+(0.0063*B39^(3.5)*(1000000/B47)^(0.3)*0.8*(19000*B39/B47)^(-0.2)*(-19000*B39/B47^2))+((0.0188+0.0063*E15)*B39^3.5*0.3*(1000000/B47)^(-0.7)*(-1000000/B47^2))+((0.043+0.08*EXP(-10*E16)-0.123*EXP(-7*E16))*0.11*B39^4/(1-B39^4)*0.8*(19000*B39/B47)^(-0.2)*(-19000*B39/B47^2))</f>
        <v>-1.7191701276736299E-9</v>
      </c>
      <c r="D15" t="s">
        <v>16</v>
      </c>
      <c r="E15">
        <f>(19000*B39/B47)^0.8</f>
        <v>4.1017827543444595E-2</v>
      </c>
    </row>
    <row r="16" spans="1:5" x14ac:dyDescent="0.25">
      <c r="A16" t="s">
        <v>71</v>
      </c>
      <c r="B16">
        <f>4/PI()/B43/(B41/1000)/3600</f>
        <v>253.46259618522427</v>
      </c>
      <c r="D16" t="s">
        <v>83</v>
      </c>
      <c r="E16">
        <f>'Coef Disc &amp; Expansao'!U13</f>
        <v>1</v>
      </c>
    </row>
    <row r="18" spans="1:2" x14ac:dyDescent="0.25">
      <c r="A18" t="s">
        <v>72</v>
      </c>
      <c r="B18">
        <f>B9*B15*B16</f>
        <v>-1.2738185108555108E-3</v>
      </c>
    </row>
    <row r="20" spans="1:2" ht="13" x14ac:dyDescent="0.3">
      <c r="A20" s="1" t="s">
        <v>73</v>
      </c>
    </row>
    <row r="21" spans="1:2" x14ac:dyDescent="0.25">
      <c r="A21" t="s">
        <v>61</v>
      </c>
    </row>
    <row r="22" spans="1:2" x14ac:dyDescent="0.25">
      <c r="A22" t="s">
        <v>74</v>
      </c>
    </row>
    <row r="23" spans="1:2" x14ac:dyDescent="0.25">
      <c r="A23" t="s">
        <v>75</v>
      </c>
    </row>
    <row r="24" spans="1:2" x14ac:dyDescent="0.25">
      <c r="A24" t="s">
        <v>27</v>
      </c>
    </row>
    <row r="25" spans="1:2" x14ac:dyDescent="0.25">
      <c r="A25" t="s">
        <v>76</v>
      </c>
    </row>
    <row r="26" spans="1:2" x14ac:dyDescent="0.25">
      <c r="A26" t="s">
        <v>77</v>
      </c>
    </row>
    <row r="28" spans="1:2" x14ac:dyDescent="0.25">
      <c r="A28" t="s">
        <v>40</v>
      </c>
      <c r="B28">
        <f>2*B8*B7*B14*'Metering station'!M19^2</f>
        <v>0.38575143332797146</v>
      </c>
    </row>
    <row r="33" spans="1:7" x14ac:dyDescent="0.25">
      <c r="A33" t="s">
        <v>78</v>
      </c>
    </row>
    <row r="37" spans="1:7" x14ac:dyDescent="0.25">
      <c r="A37" t="s">
        <v>3</v>
      </c>
      <c r="B37" s="119">
        <f>'Metering station'!H11/3600</f>
        <v>0.48830827240223051</v>
      </c>
      <c r="C37" t="s">
        <v>47</v>
      </c>
    </row>
    <row r="38" spans="1:7" x14ac:dyDescent="0.25">
      <c r="G38" s="119"/>
    </row>
    <row r="39" spans="1:7" x14ac:dyDescent="0.25">
      <c r="A39" t="s">
        <v>131</v>
      </c>
      <c r="B39">
        <f>'Coef Disc &amp; Expansao'!F14</f>
        <v>0.43288514129443939</v>
      </c>
    </row>
    <row r="41" spans="1:7" x14ac:dyDescent="0.25">
      <c r="A41" t="s">
        <v>138</v>
      </c>
      <c r="B41" s="119">
        <f>'Coef Disc &amp; Expansao'!F16</f>
        <v>87.76</v>
      </c>
      <c r="C41" t="s">
        <v>6</v>
      </c>
    </row>
    <row r="43" spans="1:7" x14ac:dyDescent="0.25">
      <c r="A43" t="s">
        <v>142</v>
      </c>
      <c r="B43" s="118">
        <f>'Coef Disc &amp; Expansao'!N12/1000</f>
        <v>1.59E-5</v>
      </c>
    </row>
    <row r="45" spans="1:7" x14ac:dyDescent="0.25">
      <c r="A45" t="s">
        <v>140</v>
      </c>
      <c r="B45" s="119">
        <f>'Coef Disc &amp; Expansao'!N14</f>
        <v>0.48830827240223051</v>
      </c>
    </row>
    <row r="47" spans="1:7" x14ac:dyDescent="0.25">
      <c r="A47" t="s">
        <v>137</v>
      </c>
      <c r="B47" s="50">
        <f>4*B45/(PI()*B43*B41/1000)</f>
        <v>445564.37686244771</v>
      </c>
    </row>
    <row r="49" spans="1:17" x14ac:dyDescent="0.25">
      <c r="A49" t="s">
        <v>83</v>
      </c>
      <c r="B49">
        <f>'Coef Disc &amp; Expansao'!U13</f>
        <v>1</v>
      </c>
    </row>
    <row r="51" spans="1:17" x14ac:dyDescent="0.25">
      <c r="A51" t="s">
        <v>139</v>
      </c>
      <c r="B51">
        <f>'Coef Disc &amp; Expansao'!U14</f>
        <v>0.47</v>
      </c>
      <c r="H51" t="s">
        <v>172</v>
      </c>
    </row>
    <row r="53" spans="1:17" x14ac:dyDescent="0.25">
      <c r="A53" t="s">
        <v>76</v>
      </c>
      <c r="B53">
        <f>'Gas parameters'!F18</f>
        <v>149.44264593384534</v>
      </c>
      <c r="I53" t="s">
        <v>174</v>
      </c>
      <c r="J53" t="s">
        <v>173</v>
      </c>
    </row>
    <row r="54" spans="1:17" x14ac:dyDescent="0.25">
      <c r="I54">
        <f>'Gas parameters'!F22</f>
        <v>0</v>
      </c>
      <c r="J54">
        <f>'Gas parameters'!O26</f>
        <v>0</v>
      </c>
    </row>
    <row r="55" spans="1:17" x14ac:dyDescent="0.25">
      <c r="A55" t="s">
        <v>75</v>
      </c>
      <c r="B55" s="8">
        <f>IF(B41&gt;71.17,0.5961+0.0261*B39^2-0.216*B39^8+0.000521*(B39*1000000/B47)^0.7+(0.0188+0.0063*(19000*B39/B47)^0.8)*B39^3.5*(1000000/B47)^0.3+(0.043+0.08*EXP(-10*B49)-0.123*EXP(-7*B49))*(1-0.11*(19000*B39/B47)^0.8)*(B39^4)/(1-(B39^4))-0.031*(2*B51/(1-B39)-0.8*(2*B51/(1-B39))^1.1)*B39^1.3,0.5961+0.0261*B39^2-0.216*B39^8+0.000521*(B39*1000000/B47)^0.7+(0.0188+0.0063*(19000*B39/B47)^0.8)*B39^3.5*(1000000/B47)^0.3+(0.043+0.08*EXP(-10*B49)-0.123*EXP(-7*B49))*(1-0.11*(19000*B39/B47)^0.8)*(B39^4)/(1-(B39^4))-0.031*(2*B51/(1-B39)-0.8*(2*B51/(1-B39))^1.1)*B39^1.3+0.011*(0.75-B39)*(2.8-B41/25.4))</f>
        <v>0.60134231064280963</v>
      </c>
      <c r="I55" t="s">
        <v>175</v>
      </c>
      <c r="J55" t="s">
        <v>176</v>
      </c>
    </row>
    <row r="56" spans="1:17" x14ac:dyDescent="0.25">
      <c r="I56">
        <f>(B55/(1-B39^4))*(B57*PI()/4)*(('Meter run parameters'!O66/1000)^2)*((2*I54*B53)^0.5)</f>
        <v>0</v>
      </c>
      <c r="J56">
        <f>(B55/(1-B39^4))*(B57*PI()/4)*(('Meter run parameters'!O66/1000)^2)*((2*J54*B53)^0.5)</f>
        <v>0</v>
      </c>
    </row>
    <row r="57" spans="1:17" x14ac:dyDescent="0.25">
      <c r="A57" t="s">
        <v>77</v>
      </c>
      <c r="B57">
        <v>0.99998030034475383</v>
      </c>
      <c r="C57" t="s">
        <v>81</v>
      </c>
    </row>
    <row r="59" spans="1:17" x14ac:dyDescent="0.25">
      <c r="A59" t="s">
        <v>79</v>
      </c>
      <c r="B59">
        <f>8*B37^2*(1-B39^4)/(PI()^2*B57^2*(B41*B39/1000)^4*B53*B55^2)</f>
        <v>1656.8221641522921</v>
      </c>
      <c r="C59" t="s">
        <v>80</v>
      </c>
      <c r="D59">
        <f>B59/1000</f>
        <v>1.656822164152292</v>
      </c>
      <c r="E59" s="304" t="s">
        <v>244</v>
      </c>
    </row>
    <row r="61" spans="1:17" ht="13" x14ac:dyDescent="0.25">
      <c r="A61" s="36" t="s">
        <v>43</v>
      </c>
      <c r="B61" s="598" t="str">
        <f>'Coef Disc &amp; Expansao'!F44</f>
        <v>Upstream tapping</v>
      </c>
      <c r="C61" s="599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9"/>
    </row>
    <row r="62" spans="1:17" x14ac:dyDescent="0.25">
      <c r="A62" s="36"/>
      <c r="B62" s="6"/>
      <c r="C62" s="3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9"/>
    </row>
    <row r="63" spans="1:17" ht="13" x14ac:dyDescent="0.25">
      <c r="A63" s="36"/>
      <c r="B63" s="598"/>
      <c r="C63" s="599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9"/>
    </row>
    <row r="64" spans="1:17" x14ac:dyDescent="0.25">
      <c r="A64" s="36"/>
      <c r="B64" s="6"/>
      <c r="C64" s="3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9"/>
    </row>
    <row r="65" spans="1:17" x14ac:dyDescent="0.25">
      <c r="A65" s="36" t="s">
        <v>44</v>
      </c>
      <c r="B65" s="48">
        <f>B39</f>
        <v>0.43288514129443939</v>
      </c>
      <c r="C65" s="3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9"/>
    </row>
    <row r="66" spans="1:17" x14ac:dyDescent="0.25">
      <c r="A66" s="36"/>
      <c r="B66" s="49"/>
      <c r="C66" s="3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9"/>
    </row>
    <row r="67" spans="1:17" x14ac:dyDescent="0.25">
      <c r="A67" s="36" t="s">
        <v>45</v>
      </c>
      <c r="B67" s="48">
        <f>'Coef Disc &amp; Expansao'!F48</f>
        <v>1.7769999999999999</v>
      </c>
      <c r="C67" s="3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9"/>
    </row>
    <row r="68" spans="1:17" x14ac:dyDescent="0.25">
      <c r="A68" s="36"/>
      <c r="B68" s="49"/>
      <c r="C68" s="3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9"/>
    </row>
    <row r="69" spans="1:17" x14ac:dyDescent="0.25">
      <c r="A69" s="36" t="s">
        <v>35</v>
      </c>
      <c r="B69" s="48">
        <f>B59</f>
        <v>1656.8221641522921</v>
      </c>
      <c r="C69" s="36" t="s">
        <v>80</v>
      </c>
      <c r="F69" s="6">
        <f>B69/1000</f>
        <v>1.656822164152292</v>
      </c>
      <c r="G69" s="6"/>
      <c r="H69" s="6"/>
      <c r="I69" s="6"/>
      <c r="J69" s="6"/>
      <c r="K69" s="6"/>
      <c r="L69" s="6"/>
      <c r="M69" s="6"/>
      <c r="N69" s="6"/>
      <c r="O69" s="6"/>
      <c r="P69" s="6"/>
      <c r="Q69" s="9"/>
    </row>
    <row r="70" spans="1:17" x14ac:dyDescent="0.25">
      <c r="A70" s="36"/>
      <c r="B70" s="49"/>
      <c r="C70" s="3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9"/>
    </row>
    <row r="71" spans="1:17" x14ac:dyDescent="0.25">
      <c r="A71" s="36" t="str">
        <f>IF(B61=A73,"Upstream pressure","Downstream pressure")</f>
        <v>Upstream pressure</v>
      </c>
      <c r="B71" s="302">
        <f>'Gas parameters'!F10</f>
        <v>17092</v>
      </c>
      <c r="C71" s="36" t="s">
        <v>245</v>
      </c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9"/>
    </row>
    <row r="72" spans="1:17" x14ac:dyDescent="0.25">
      <c r="A72" s="36"/>
      <c r="B72" s="6"/>
      <c r="C72" s="6"/>
      <c r="D72" s="6"/>
      <c r="E72" s="3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9"/>
    </row>
    <row r="73" spans="1:17" x14ac:dyDescent="0.25">
      <c r="A73" s="6" t="s">
        <v>41</v>
      </c>
      <c r="D73" s="5"/>
      <c r="E73" s="12"/>
      <c r="F73" s="13"/>
      <c r="G73" s="11"/>
      <c r="H73" s="11"/>
      <c r="I73" s="6"/>
      <c r="J73" s="6"/>
      <c r="K73" s="4"/>
      <c r="L73" s="4"/>
      <c r="M73" s="4"/>
      <c r="N73" s="14"/>
      <c r="O73" s="6"/>
      <c r="P73" s="15"/>
      <c r="Q73" s="9"/>
    </row>
    <row r="74" spans="1:17" x14ac:dyDescent="0.25">
      <c r="A74" s="6" t="s">
        <v>42</v>
      </c>
    </row>
    <row r="75" spans="1:17" x14ac:dyDescent="0.25">
      <c r="A75" s="6"/>
      <c r="D75" s="17"/>
      <c r="E75" s="6"/>
      <c r="F75" s="20"/>
      <c r="G75" s="2"/>
      <c r="H75" s="20"/>
      <c r="I75" s="16"/>
      <c r="J75" s="2"/>
      <c r="K75" s="6"/>
      <c r="L75" s="3"/>
      <c r="N75" s="9"/>
    </row>
    <row r="76" spans="1:17" x14ac:dyDescent="0.25">
      <c r="A76" s="6"/>
    </row>
    <row r="77" spans="1:17" x14ac:dyDescent="0.25">
      <c r="A77" s="6"/>
    </row>
    <row r="79" spans="1:17" x14ac:dyDescent="0.25">
      <c r="A79" s="2" t="s">
        <v>46</v>
      </c>
      <c r="B79" s="8">
        <f>IF(B61=A73,1-(0.351+0.256*B65^4+0.93*B65^8)*(1-((B71-B69/1000)/B71)^(1/B67)),1-(0.351+0.256*B65^4+0.93*B65^8)*(1-(B71/(B71+B69/1000))^(1/B67)))</f>
        <v>0.9999802995685616</v>
      </c>
      <c r="C79" s="6"/>
    </row>
    <row r="81" spans="1:17" x14ac:dyDescent="0.25">
      <c r="A81" s="2"/>
    </row>
    <row r="94" spans="1:17" x14ac:dyDescent="0.25">
      <c r="A94" s="2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18"/>
      <c r="P94" s="2"/>
      <c r="Q94" s="9"/>
    </row>
    <row r="95" spans="1:17" x14ac:dyDescent="0.25">
      <c r="A95" s="6"/>
      <c r="B95" s="19"/>
      <c r="C95" s="19"/>
    </row>
    <row r="96" spans="1:17" ht="13" x14ac:dyDescent="0.25">
      <c r="A96" s="21"/>
      <c r="B96" s="6"/>
      <c r="C96" s="6"/>
      <c r="D96" s="6"/>
      <c r="E96" s="6"/>
      <c r="F96" s="6"/>
      <c r="G96" s="17"/>
      <c r="H96" s="6"/>
      <c r="I96" s="20"/>
      <c r="J96" s="2"/>
      <c r="K96" s="20"/>
      <c r="L96" s="6"/>
      <c r="M96" s="2"/>
      <c r="N96" s="6"/>
      <c r="O96" s="3"/>
      <c r="P96" s="2"/>
      <c r="Q96" s="9"/>
    </row>
    <row r="98" spans="1:17" x14ac:dyDescent="0.25">
      <c r="A98" s="7"/>
      <c r="B98" s="7"/>
      <c r="C98" s="7"/>
      <c r="D98" s="7"/>
      <c r="E98" s="7"/>
      <c r="F98" s="7"/>
      <c r="G98" s="26"/>
      <c r="H98" s="7"/>
      <c r="I98" s="27"/>
      <c r="J98" s="23"/>
      <c r="K98" s="25"/>
      <c r="L98" s="27"/>
      <c r="M98" s="23"/>
      <c r="N98" s="7"/>
      <c r="O98" s="28"/>
      <c r="P98" s="23"/>
      <c r="Q98" s="10"/>
    </row>
    <row r="99" spans="1:17" x14ac:dyDescent="0.25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</row>
    <row r="100" spans="1:17" x14ac:dyDescent="0.25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</row>
    <row r="101" spans="1:17" x14ac:dyDescent="0.25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</row>
    <row r="102" spans="1:17" x14ac:dyDescent="0.25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</row>
    <row r="103" spans="1:17" x14ac:dyDescent="0.25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</row>
    <row r="104" spans="1:17" x14ac:dyDescent="0.25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</row>
    <row r="105" spans="1:17" x14ac:dyDescent="0.25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</row>
    <row r="106" spans="1:17" x14ac:dyDescent="0.25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</row>
    <row r="107" spans="1:17" x14ac:dyDescent="0.25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</row>
    <row r="108" spans="1:17" x14ac:dyDescent="0.25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</row>
    <row r="109" spans="1:17" x14ac:dyDescent="0.25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</row>
    <row r="110" spans="1:17" x14ac:dyDescent="0.25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</row>
    <row r="111" spans="1:17" x14ac:dyDescent="0.25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</row>
    <row r="112" spans="1:17" x14ac:dyDescent="0.25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</row>
    <row r="113" spans="1:17" x14ac:dyDescent="0.25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</row>
    <row r="114" spans="1:17" x14ac:dyDescent="0.25">
      <c r="A114" s="22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</row>
    <row r="115" spans="1:17" x14ac:dyDescent="0.25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</row>
    <row r="116" spans="1:17" x14ac:dyDescent="0.25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</row>
    <row r="117" spans="1:17" x14ac:dyDescent="0.25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</row>
    <row r="118" spans="1:17" x14ac:dyDescent="0.25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</row>
    <row r="119" spans="1:17" x14ac:dyDescent="0.25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</row>
    <row r="120" spans="1:17" x14ac:dyDescent="0.25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</row>
    <row r="121" spans="1:17" x14ac:dyDescent="0.25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</row>
    <row r="122" spans="1:17" x14ac:dyDescent="0.25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</row>
    <row r="123" spans="1:17" x14ac:dyDescent="0.25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</row>
    <row r="124" spans="1:17" x14ac:dyDescent="0.2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</row>
    <row r="125" spans="1:17" x14ac:dyDescent="0.2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</row>
    <row r="126" spans="1:17" x14ac:dyDescent="0.2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</row>
    <row r="127" spans="1:17" x14ac:dyDescent="0.2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</row>
    <row r="128" spans="1:17" x14ac:dyDescent="0.2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</row>
    <row r="129" spans="1:17" x14ac:dyDescent="0.25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</row>
    <row r="130" spans="1:17" x14ac:dyDescent="0.25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</row>
    <row r="131" spans="1:17" x14ac:dyDescent="0.25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</row>
    <row r="132" spans="1:17" x14ac:dyDescent="0.25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</row>
    <row r="133" spans="1:17" x14ac:dyDescent="0.25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</row>
  </sheetData>
  <mergeCells count="2">
    <mergeCell ref="B61:C61"/>
    <mergeCell ref="B63:C63"/>
  </mergeCells>
  <phoneticPr fontId="14" type="noConversion"/>
  <dataValidations disablePrompts="1" count="2">
    <dataValidation type="list" allowBlank="1" showInputMessage="1" showErrorMessage="1" sqref="I98 G98 D75 G96" xr:uid="{00000000-0002-0000-0A00-000000000000}">
      <formula1>"95%,99%"</formula1>
    </dataValidation>
    <dataValidation operator="greaterThanOrEqual" allowBlank="1" showInputMessage="1" showErrorMessage="1" error="Black boxes cannot be given values. You have selected 'Overall input level'. Give input there." sqref="D73" xr:uid="{00000000-0002-0000-0A00-000001000000}"/>
  </dataValidations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258054" r:id="rId3" name="TextBox1">
          <controlPr defaultSize="0" autoLine="0" linkedCell="B37" r:id="rId4">
            <anchor moveWithCells="1">
              <from>
                <xdr:col>5</xdr:col>
                <xdr:colOff>222250</xdr:colOff>
                <xdr:row>42</xdr:row>
                <xdr:rowOff>114300</xdr:rowOff>
              </from>
              <to>
                <xdr:col>8</xdr:col>
                <xdr:colOff>342900</xdr:colOff>
                <xdr:row>44</xdr:row>
                <xdr:rowOff>69850</xdr:rowOff>
              </to>
            </anchor>
          </controlPr>
        </control>
      </mc:Choice>
      <mc:Fallback>
        <control shapeId="258054" r:id="rId3" name="TextBox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:AP47"/>
  <sheetViews>
    <sheetView topLeftCell="A84" workbookViewId="0">
      <selection activeCell="N124" sqref="N124"/>
    </sheetView>
  </sheetViews>
  <sheetFormatPr defaultRowHeight="12.5" x14ac:dyDescent="0.25"/>
  <cols>
    <col min="4" max="4" width="11" bestFit="1" customWidth="1"/>
    <col min="9" max="18" width="9.1796875" customWidth="1"/>
    <col min="32" max="32" width="10.453125" customWidth="1"/>
    <col min="33" max="33" width="9.453125" bestFit="1" customWidth="1"/>
    <col min="34" max="34" width="10.54296875" bestFit="1" customWidth="1"/>
  </cols>
  <sheetData>
    <row r="1" spans="1:42" x14ac:dyDescent="0.25">
      <c r="D1" s="234" t="s">
        <v>185</v>
      </c>
      <c r="V1" s="234" t="s">
        <v>186</v>
      </c>
      <c r="AD1" s="600" t="s">
        <v>206</v>
      </c>
      <c r="AE1" s="601"/>
      <c r="AF1" s="601"/>
      <c r="AG1" s="601"/>
      <c r="AH1" s="601"/>
      <c r="AJ1" s="600" t="s">
        <v>186</v>
      </c>
      <c r="AK1" s="601"/>
      <c r="AL1" s="601"/>
      <c r="AM1" s="601"/>
      <c r="AN1" s="601"/>
      <c r="AP1" s="234" t="s">
        <v>220</v>
      </c>
    </row>
    <row r="2" spans="1:42" x14ac:dyDescent="0.25">
      <c r="A2" s="234" t="s">
        <v>180</v>
      </c>
      <c r="B2" s="234" t="s">
        <v>181</v>
      </c>
      <c r="C2" s="234" t="s">
        <v>60</v>
      </c>
      <c r="D2" s="304" t="s">
        <v>182</v>
      </c>
      <c r="E2" s="234" t="s">
        <v>180</v>
      </c>
      <c r="F2" s="234" t="s">
        <v>60</v>
      </c>
      <c r="G2" s="234" t="s">
        <v>183</v>
      </c>
      <c r="H2" s="234" t="s">
        <v>181</v>
      </c>
      <c r="T2" t="s">
        <v>3</v>
      </c>
      <c r="U2" s="234" t="s">
        <v>184</v>
      </c>
      <c r="V2" s="234" t="s">
        <v>85</v>
      </c>
      <c r="W2" s="234" t="s">
        <v>84</v>
      </c>
      <c r="X2" s="234" t="s">
        <v>3</v>
      </c>
      <c r="Y2" s="234" t="s">
        <v>85</v>
      </c>
      <c r="Z2" s="234" t="s">
        <v>183</v>
      </c>
      <c r="AA2" s="234" t="s">
        <v>184</v>
      </c>
      <c r="AD2" s="234" t="s">
        <v>202</v>
      </c>
      <c r="AE2" s="234" t="s">
        <v>203</v>
      </c>
      <c r="AF2" s="234" t="s">
        <v>180</v>
      </c>
      <c r="AG2" s="234" t="s">
        <v>204</v>
      </c>
      <c r="AH2" s="234" t="s">
        <v>205</v>
      </c>
      <c r="AJ2" s="234" t="s">
        <v>202</v>
      </c>
      <c r="AK2" s="234" t="s">
        <v>203</v>
      </c>
      <c r="AL2" s="234" t="s">
        <v>180</v>
      </c>
      <c r="AM2" s="234" t="s">
        <v>204</v>
      </c>
      <c r="AN2" s="234" t="s">
        <v>205</v>
      </c>
    </row>
    <row r="3" spans="1:42" ht="15.5" x14ac:dyDescent="0.4">
      <c r="A3">
        <v>1381</v>
      </c>
      <c r="B3">
        <v>11960</v>
      </c>
      <c r="C3">
        <v>40025.426039459308</v>
      </c>
      <c r="D3">
        <v>2.2223502350159898E-3</v>
      </c>
      <c r="E3">
        <f>IF(A3="",E2,A3)</f>
        <v>1381</v>
      </c>
      <c r="F3">
        <f>IF(C3="",F2,C3)</f>
        <v>40025.426039459308</v>
      </c>
      <c r="G3">
        <v>10</v>
      </c>
      <c r="H3">
        <f t="shared" ref="H3:H47" si="0">IF(B3="",H2,B3)</f>
        <v>11960</v>
      </c>
      <c r="J3" t="s">
        <v>86</v>
      </c>
      <c r="Q3">
        <v>1.5</v>
      </c>
      <c r="R3">
        <v>2</v>
      </c>
      <c r="W3">
        <v>0</v>
      </c>
      <c r="X3">
        <f>IF(T3="",0,T3)</f>
        <v>0</v>
      </c>
      <c r="Y3" t="str">
        <f>IF(V3="",Y2,V3)</f>
        <v>dp</v>
      </c>
      <c r="Z3">
        <v>0</v>
      </c>
      <c r="AA3" t="str">
        <f>IF(U3="",AA2,U3)</f>
        <v>eqm</v>
      </c>
      <c r="AD3">
        <v>10050.374728166082</v>
      </c>
      <c r="AE3">
        <v>10050.374728166082</v>
      </c>
      <c r="AF3">
        <f>E3</f>
        <v>1381</v>
      </c>
      <c r="AG3">
        <f>IF(AD3="",AG2,AD3)</f>
        <v>10050.374728166082</v>
      </c>
      <c r="AH3">
        <f>IF(AE3="",AH2,AE3)</f>
        <v>10050.374728166082</v>
      </c>
      <c r="AL3">
        <f>E3</f>
        <v>1381</v>
      </c>
      <c r="AM3" t="str">
        <f>IF(AJ3="",AM2,AJ3)</f>
        <v>USED (Q)</v>
      </c>
      <c r="AN3" t="str">
        <f>IF(AK3="",AN2,AK3)</f>
        <v>USED (EQ)</v>
      </c>
      <c r="AP3" s="119">
        <f>IF(AM3&gt;AG3,AG3,AM3)</f>
        <v>10050.374728166082</v>
      </c>
    </row>
    <row r="4" spans="1:42" x14ac:dyDescent="0.25">
      <c r="A4">
        <v>1745.7931034482758</v>
      </c>
      <c r="B4">
        <v>11960</v>
      </c>
      <c r="C4">
        <v>40025.426039459308</v>
      </c>
      <c r="D4">
        <v>0.55765116968651285</v>
      </c>
      <c r="E4">
        <f t="shared" ref="E4:E47" si="1">IF(A4="",E3,A4)</f>
        <v>1745.7931034482758</v>
      </c>
      <c r="F4">
        <f t="shared" ref="F4:F47" si="2">IF(C4="",F3,C4)</f>
        <v>40025.426039459308</v>
      </c>
      <c r="G4">
        <v>2509.2857142857142</v>
      </c>
      <c r="H4">
        <f t="shared" si="0"/>
        <v>11960</v>
      </c>
      <c r="J4">
        <v>80137.8</v>
      </c>
      <c r="Q4">
        <v>1.5</v>
      </c>
      <c r="R4">
        <v>2</v>
      </c>
      <c r="W4">
        <v>0</v>
      </c>
      <c r="X4">
        <f>IF(T4="",X3,T4)</f>
        <v>0</v>
      </c>
      <c r="Y4" t="str">
        <f t="shared" ref="Y4:Y47" si="3">IF(V4="",Y3,V4)</f>
        <v>dp</v>
      </c>
      <c r="Z4">
        <v>0</v>
      </c>
      <c r="AA4" t="str">
        <f t="shared" ref="AA4:AA47" si="4">IF(U4="",AA3,U4)</f>
        <v>eqm</v>
      </c>
      <c r="AD4">
        <v>10050.374728166082</v>
      </c>
      <c r="AE4">
        <v>10050.374728166082</v>
      </c>
      <c r="AF4">
        <f t="shared" ref="AF4:AF47" si="5">E4</f>
        <v>1745.7931034482758</v>
      </c>
      <c r="AG4">
        <f t="shared" ref="AG4:AH47" si="6">IF(AD4="",AG3,AD4)</f>
        <v>10050.374728166082</v>
      </c>
      <c r="AH4">
        <f t="shared" si="6"/>
        <v>10050.374728166082</v>
      </c>
      <c r="AL4">
        <f t="shared" ref="AL4:AL47" si="7">E4</f>
        <v>1745.7931034482758</v>
      </c>
      <c r="AM4" t="str">
        <f t="shared" ref="AM4:AM34" si="8">IF(AJ4="",AM3,AJ4)</f>
        <v>USED (Q)</v>
      </c>
      <c r="AN4" t="str">
        <f t="shared" ref="AN4:AN34" si="9">IF(AK4="",AN3,AK4)</f>
        <v>USED (EQ)</v>
      </c>
      <c r="AP4" s="119" t="str">
        <f>IF(AM4&gt;AG4,AM4,AG4)</f>
        <v>USED (Q)</v>
      </c>
    </row>
    <row r="5" spans="1:42" x14ac:dyDescent="0.25">
      <c r="A5">
        <v>2110.5862068965516</v>
      </c>
      <c r="B5">
        <v>11960</v>
      </c>
      <c r="C5">
        <v>40025.426039459308</v>
      </c>
      <c r="D5">
        <v>1.1130799891380097</v>
      </c>
      <c r="E5">
        <f t="shared" si="1"/>
        <v>2110.5862068965516</v>
      </c>
      <c r="F5">
        <f t="shared" si="2"/>
        <v>40025.426039459308</v>
      </c>
      <c r="G5">
        <v>5008.5714285714284</v>
      </c>
      <c r="H5">
        <f t="shared" si="0"/>
        <v>11960</v>
      </c>
      <c r="J5" t="s">
        <v>59</v>
      </c>
      <c r="Q5">
        <v>1.5</v>
      </c>
      <c r="R5">
        <v>2</v>
      </c>
      <c r="W5">
        <v>0</v>
      </c>
      <c r="X5">
        <f t="shared" ref="X5:X47" si="10">IF(T5="",X4,T5)</f>
        <v>0</v>
      </c>
      <c r="Y5" t="str">
        <f t="shared" si="3"/>
        <v>dp</v>
      </c>
      <c r="Z5">
        <v>0</v>
      </c>
      <c r="AA5" t="str">
        <f t="shared" si="4"/>
        <v>eqm</v>
      </c>
      <c r="AD5">
        <v>10050.374728166082</v>
      </c>
      <c r="AE5">
        <v>10050.374728166082</v>
      </c>
      <c r="AF5">
        <f t="shared" si="5"/>
        <v>2110.5862068965516</v>
      </c>
      <c r="AG5">
        <f t="shared" si="6"/>
        <v>10050.374728166082</v>
      </c>
      <c r="AH5">
        <f t="shared" si="6"/>
        <v>10050.374728166082</v>
      </c>
      <c r="AL5">
        <f t="shared" si="7"/>
        <v>2110.5862068965516</v>
      </c>
      <c r="AM5" t="str">
        <f t="shared" si="8"/>
        <v>USED (Q)</v>
      </c>
      <c r="AN5" t="str">
        <f t="shared" si="9"/>
        <v>USED (EQ)</v>
      </c>
      <c r="AP5" s="119" t="str">
        <f t="shared" ref="AP5:AP47" si="11">IF(AM5&gt;AG5,AM5,AG5)</f>
        <v>USED (Q)</v>
      </c>
    </row>
    <row r="6" spans="1:42" x14ac:dyDescent="0.25">
      <c r="A6">
        <v>2475.3793103448279</v>
      </c>
      <c r="B6">
        <v>11960</v>
      </c>
      <c r="C6">
        <v>40025.426039459308</v>
      </c>
      <c r="D6">
        <v>1.6685088085895068</v>
      </c>
      <c r="E6">
        <f t="shared" si="1"/>
        <v>2475.3793103448279</v>
      </c>
      <c r="F6">
        <f t="shared" si="2"/>
        <v>40025.426039459308</v>
      </c>
      <c r="G6">
        <v>7507.8571428571431</v>
      </c>
      <c r="H6">
        <f t="shared" si="0"/>
        <v>11960</v>
      </c>
      <c r="Q6">
        <v>1.5</v>
      </c>
      <c r="R6">
        <v>2</v>
      </c>
      <c r="W6">
        <v>0</v>
      </c>
      <c r="X6">
        <f t="shared" si="10"/>
        <v>0</v>
      </c>
      <c r="Y6" t="str">
        <f t="shared" si="3"/>
        <v>dp</v>
      </c>
      <c r="Z6">
        <v>0</v>
      </c>
      <c r="AA6" t="str">
        <f t="shared" si="4"/>
        <v>eqm</v>
      </c>
      <c r="AD6">
        <v>10050.374728166082</v>
      </c>
      <c r="AE6">
        <v>10050.374728166082</v>
      </c>
      <c r="AF6">
        <f t="shared" si="5"/>
        <v>2475.3793103448279</v>
      </c>
      <c r="AG6">
        <f t="shared" si="6"/>
        <v>10050.374728166082</v>
      </c>
      <c r="AH6">
        <f t="shared" si="6"/>
        <v>10050.374728166082</v>
      </c>
      <c r="AL6">
        <f t="shared" si="7"/>
        <v>2475.3793103448279</v>
      </c>
      <c r="AM6" t="str">
        <f t="shared" si="8"/>
        <v>USED (Q)</v>
      </c>
      <c r="AN6" t="str">
        <f t="shared" si="9"/>
        <v>USED (EQ)</v>
      </c>
      <c r="AP6" s="119" t="str">
        <f t="shared" si="11"/>
        <v>USED (Q)</v>
      </c>
    </row>
    <row r="7" spans="1:42" x14ac:dyDescent="0.25">
      <c r="A7">
        <v>2840.1724137931033</v>
      </c>
      <c r="B7">
        <v>11960</v>
      </c>
      <c r="C7">
        <v>40025.426039459308</v>
      </c>
      <c r="D7">
        <v>2.2239376280410035</v>
      </c>
      <c r="E7">
        <f t="shared" si="1"/>
        <v>2840.1724137931033</v>
      </c>
      <c r="F7">
        <f t="shared" si="2"/>
        <v>40025.426039459308</v>
      </c>
      <c r="G7">
        <v>10007.142857142857</v>
      </c>
      <c r="H7">
        <f t="shared" si="0"/>
        <v>11960</v>
      </c>
      <c r="Q7">
        <v>1.5</v>
      </c>
      <c r="R7">
        <v>2</v>
      </c>
      <c r="W7">
        <v>0</v>
      </c>
      <c r="X7">
        <f t="shared" si="10"/>
        <v>0</v>
      </c>
      <c r="Y7" t="str">
        <f t="shared" si="3"/>
        <v>dp</v>
      </c>
      <c r="Z7">
        <v>0</v>
      </c>
      <c r="AA7" t="str">
        <f t="shared" si="4"/>
        <v>eqm</v>
      </c>
      <c r="AD7">
        <v>10050.374728166082</v>
      </c>
      <c r="AE7">
        <v>10050.374728166082</v>
      </c>
      <c r="AF7">
        <f t="shared" si="5"/>
        <v>2840.1724137931033</v>
      </c>
      <c r="AG7">
        <f t="shared" si="6"/>
        <v>10050.374728166082</v>
      </c>
      <c r="AH7">
        <f t="shared" si="6"/>
        <v>10050.374728166082</v>
      </c>
      <c r="AL7">
        <f t="shared" si="7"/>
        <v>2840.1724137931033</v>
      </c>
      <c r="AM7" t="str">
        <f t="shared" si="8"/>
        <v>USED (Q)</v>
      </c>
      <c r="AN7" t="str">
        <f t="shared" si="9"/>
        <v>USED (EQ)</v>
      </c>
      <c r="AP7" s="119" t="str">
        <f t="shared" si="11"/>
        <v>USED (Q)</v>
      </c>
    </row>
    <row r="8" spans="1:42" x14ac:dyDescent="0.25">
      <c r="A8">
        <v>3204.9655172413795</v>
      </c>
      <c r="B8">
        <v>11960</v>
      </c>
      <c r="C8">
        <v>40025.426039459308</v>
      </c>
      <c r="D8">
        <v>2.7793664474925004</v>
      </c>
      <c r="E8">
        <f t="shared" si="1"/>
        <v>3204.9655172413795</v>
      </c>
      <c r="F8">
        <f t="shared" si="2"/>
        <v>40025.426039459308</v>
      </c>
      <c r="G8">
        <v>12506.428571428571</v>
      </c>
      <c r="H8">
        <f t="shared" si="0"/>
        <v>11960</v>
      </c>
      <c r="Q8">
        <v>1.5</v>
      </c>
      <c r="R8">
        <v>2</v>
      </c>
      <c r="W8">
        <v>0</v>
      </c>
      <c r="X8">
        <f t="shared" si="10"/>
        <v>0</v>
      </c>
      <c r="Y8" t="str">
        <f t="shared" si="3"/>
        <v>dp</v>
      </c>
      <c r="Z8">
        <v>0</v>
      </c>
      <c r="AA8" t="str">
        <f t="shared" si="4"/>
        <v>eqm</v>
      </c>
      <c r="AD8">
        <v>10050.374728166082</v>
      </c>
      <c r="AE8">
        <v>10050.374728166082</v>
      </c>
      <c r="AF8">
        <f t="shared" si="5"/>
        <v>3204.9655172413795</v>
      </c>
      <c r="AG8">
        <f t="shared" si="6"/>
        <v>10050.374728166082</v>
      </c>
      <c r="AH8">
        <f t="shared" si="6"/>
        <v>10050.374728166082</v>
      </c>
      <c r="AL8">
        <f t="shared" si="7"/>
        <v>3204.9655172413795</v>
      </c>
      <c r="AM8" t="str">
        <f t="shared" si="8"/>
        <v>USED (Q)</v>
      </c>
      <c r="AN8" t="str">
        <f t="shared" si="9"/>
        <v>USED (EQ)</v>
      </c>
      <c r="AP8" s="119" t="str">
        <f t="shared" si="11"/>
        <v>USED (Q)</v>
      </c>
    </row>
    <row r="9" spans="1:42" x14ac:dyDescent="0.25">
      <c r="A9">
        <v>3569.7586206896553</v>
      </c>
      <c r="B9">
        <v>11960</v>
      </c>
      <c r="C9">
        <v>40025.426039459308</v>
      </c>
      <c r="D9">
        <v>3.3347952669439973</v>
      </c>
      <c r="E9">
        <f t="shared" si="1"/>
        <v>3569.7586206896553</v>
      </c>
      <c r="F9">
        <f t="shared" si="2"/>
        <v>40025.426039459308</v>
      </c>
      <c r="G9">
        <v>15005.714285714286</v>
      </c>
      <c r="H9">
        <f t="shared" si="0"/>
        <v>11960</v>
      </c>
      <c r="Q9">
        <v>1.5</v>
      </c>
      <c r="R9">
        <v>2</v>
      </c>
      <c r="W9">
        <v>0</v>
      </c>
      <c r="X9">
        <f t="shared" si="10"/>
        <v>0</v>
      </c>
      <c r="Y9" t="str">
        <f t="shared" si="3"/>
        <v>dp</v>
      </c>
      <c r="Z9">
        <v>0</v>
      </c>
      <c r="AA9" t="str">
        <f t="shared" si="4"/>
        <v>eqm</v>
      </c>
      <c r="AD9">
        <v>10050.374728166082</v>
      </c>
      <c r="AE9">
        <v>10050.374728166082</v>
      </c>
      <c r="AF9">
        <f t="shared" si="5"/>
        <v>3569.7586206896553</v>
      </c>
      <c r="AG9">
        <f t="shared" si="6"/>
        <v>10050.374728166082</v>
      </c>
      <c r="AH9">
        <f t="shared" si="6"/>
        <v>10050.374728166082</v>
      </c>
      <c r="AL9">
        <f t="shared" si="7"/>
        <v>3569.7586206896553</v>
      </c>
      <c r="AM9" t="str">
        <f t="shared" si="8"/>
        <v>USED (Q)</v>
      </c>
      <c r="AN9" t="str">
        <f t="shared" si="9"/>
        <v>USED (EQ)</v>
      </c>
      <c r="AP9" s="119" t="str">
        <f t="shared" si="11"/>
        <v>USED (Q)</v>
      </c>
    </row>
    <row r="10" spans="1:42" x14ac:dyDescent="0.25">
      <c r="A10">
        <v>3934.5517241379312</v>
      </c>
      <c r="B10">
        <v>11960</v>
      </c>
      <c r="C10">
        <v>40025.426039459308</v>
      </c>
      <c r="D10">
        <v>3.8902240863954942</v>
      </c>
      <c r="E10">
        <f t="shared" si="1"/>
        <v>3934.5517241379312</v>
      </c>
      <c r="F10">
        <f t="shared" si="2"/>
        <v>40025.426039459308</v>
      </c>
      <c r="G10">
        <v>17505</v>
      </c>
      <c r="H10">
        <f t="shared" si="0"/>
        <v>11960</v>
      </c>
      <c r="Q10">
        <v>1.5</v>
      </c>
      <c r="R10">
        <v>2</v>
      </c>
      <c r="W10">
        <v>0</v>
      </c>
      <c r="X10">
        <f t="shared" si="10"/>
        <v>0</v>
      </c>
      <c r="Y10" t="str">
        <f t="shared" si="3"/>
        <v>dp</v>
      </c>
      <c r="Z10">
        <v>0</v>
      </c>
      <c r="AA10" t="str">
        <f t="shared" si="4"/>
        <v>eqm</v>
      </c>
      <c r="AD10">
        <v>10050.374728166082</v>
      </c>
      <c r="AE10">
        <v>10050.374728166082</v>
      </c>
      <c r="AF10">
        <f t="shared" si="5"/>
        <v>3934.5517241379312</v>
      </c>
      <c r="AG10">
        <f t="shared" si="6"/>
        <v>10050.374728166082</v>
      </c>
      <c r="AH10">
        <f t="shared" si="6"/>
        <v>10050.374728166082</v>
      </c>
      <c r="AL10">
        <f t="shared" si="7"/>
        <v>3934.5517241379312</v>
      </c>
      <c r="AM10" t="str">
        <f t="shared" si="8"/>
        <v>USED (Q)</v>
      </c>
      <c r="AN10" t="str">
        <f t="shared" si="9"/>
        <v>USED (EQ)</v>
      </c>
      <c r="AP10" s="119" t="str">
        <f t="shared" si="11"/>
        <v>USED (Q)</v>
      </c>
    </row>
    <row r="11" spans="1:42" x14ac:dyDescent="0.25">
      <c r="A11">
        <v>4299.3448275862065</v>
      </c>
      <c r="B11">
        <v>11960</v>
      </c>
      <c r="C11">
        <v>40025.426039459308</v>
      </c>
      <c r="D11">
        <v>4.4456529058469911</v>
      </c>
      <c r="E11">
        <f t="shared" si="1"/>
        <v>4299.3448275862065</v>
      </c>
      <c r="F11">
        <f t="shared" si="2"/>
        <v>40025.426039459308</v>
      </c>
      <c r="G11">
        <v>20004.285714285714</v>
      </c>
      <c r="H11">
        <f t="shared" si="0"/>
        <v>11960</v>
      </c>
      <c r="Q11">
        <v>1.5</v>
      </c>
      <c r="R11">
        <v>2</v>
      </c>
      <c r="W11">
        <v>0</v>
      </c>
      <c r="X11">
        <f t="shared" si="10"/>
        <v>0</v>
      </c>
      <c r="Y11" t="str">
        <f t="shared" si="3"/>
        <v>dp</v>
      </c>
      <c r="Z11">
        <v>0</v>
      </c>
      <c r="AA11" t="str">
        <f t="shared" si="4"/>
        <v>eqm</v>
      </c>
      <c r="AD11">
        <v>10050.374728166082</v>
      </c>
      <c r="AE11">
        <v>10050.374728166082</v>
      </c>
      <c r="AF11">
        <f t="shared" si="5"/>
        <v>4299.3448275862065</v>
      </c>
      <c r="AG11">
        <f t="shared" si="6"/>
        <v>10050.374728166082</v>
      </c>
      <c r="AH11">
        <f t="shared" si="6"/>
        <v>10050.374728166082</v>
      </c>
      <c r="AL11">
        <f t="shared" si="7"/>
        <v>4299.3448275862065</v>
      </c>
      <c r="AM11" t="str">
        <f t="shared" si="8"/>
        <v>USED (Q)</v>
      </c>
      <c r="AN11" t="str">
        <f t="shared" si="9"/>
        <v>USED (EQ)</v>
      </c>
      <c r="AP11" s="119" t="str">
        <f t="shared" si="11"/>
        <v>USED (Q)</v>
      </c>
    </row>
    <row r="12" spans="1:42" x14ac:dyDescent="0.25">
      <c r="A12">
        <v>4664.1379310344828</v>
      </c>
      <c r="B12">
        <v>11960</v>
      </c>
      <c r="C12">
        <v>40025.426039459308</v>
      </c>
      <c r="D12">
        <v>5.001081725298488</v>
      </c>
      <c r="E12">
        <f t="shared" si="1"/>
        <v>4664.1379310344828</v>
      </c>
      <c r="F12">
        <f t="shared" si="2"/>
        <v>40025.426039459308</v>
      </c>
      <c r="G12">
        <v>22503.571428571428</v>
      </c>
      <c r="H12">
        <f t="shared" si="0"/>
        <v>11960</v>
      </c>
      <c r="Q12">
        <v>1.5</v>
      </c>
      <c r="R12">
        <v>2</v>
      </c>
      <c r="W12">
        <v>0</v>
      </c>
      <c r="X12">
        <f t="shared" si="10"/>
        <v>0</v>
      </c>
      <c r="Y12" t="str">
        <f t="shared" si="3"/>
        <v>dp</v>
      </c>
      <c r="Z12">
        <v>0</v>
      </c>
      <c r="AA12" t="str">
        <f t="shared" si="4"/>
        <v>eqm</v>
      </c>
      <c r="AD12">
        <v>10050.374728166082</v>
      </c>
      <c r="AE12">
        <v>10050.374728166082</v>
      </c>
      <c r="AF12" s="119">
        <f t="shared" si="5"/>
        <v>4664.1379310344828</v>
      </c>
      <c r="AG12">
        <f t="shared" si="6"/>
        <v>10050.374728166082</v>
      </c>
      <c r="AH12">
        <f t="shared" si="6"/>
        <v>10050.374728166082</v>
      </c>
      <c r="AL12">
        <f t="shared" si="7"/>
        <v>4664.1379310344828</v>
      </c>
      <c r="AM12" t="str">
        <f t="shared" si="8"/>
        <v>USED (Q)</v>
      </c>
      <c r="AN12" t="str">
        <f t="shared" si="9"/>
        <v>USED (EQ)</v>
      </c>
      <c r="AP12" s="119" t="str">
        <f t="shared" si="11"/>
        <v>USED (Q)</v>
      </c>
    </row>
    <row r="13" spans="1:42" x14ac:dyDescent="0.25">
      <c r="A13">
        <v>5028.9310344827591</v>
      </c>
      <c r="B13">
        <v>11960</v>
      </c>
      <c r="C13">
        <v>40025.426039459308</v>
      </c>
      <c r="D13">
        <v>5.556510544749985</v>
      </c>
      <c r="E13">
        <f t="shared" si="1"/>
        <v>5028.9310344827591</v>
      </c>
      <c r="F13">
        <f t="shared" si="2"/>
        <v>40025.426039459308</v>
      </c>
      <c r="G13">
        <v>25002.857142857141</v>
      </c>
      <c r="H13">
        <f t="shared" si="0"/>
        <v>11960</v>
      </c>
      <c r="Q13">
        <v>1.5</v>
      </c>
      <c r="R13">
        <v>2</v>
      </c>
      <c r="W13">
        <v>0</v>
      </c>
      <c r="X13">
        <f t="shared" si="10"/>
        <v>0</v>
      </c>
      <c r="Y13" t="str">
        <f t="shared" si="3"/>
        <v>dp</v>
      </c>
      <c r="Z13">
        <v>0</v>
      </c>
      <c r="AA13" t="str">
        <f t="shared" si="4"/>
        <v>eqm</v>
      </c>
      <c r="AD13">
        <v>10050.374728166082</v>
      </c>
      <c r="AE13">
        <v>10050.374728166082</v>
      </c>
      <c r="AF13">
        <f t="shared" si="5"/>
        <v>5028.9310344827591</v>
      </c>
      <c r="AG13">
        <f t="shared" si="6"/>
        <v>10050.374728166082</v>
      </c>
      <c r="AH13">
        <f t="shared" si="6"/>
        <v>10050.374728166082</v>
      </c>
      <c r="AL13">
        <f t="shared" si="7"/>
        <v>5028.9310344827591</v>
      </c>
      <c r="AM13" t="str">
        <f t="shared" si="8"/>
        <v>USED (Q)</v>
      </c>
      <c r="AN13" t="str">
        <f t="shared" si="9"/>
        <v>USED (EQ)</v>
      </c>
      <c r="AP13" s="119" t="str">
        <f t="shared" si="11"/>
        <v>USED (Q)</v>
      </c>
    </row>
    <row r="14" spans="1:42" x14ac:dyDescent="0.25">
      <c r="A14">
        <v>5393.7241379310344</v>
      </c>
      <c r="B14">
        <v>11960</v>
      </c>
      <c r="C14">
        <v>40025.426039459308</v>
      </c>
      <c r="D14">
        <v>6.111939364201481</v>
      </c>
      <c r="E14">
        <f t="shared" si="1"/>
        <v>5393.7241379310344</v>
      </c>
      <c r="F14">
        <f t="shared" si="2"/>
        <v>40025.426039459308</v>
      </c>
      <c r="G14">
        <v>27502.142857142855</v>
      </c>
      <c r="H14">
        <f t="shared" si="0"/>
        <v>11960</v>
      </c>
      <c r="Q14">
        <v>1.5</v>
      </c>
      <c r="R14">
        <v>2</v>
      </c>
      <c r="W14">
        <v>0</v>
      </c>
      <c r="X14">
        <f t="shared" si="10"/>
        <v>0</v>
      </c>
      <c r="Y14" t="str">
        <f t="shared" si="3"/>
        <v>dp</v>
      </c>
      <c r="Z14">
        <v>0</v>
      </c>
      <c r="AA14" t="str">
        <f t="shared" si="4"/>
        <v>eqm</v>
      </c>
      <c r="AD14">
        <v>10050.374728166082</v>
      </c>
      <c r="AE14">
        <v>10050.374728166082</v>
      </c>
      <c r="AF14">
        <f t="shared" si="5"/>
        <v>5393.7241379310344</v>
      </c>
      <c r="AG14">
        <f t="shared" si="6"/>
        <v>10050.374728166082</v>
      </c>
      <c r="AH14">
        <f t="shared" si="6"/>
        <v>10050.374728166082</v>
      </c>
      <c r="AL14">
        <f t="shared" si="7"/>
        <v>5393.7241379310344</v>
      </c>
      <c r="AM14" t="str">
        <f t="shared" si="8"/>
        <v>USED (Q)</v>
      </c>
      <c r="AN14" t="str">
        <f t="shared" si="9"/>
        <v>USED (EQ)</v>
      </c>
      <c r="AP14" s="119" t="str">
        <f t="shared" si="11"/>
        <v>USED (Q)</v>
      </c>
    </row>
    <row r="15" spans="1:42" x14ac:dyDescent="0.25">
      <c r="A15">
        <v>5758.5172413793107</v>
      </c>
      <c r="B15">
        <v>11960</v>
      </c>
      <c r="C15">
        <v>40025.426039459308</v>
      </c>
      <c r="D15">
        <v>6.6673681836529788</v>
      </c>
      <c r="E15">
        <f t="shared" si="1"/>
        <v>5758.5172413793107</v>
      </c>
      <c r="F15">
        <f t="shared" si="2"/>
        <v>40025.426039459308</v>
      </c>
      <c r="G15">
        <v>30001.428571428572</v>
      </c>
      <c r="H15">
        <f t="shared" si="0"/>
        <v>11960</v>
      </c>
      <c r="Q15">
        <v>1.5</v>
      </c>
      <c r="R15">
        <v>2</v>
      </c>
      <c r="W15">
        <v>0</v>
      </c>
      <c r="X15">
        <f t="shared" si="10"/>
        <v>0</v>
      </c>
      <c r="Y15" t="str">
        <f t="shared" si="3"/>
        <v>dp</v>
      </c>
      <c r="Z15">
        <v>0</v>
      </c>
      <c r="AA15" t="str">
        <f t="shared" si="4"/>
        <v>eqm</v>
      </c>
      <c r="AD15">
        <v>10050.374728166082</v>
      </c>
      <c r="AE15">
        <v>10050.374728166082</v>
      </c>
      <c r="AF15">
        <f t="shared" si="5"/>
        <v>5758.5172413793107</v>
      </c>
      <c r="AG15">
        <f t="shared" si="6"/>
        <v>10050.374728166082</v>
      </c>
      <c r="AH15">
        <f t="shared" si="6"/>
        <v>10050.374728166082</v>
      </c>
      <c r="AL15">
        <f t="shared" si="7"/>
        <v>5758.5172413793107</v>
      </c>
      <c r="AM15" t="str">
        <f t="shared" si="8"/>
        <v>USED (Q)</v>
      </c>
      <c r="AN15" t="str">
        <f t="shared" si="9"/>
        <v>USED (EQ)</v>
      </c>
      <c r="AP15" s="119" t="str">
        <f t="shared" si="11"/>
        <v>USED (Q)</v>
      </c>
    </row>
    <row r="16" spans="1:42" x14ac:dyDescent="0.25">
      <c r="A16">
        <v>6123.3103448275861</v>
      </c>
      <c r="B16">
        <v>11960</v>
      </c>
      <c r="C16">
        <v>40025.426039459308</v>
      </c>
      <c r="D16">
        <v>7.2227970031044757</v>
      </c>
      <c r="E16">
        <f t="shared" si="1"/>
        <v>6123.3103448275861</v>
      </c>
      <c r="F16">
        <f t="shared" si="2"/>
        <v>40025.426039459308</v>
      </c>
      <c r="G16">
        <v>32500.714285714286</v>
      </c>
      <c r="H16">
        <f t="shared" si="0"/>
        <v>11960</v>
      </c>
      <c r="Q16">
        <v>1.5</v>
      </c>
      <c r="R16">
        <v>2</v>
      </c>
      <c r="W16">
        <v>0</v>
      </c>
      <c r="X16">
        <f t="shared" si="10"/>
        <v>0</v>
      </c>
      <c r="Y16" t="str">
        <f t="shared" si="3"/>
        <v>dp</v>
      </c>
      <c r="Z16">
        <v>0</v>
      </c>
      <c r="AA16" t="str">
        <f t="shared" si="4"/>
        <v>eqm</v>
      </c>
      <c r="AD16">
        <v>10050.374728166082</v>
      </c>
      <c r="AE16">
        <v>10050.374728166082</v>
      </c>
      <c r="AF16">
        <f t="shared" si="5"/>
        <v>6123.3103448275861</v>
      </c>
      <c r="AG16">
        <f t="shared" si="6"/>
        <v>10050.374728166082</v>
      </c>
      <c r="AH16">
        <f t="shared" si="6"/>
        <v>10050.374728166082</v>
      </c>
      <c r="AL16">
        <f t="shared" si="7"/>
        <v>6123.3103448275861</v>
      </c>
      <c r="AM16" t="str">
        <f t="shared" si="8"/>
        <v>USED (Q)</v>
      </c>
      <c r="AN16" t="str">
        <f t="shared" si="9"/>
        <v>USED (EQ)</v>
      </c>
      <c r="AP16" s="119" t="str">
        <f t="shared" si="11"/>
        <v>USED (Q)</v>
      </c>
    </row>
    <row r="17" spans="1:42" x14ac:dyDescent="0.25">
      <c r="A17">
        <v>6488.1034482758623</v>
      </c>
      <c r="B17">
        <v>11960</v>
      </c>
      <c r="C17">
        <v>40025.426039459308</v>
      </c>
      <c r="D17">
        <v>7.7782258225559726</v>
      </c>
      <c r="E17">
        <f t="shared" si="1"/>
        <v>6488.1034482758623</v>
      </c>
      <c r="F17">
        <f t="shared" si="2"/>
        <v>40025.426039459308</v>
      </c>
      <c r="G17">
        <v>35000</v>
      </c>
      <c r="H17">
        <f t="shared" si="0"/>
        <v>11960</v>
      </c>
      <c r="Q17">
        <v>1.5</v>
      </c>
      <c r="R17">
        <v>2</v>
      </c>
      <c r="W17">
        <v>0</v>
      </c>
      <c r="X17">
        <f t="shared" si="10"/>
        <v>0</v>
      </c>
      <c r="Y17" t="str">
        <f t="shared" si="3"/>
        <v>dp</v>
      </c>
      <c r="Z17">
        <v>0</v>
      </c>
      <c r="AA17" t="str">
        <f t="shared" si="4"/>
        <v>eqm</v>
      </c>
      <c r="AD17">
        <v>10050.374728166082</v>
      </c>
      <c r="AE17">
        <v>10050.374728166082</v>
      </c>
      <c r="AF17">
        <f t="shared" si="5"/>
        <v>6488.1034482758623</v>
      </c>
      <c r="AG17">
        <f t="shared" si="6"/>
        <v>10050.374728166082</v>
      </c>
      <c r="AH17">
        <f t="shared" si="6"/>
        <v>10050.374728166082</v>
      </c>
      <c r="AL17">
        <f t="shared" si="7"/>
        <v>6488.1034482758623</v>
      </c>
      <c r="AM17" t="str">
        <f t="shared" si="8"/>
        <v>USED (Q)</v>
      </c>
      <c r="AN17" t="str">
        <f t="shared" si="9"/>
        <v>USED (EQ)</v>
      </c>
      <c r="AP17" s="119" t="str">
        <f t="shared" si="11"/>
        <v>USED (Q)</v>
      </c>
    </row>
    <row r="18" spans="1:42" x14ac:dyDescent="0.25">
      <c r="A18">
        <v>6852.8965517241377</v>
      </c>
      <c r="B18">
        <v>11960</v>
      </c>
      <c r="C18">
        <v>40025.426039459308</v>
      </c>
      <c r="D18">
        <v>7.7782258225559726</v>
      </c>
      <c r="E18">
        <f t="shared" si="1"/>
        <v>6852.8965517241377</v>
      </c>
      <c r="F18">
        <f t="shared" si="2"/>
        <v>40025.426039459308</v>
      </c>
      <c r="G18">
        <v>35000</v>
      </c>
      <c r="H18">
        <f t="shared" si="0"/>
        <v>11960</v>
      </c>
      <c r="Q18">
        <v>1.5</v>
      </c>
      <c r="R18">
        <v>2</v>
      </c>
      <c r="W18">
        <v>0</v>
      </c>
      <c r="X18">
        <f t="shared" si="10"/>
        <v>0</v>
      </c>
      <c r="Y18" t="str">
        <f t="shared" si="3"/>
        <v>dp</v>
      </c>
      <c r="Z18">
        <v>0</v>
      </c>
      <c r="AA18" t="str">
        <f t="shared" si="4"/>
        <v>eqm</v>
      </c>
      <c r="AD18">
        <v>10050.374728166082</v>
      </c>
      <c r="AE18">
        <v>10050.374728166082</v>
      </c>
      <c r="AF18">
        <f t="shared" si="5"/>
        <v>6852.8965517241377</v>
      </c>
      <c r="AG18">
        <f t="shared" si="6"/>
        <v>10050.374728166082</v>
      </c>
      <c r="AH18">
        <f t="shared" si="6"/>
        <v>10050.374728166082</v>
      </c>
      <c r="AL18">
        <f t="shared" si="7"/>
        <v>6852.8965517241377</v>
      </c>
      <c r="AM18" t="str">
        <f t="shared" si="8"/>
        <v>USED (Q)</v>
      </c>
      <c r="AN18" t="str">
        <f t="shared" si="9"/>
        <v>USED (EQ)</v>
      </c>
      <c r="AP18" s="119" t="str">
        <f t="shared" si="11"/>
        <v>USED (Q)</v>
      </c>
    </row>
    <row r="19" spans="1:42" x14ac:dyDescent="0.25">
      <c r="A19">
        <v>7217.6896551724139</v>
      </c>
      <c r="B19">
        <v>11960</v>
      </c>
      <c r="C19">
        <v>40025.426039459308</v>
      </c>
      <c r="D19">
        <v>7.7782258225559726</v>
      </c>
      <c r="E19">
        <f t="shared" si="1"/>
        <v>7217.6896551724139</v>
      </c>
      <c r="F19">
        <f t="shared" si="2"/>
        <v>40025.426039459308</v>
      </c>
      <c r="G19">
        <v>35000</v>
      </c>
      <c r="H19">
        <f t="shared" si="0"/>
        <v>11960</v>
      </c>
      <c r="Q19">
        <v>1.5</v>
      </c>
      <c r="R19">
        <v>2</v>
      </c>
      <c r="W19">
        <v>0</v>
      </c>
      <c r="X19">
        <f t="shared" si="10"/>
        <v>0</v>
      </c>
      <c r="Y19" t="str">
        <f t="shared" si="3"/>
        <v>dp</v>
      </c>
      <c r="Z19">
        <v>0</v>
      </c>
      <c r="AA19" t="str">
        <f t="shared" si="4"/>
        <v>eqm</v>
      </c>
      <c r="AD19">
        <v>10050.374728166082</v>
      </c>
      <c r="AE19">
        <v>10050.374728166082</v>
      </c>
      <c r="AF19">
        <f t="shared" si="5"/>
        <v>7217.6896551724139</v>
      </c>
      <c r="AG19">
        <f t="shared" si="6"/>
        <v>10050.374728166082</v>
      </c>
      <c r="AH19">
        <f t="shared" si="6"/>
        <v>10050.374728166082</v>
      </c>
      <c r="AL19">
        <f t="shared" si="7"/>
        <v>7217.6896551724139</v>
      </c>
      <c r="AM19" t="str">
        <f t="shared" si="8"/>
        <v>USED (Q)</v>
      </c>
      <c r="AN19" t="str">
        <f t="shared" si="9"/>
        <v>USED (EQ)</v>
      </c>
      <c r="AP19" s="119" t="str">
        <f t="shared" si="11"/>
        <v>USED (Q)</v>
      </c>
    </row>
    <row r="20" spans="1:42" x14ac:dyDescent="0.25">
      <c r="A20">
        <v>7582.4827586206902</v>
      </c>
      <c r="B20">
        <v>11960</v>
      </c>
      <c r="C20">
        <v>40025.426039459308</v>
      </c>
      <c r="D20">
        <v>7.7782258225559726</v>
      </c>
      <c r="E20">
        <f t="shared" si="1"/>
        <v>7582.4827586206902</v>
      </c>
      <c r="F20">
        <f t="shared" si="2"/>
        <v>40025.426039459308</v>
      </c>
      <c r="G20">
        <v>35000</v>
      </c>
      <c r="H20">
        <f t="shared" si="0"/>
        <v>11960</v>
      </c>
      <c r="Q20">
        <v>1.5</v>
      </c>
      <c r="R20">
        <v>2</v>
      </c>
      <c r="W20">
        <v>0</v>
      </c>
      <c r="X20">
        <f t="shared" si="10"/>
        <v>0</v>
      </c>
      <c r="Y20" t="str">
        <f t="shared" si="3"/>
        <v>dp</v>
      </c>
      <c r="Z20">
        <v>0</v>
      </c>
      <c r="AA20" t="str">
        <f t="shared" si="4"/>
        <v>eqm</v>
      </c>
      <c r="AD20">
        <v>10050.374728166082</v>
      </c>
      <c r="AE20">
        <v>10050.374728166082</v>
      </c>
      <c r="AF20">
        <f t="shared" si="5"/>
        <v>7582.4827586206902</v>
      </c>
      <c r="AG20">
        <f t="shared" si="6"/>
        <v>10050.374728166082</v>
      </c>
      <c r="AH20">
        <f t="shared" si="6"/>
        <v>10050.374728166082</v>
      </c>
      <c r="AL20">
        <f t="shared" si="7"/>
        <v>7582.4827586206902</v>
      </c>
      <c r="AM20" t="str">
        <f t="shared" si="8"/>
        <v>USED (Q)</v>
      </c>
      <c r="AN20" t="str">
        <f t="shared" si="9"/>
        <v>USED (EQ)</v>
      </c>
      <c r="AP20" s="119" t="str">
        <f t="shared" si="11"/>
        <v>USED (Q)</v>
      </c>
    </row>
    <row r="21" spans="1:42" x14ac:dyDescent="0.25">
      <c r="A21">
        <v>7947.2758620689656</v>
      </c>
      <c r="B21">
        <v>11960</v>
      </c>
      <c r="C21">
        <v>40025.426039459308</v>
      </c>
      <c r="D21">
        <v>7.7782258225559726</v>
      </c>
      <c r="E21">
        <f t="shared" si="1"/>
        <v>7947.2758620689656</v>
      </c>
      <c r="F21">
        <f t="shared" si="2"/>
        <v>40025.426039459308</v>
      </c>
      <c r="G21">
        <v>35000</v>
      </c>
      <c r="H21">
        <f t="shared" si="0"/>
        <v>11960</v>
      </c>
      <c r="Q21">
        <v>1.5</v>
      </c>
      <c r="R21">
        <v>2</v>
      </c>
      <c r="W21">
        <v>0</v>
      </c>
      <c r="X21">
        <f t="shared" si="10"/>
        <v>0</v>
      </c>
      <c r="Y21" t="str">
        <f t="shared" si="3"/>
        <v>dp</v>
      </c>
      <c r="Z21">
        <v>0</v>
      </c>
      <c r="AA21" t="str">
        <f t="shared" si="4"/>
        <v>eqm</v>
      </c>
      <c r="AD21">
        <v>10050.374728166082</v>
      </c>
      <c r="AE21">
        <v>10050.374728166082</v>
      </c>
      <c r="AF21">
        <f t="shared" si="5"/>
        <v>7947.2758620689656</v>
      </c>
      <c r="AG21">
        <f t="shared" si="6"/>
        <v>10050.374728166082</v>
      </c>
      <c r="AH21">
        <f t="shared" si="6"/>
        <v>10050.374728166082</v>
      </c>
      <c r="AL21">
        <f t="shared" si="7"/>
        <v>7947.2758620689656</v>
      </c>
      <c r="AM21" t="str">
        <f t="shared" si="8"/>
        <v>USED (Q)</v>
      </c>
      <c r="AN21" t="str">
        <f t="shared" si="9"/>
        <v>USED (EQ)</v>
      </c>
      <c r="AP21" s="119" t="str">
        <f t="shared" si="11"/>
        <v>USED (Q)</v>
      </c>
    </row>
    <row r="22" spans="1:42" x14ac:dyDescent="0.25">
      <c r="A22">
        <v>8312.0689655172428</v>
      </c>
      <c r="B22">
        <v>11960</v>
      </c>
      <c r="C22">
        <v>40025.426039459308</v>
      </c>
      <c r="D22">
        <v>7.7782258225559726</v>
      </c>
      <c r="E22">
        <f t="shared" si="1"/>
        <v>8312.0689655172428</v>
      </c>
      <c r="F22">
        <f t="shared" si="2"/>
        <v>40025.426039459308</v>
      </c>
      <c r="G22">
        <v>35000</v>
      </c>
      <c r="H22">
        <f t="shared" si="0"/>
        <v>11960</v>
      </c>
      <c r="Q22">
        <v>1.5</v>
      </c>
      <c r="R22">
        <v>2</v>
      </c>
      <c r="W22">
        <v>0</v>
      </c>
      <c r="X22">
        <f t="shared" si="10"/>
        <v>0</v>
      </c>
      <c r="Y22" t="str">
        <f t="shared" si="3"/>
        <v>dp</v>
      </c>
      <c r="Z22">
        <v>0</v>
      </c>
      <c r="AA22" t="str">
        <f t="shared" si="4"/>
        <v>eqm</v>
      </c>
      <c r="AD22">
        <v>10050.374728166082</v>
      </c>
      <c r="AE22">
        <v>10050.374728166082</v>
      </c>
      <c r="AF22">
        <f t="shared" si="5"/>
        <v>8312.0689655172428</v>
      </c>
      <c r="AG22">
        <f t="shared" si="6"/>
        <v>10050.374728166082</v>
      </c>
      <c r="AH22">
        <f t="shared" si="6"/>
        <v>10050.374728166082</v>
      </c>
      <c r="AL22">
        <f t="shared" si="7"/>
        <v>8312.0689655172428</v>
      </c>
      <c r="AM22" t="str">
        <f t="shared" si="8"/>
        <v>USED (Q)</v>
      </c>
      <c r="AN22" t="str">
        <f t="shared" si="9"/>
        <v>USED (EQ)</v>
      </c>
      <c r="AP22" s="119" t="str">
        <f t="shared" si="11"/>
        <v>USED (Q)</v>
      </c>
    </row>
    <row r="23" spans="1:42" x14ac:dyDescent="0.25">
      <c r="A23">
        <v>8676.8620689655181</v>
      </c>
      <c r="B23">
        <v>11960</v>
      </c>
      <c r="C23">
        <v>40025.426039459308</v>
      </c>
      <c r="D23">
        <v>7.7782258225559726</v>
      </c>
      <c r="E23">
        <f t="shared" si="1"/>
        <v>8676.8620689655181</v>
      </c>
      <c r="F23">
        <f t="shared" si="2"/>
        <v>40025.426039459308</v>
      </c>
      <c r="G23">
        <v>35000</v>
      </c>
      <c r="H23">
        <f t="shared" si="0"/>
        <v>11960</v>
      </c>
      <c r="Q23">
        <v>1.5</v>
      </c>
      <c r="R23">
        <v>2</v>
      </c>
      <c r="W23">
        <v>0</v>
      </c>
      <c r="X23">
        <f t="shared" si="10"/>
        <v>0</v>
      </c>
      <c r="Y23" t="str">
        <f t="shared" si="3"/>
        <v>dp</v>
      </c>
      <c r="Z23">
        <v>0</v>
      </c>
      <c r="AA23" t="str">
        <f t="shared" si="4"/>
        <v>eqm</v>
      </c>
      <c r="AD23">
        <v>10050.374728166082</v>
      </c>
      <c r="AE23">
        <v>10050.374728166082</v>
      </c>
      <c r="AF23">
        <f t="shared" si="5"/>
        <v>8676.8620689655181</v>
      </c>
      <c r="AG23">
        <f t="shared" si="6"/>
        <v>10050.374728166082</v>
      </c>
      <c r="AH23">
        <f t="shared" si="6"/>
        <v>10050.374728166082</v>
      </c>
      <c r="AL23">
        <f t="shared" si="7"/>
        <v>8676.8620689655181</v>
      </c>
      <c r="AM23" t="str">
        <f t="shared" si="8"/>
        <v>USED (Q)</v>
      </c>
      <c r="AN23" t="str">
        <f t="shared" si="9"/>
        <v>USED (EQ)</v>
      </c>
      <c r="AP23" s="119" t="str">
        <f t="shared" si="11"/>
        <v>USED (Q)</v>
      </c>
    </row>
    <row r="24" spans="1:42" x14ac:dyDescent="0.25">
      <c r="A24">
        <v>9041.6551724137935</v>
      </c>
      <c r="B24">
        <v>11960</v>
      </c>
      <c r="C24">
        <v>40025.426039459308</v>
      </c>
      <c r="D24">
        <v>7.7782258225559726</v>
      </c>
      <c r="E24">
        <f t="shared" si="1"/>
        <v>9041.6551724137935</v>
      </c>
      <c r="F24">
        <f t="shared" si="2"/>
        <v>40025.426039459308</v>
      </c>
      <c r="G24">
        <v>35000</v>
      </c>
      <c r="H24">
        <f t="shared" si="0"/>
        <v>11960</v>
      </c>
      <c r="Q24">
        <v>1.5</v>
      </c>
      <c r="R24">
        <v>2</v>
      </c>
      <c r="W24">
        <v>0</v>
      </c>
      <c r="X24">
        <f t="shared" si="10"/>
        <v>0</v>
      </c>
      <c r="Y24" t="str">
        <f t="shared" si="3"/>
        <v>dp</v>
      </c>
      <c r="Z24">
        <v>0</v>
      </c>
      <c r="AA24" t="str">
        <f t="shared" si="4"/>
        <v>eqm</v>
      </c>
      <c r="AD24">
        <v>10050.374728166082</v>
      </c>
      <c r="AE24">
        <v>10050.374728166082</v>
      </c>
      <c r="AF24">
        <f t="shared" si="5"/>
        <v>9041.6551724137935</v>
      </c>
      <c r="AG24">
        <f t="shared" si="6"/>
        <v>10050.374728166082</v>
      </c>
      <c r="AH24">
        <f t="shared" si="6"/>
        <v>10050.374728166082</v>
      </c>
      <c r="AL24">
        <f t="shared" si="7"/>
        <v>9041.6551724137935</v>
      </c>
      <c r="AM24" t="str">
        <f t="shared" si="8"/>
        <v>USED (Q)</v>
      </c>
      <c r="AN24" t="str">
        <f t="shared" si="9"/>
        <v>USED (EQ)</v>
      </c>
      <c r="AP24" s="119" t="str">
        <f t="shared" si="11"/>
        <v>USED (Q)</v>
      </c>
    </row>
    <row r="25" spans="1:42" x14ac:dyDescent="0.25">
      <c r="A25">
        <v>9406.4482758620688</v>
      </c>
      <c r="B25">
        <v>11960</v>
      </c>
      <c r="C25">
        <v>40025.426039459308</v>
      </c>
      <c r="D25">
        <v>7.7782258225559726</v>
      </c>
      <c r="E25">
        <f t="shared" si="1"/>
        <v>9406.4482758620688</v>
      </c>
      <c r="F25">
        <f t="shared" si="2"/>
        <v>40025.426039459308</v>
      </c>
      <c r="G25">
        <v>35000</v>
      </c>
      <c r="H25">
        <f t="shared" si="0"/>
        <v>11960</v>
      </c>
      <c r="Q25">
        <v>1.5</v>
      </c>
      <c r="R25">
        <v>2</v>
      </c>
      <c r="W25">
        <v>0</v>
      </c>
      <c r="X25">
        <f t="shared" si="10"/>
        <v>0</v>
      </c>
      <c r="Y25" t="str">
        <f t="shared" si="3"/>
        <v>dp</v>
      </c>
      <c r="Z25">
        <v>0</v>
      </c>
      <c r="AA25" t="str">
        <f t="shared" si="4"/>
        <v>eqm</v>
      </c>
      <c r="AD25">
        <v>10050.374728166082</v>
      </c>
      <c r="AE25">
        <v>10050.374728166082</v>
      </c>
      <c r="AF25">
        <f t="shared" si="5"/>
        <v>9406.4482758620688</v>
      </c>
      <c r="AG25">
        <f t="shared" si="6"/>
        <v>10050.374728166082</v>
      </c>
      <c r="AH25">
        <f t="shared" si="6"/>
        <v>10050.374728166082</v>
      </c>
      <c r="AL25">
        <f t="shared" si="7"/>
        <v>9406.4482758620688</v>
      </c>
      <c r="AM25" t="str">
        <f t="shared" si="8"/>
        <v>USED (Q)</v>
      </c>
      <c r="AN25" t="str">
        <f t="shared" si="9"/>
        <v>USED (EQ)</v>
      </c>
      <c r="AP25" s="119" t="str">
        <f t="shared" si="11"/>
        <v>USED (Q)</v>
      </c>
    </row>
    <row r="26" spans="1:42" x14ac:dyDescent="0.25">
      <c r="A26">
        <v>9771.2413793103442</v>
      </c>
      <c r="B26">
        <v>11960</v>
      </c>
      <c r="C26">
        <v>40025.426039459308</v>
      </c>
      <c r="D26">
        <v>7.7782258225559726</v>
      </c>
      <c r="E26">
        <f t="shared" si="1"/>
        <v>9771.2413793103442</v>
      </c>
      <c r="F26">
        <f t="shared" si="2"/>
        <v>40025.426039459308</v>
      </c>
      <c r="G26">
        <v>35000</v>
      </c>
      <c r="H26">
        <f t="shared" si="0"/>
        <v>11960</v>
      </c>
      <c r="Q26">
        <v>1.5</v>
      </c>
      <c r="R26">
        <v>2</v>
      </c>
      <c r="W26">
        <v>0</v>
      </c>
      <c r="X26">
        <f t="shared" si="10"/>
        <v>0</v>
      </c>
      <c r="Y26" t="str">
        <f t="shared" si="3"/>
        <v>dp</v>
      </c>
      <c r="Z26">
        <v>0</v>
      </c>
      <c r="AA26" t="str">
        <f t="shared" si="4"/>
        <v>eqm</v>
      </c>
      <c r="AD26">
        <v>10050.374728166082</v>
      </c>
      <c r="AE26">
        <v>10050.374728166082</v>
      </c>
      <c r="AF26">
        <f t="shared" si="5"/>
        <v>9771.2413793103442</v>
      </c>
      <c r="AG26">
        <f t="shared" si="6"/>
        <v>10050.374728166082</v>
      </c>
      <c r="AH26">
        <f t="shared" si="6"/>
        <v>10050.374728166082</v>
      </c>
      <c r="AL26">
        <f t="shared" si="7"/>
        <v>9771.2413793103442</v>
      </c>
      <c r="AM26" t="str">
        <f t="shared" si="8"/>
        <v>USED (Q)</v>
      </c>
      <c r="AN26" t="str">
        <f t="shared" si="9"/>
        <v>USED (EQ)</v>
      </c>
      <c r="AP26" s="119" t="str">
        <f t="shared" si="11"/>
        <v>USED (Q)</v>
      </c>
    </row>
    <row r="27" spans="1:42" x14ac:dyDescent="0.25">
      <c r="A27">
        <v>10136.034482758621</v>
      </c>
      <c r="B27">
        <v>11960</v>
      </c>
      <c r="C27">
        <v>40025.426039459308</v>
      </c>
      <c r="D27">
        <v>7.7782258225559726</v>
      </c>
      <c r="E27">
        <f t="shared" si="1"/>
        <v>10136.034482758621</v>
      </c>
      <c r="F27">
        <f t="shared" si="2"/>
        <v>40025.426039459308</v>
      </c>
      <c r="G27">
        <v>35000</v>
      </c>
      <c r="H27">
        <f t="shared" si="0"/>
        <v>11960</v>
      </c>
      <c r="Q27">
        <v>1.5</v>
      </c>
      <c r="R27">
        <v>2</v>
      </c>
      <c r="W27">
        <v>0</v>
      </c>
      <c r="X27">
        <f t="shared" si="10"/>
        <v>0</v>
      </c>
      <c r="Y27" t="str">
        <f t="shared" si="3"/>
        <v>dp</v>
      </c>
      <c r="Z27">
        <v>0</v>
      </c>
      <c r="AA27" t="str">
        <f t="shared" si="4"/>
        <v>eqm</v>
      </c>
      <c r="AD27">
        <v>10050.374728166082</v>
      </c>
      <c r="AE27">
        <v>10050.374728166082</v>
      </c>
      <c r="AF27">
        <f t="shared" si="5"/>
        <v>10136.034482758621</v>
      </c>
      <c r="AG27">
        <f t="shared" si="6"/>
        <v>10050.374728166082</v>
      </c>
      <c r="AH27">
        <f t="shared" si="6"/>
        <v>10050.374728166082</v>
      </c>
      <c r="AL27">
        <f t="shared" si="7"/>
        <v>10136.034482758621</v>
      </c>
      <c r="AM27" t="str">
        <f t="shared" si="8"/>
        <v>USED (Q)</v>
      </c>
      <c r="AN27" t="str">
        <f t="shared" si="9"/>
        <v>USED (EQ)</v>
      </c>
      <c r="AP27" s="119" t="str">
        <f t="shared" si="11"/>
        <v>USED (Q)</v>
      </c>
    </row>
    <row r="28" spans="1:42" x14ac:dyDescent="0.25">
      <c r="A28">
        <v>10500.827586206897</v>
      </c>
      <c r="B28">
        <v>11960</v>
      </c>
      <c r="C28">
        <v>40025.426039459308</v>
      </c>
      <c r="D28">
        <v>7.7782258225559726</v>
      </c>
      <c r="E28">
        <f t="shared" si="1"/>
        <v>10500.827586206897</v>
      </c>
      <c r="F28">
        <f t="shared" si="2"/>
        <v>40025.426039459308</v>
      </c>
      <c r="G28">
        <v>35000</v>
      </c>
      <c r="H28">
        <f t="shared" si="0"/>
        <v>11960</v>
      </c>
      <c r="Q28">
        <v>1.5</v>
      </c>
      <c r="R28">
        <v>2</v>
      </c>
      <c r="W28">
        <v>0</v>
      </c>
      <c r="X28">
        <f t="shared" si="10"/>
        <v>0</v>
      </c>
      <c r="Y28" t="str">
        <f>IF(V28="",Y27,V28)</f>
        <v>dp</v>
      </c>
      <c r="Z28">
        <v>0</v>
      </c>
      <c r="AA28" t="str">
        <f t="shared" si="4"/>
        <v>eqm</v>
      </c>
      <c r="AD28">
        <v>10050.374728166082</v>
      </c>
      <c r="AE28">
        <v>10050.374728166082</v>
      </c>
      <c r="AF28">
        <f t="shared" si="5"/>
        <v>10500.827586206897</v>
      </c>
      <c r="AG28">
        <f t="shared" si="6"/>
        <v>10050.374728166082</v>
      </c>
      <c r="AH28">
        <f t="shared" si="6"/>
        <v>10050.374728166082</v>
      </c>
      <c r="AL28">
        <f t="shared" si="7"/>
        <v>10500.827586206897</v>
      </c>
      <c r="AM28" t="str">
        <f t="shared" si="8"/>
        <v>USED (Q)</v>
      </c>
      <c r="AN28" t="str">
        <f t="shared" si="9"/>
        <v>USED (EQ)</v>
      </c>
      <c r="AP28" s="119" t="str">
        <f t="shared" si="11"/>
        <v>USED (Q)</v>
      </c>
    </row>
    <row r="29" spans="1:42" x14ac:dyDescent="0.25">
      <c r="A29">
        <v>10865.620689655172</v>
      </c>
      <c r="B29">
        <v>11960</v>
      </c>
      <c r="C29">
        <v>40025.426039459308</v>
      </c>
      <c r="D29">
        <v>7.7782258225559726</v>
      </c>
      <c r="E29">
        <f t="shared" si="1"/>
        <v>10865.620689655172</v>
      </c>
      <c r="F29">
        <f t="shared" si="2"/>
        <v>40025.426039459308</v>
      </c>
      <c r="G29">
        <v>35000</v>
      </c>
      <c r="H29">
        <f t="shared" si="0"/>
        <v>11960</v>
      </c>
      <c r="Q29">
        <v>1.5</v>
      </c>
      <c r="R29">
        <v>2</v>
      </c>
      <c r="W29">
        <v>0</v>
      </c>
      <c r="X29">
        <f t="shared" si="10"/>
        <v>0</v>
      </c>
      <c r="Y29" t="str">
        <f t="shared" si="3"/>
        <v>dp</v>
      </c>
      <c r="Z29">
        <v>0</v>
      </c>
      <c r="AA29" t="str">
        <f t="shared" si="4"/>
        <v>eqm</v>
      </c>
      <c r="AD29">
        <v>10050.374728166082</v>
      </c>
      <c r="AE29">
        <v>10050.374728166082</v>
      </c>
      <c r="AF29">
        <f t="shared" si="5"/>
        <v>10865.620689655172</v>
      </c>
      <c r="AG29">
        <f t="shared" si="6"/>
        <v>10050.374728166082</v>
      </c>
      <c r="AH29">
        <f t="shared" si="6"/>
        <v>10050.374728166082</v>
      </c>
      <c r="AL29">
        <f t="shared" si="7"/>
        <v>10865.620689655172</v>
      </c>
      <c r="AM29" t="str">
        <f t="shared" si="8"/>
        <v>USED (Q)</v>
      </c>
      <c r="AN29" t="str">
        <f t="shared" si="9"/>
        <v>USED (EQ)</v>
      </c>
      <c r="AP29" s="119" t="str">
        <f t="shared" si="11"/>
        <v>USED (Q)</v>
      </c>
    </row>
    <row r="30" spans="1:42" x14ac:dyDescent="0.25">
      <c r="A30">
        <v>11230.413793103449</v>
      </c>
      <c r="B30">
        <v>11960</v>
      </c>
      <c r="C30">
        <v>40025.426039459308</v>
      </c>
      <c r="D30">
        <v>7.7782258225559726</v>
      </c>
      <c r="E30">
        <f t="shared" si="1"/>
        <v>11230.413793103449</v>
      </c>
      <c r="F30">
        <f t="shared" si="2"/>
        <v>40025.426039459308</v>
      </c>
      <c r="G30">
        <v>35000</v>
      </c>
      <c r="H30">
        <f t="shared" si="0"/>
        <v>11960</v>
      </c>
      <c r="Q30">
        <v>1.5</v>
      </c>
      <c r="R30">
        <v>2</v>
      </c>
      <c r="W30">
        <v>0</v>
      </c>
      <c r="X30">
        <f t="shared" si="10"/>
        <v>0</v>
      </c>
      <c r="Y30" t="str">
        <f t="shared" si="3"/>
        <v>dp</v>
      </c>
      <c r="Z30">
        <v>0</v>
      </c>
      <c r="AA30" t="str">
        <f t="shared" si="4"/>
        <v>eqm</v>
      </c>
      <c r="AD30">
        <v>10050.374728166082</v>
      </c>
      <c r="AE30">
        <v>10050.374728166082</v>
      </c>
      <c r="AF30">
        <f t="shared" si="5"/>
        <v>11230.413793103449</v>
      </c>
      <c r="AG30">
        <f t="shared" si="6"/>
        <v>10050.374728166082</v>
      </c>
      <c r="AH30">
        <f t="shared" si="6"/>
        <v>10050.374728166082</v>
      </c>
      <c r="AL30">
        <f>E30</f>
        <v>11230.413793103449</v>
      </c>
      <c r="AM30" t="str">
        <f t="shared" si="8"/>
        <v>USED (Q)</v>
      </c>
      <c r="AN30" t="str">
        <f t="shared" si="9"/>
        <v>USED (EQ)</v>
      </c>
      <c r="AP30" s="119" t="str">
        <f t="shared" si="11"/>
        <v>USED (Q)</v>
      </c>
    </row>
    <row r="31" spans="1:42" x14ac:dyDescent="0.25">
      <c r="A31">
        <v>11595.206896551725</v>
      </c>
      <c r="B31">
        <v>11960</v>
      </c>
      <c r="C31">
        <v>40025.426039459308</v>
      </c>
      <c r="D31">
        <v>7.7782258225559726</v>
      </c>
      <c r="E31">
        <f t="shared" si="1"/>
        <v>11595.206896551725</v>
      </c>
      <c r="F31">
        <f t="shared" si="2"/>
        <v>40025.426039459308</v>
      </c>
      <c r="G31">
        <v>35000</v>
      </c>
      <c r="H31">
        <f t="shared" si="0"/>
        <v>11960</v>
      </c>
      <c r="Q31">
        <v>1.5</v>
      </c>
      <c r="R31">
        <v>2</v>
      </c>
      <c r="W31">
        <v>0</v>
      </c>
      <c r="X31">
        <f t="shared" si="10"/>
        <v>0</v>
      </c>
      <c r="Y31" t="str">
        <f t="shared" si="3"/>
        <v>dp</v>
      </c>
      <c r="Z31">
        <v>0</v>
      </c>
      <c r="AA31" t="str">
        <f t="shared" si="4"/>
        <v>eqm</v>
      </c>
      <c r="AD31">
        <v>10050.374728166082</v>
      </c>
      <c r="AE31">
        <v>10050.374728166082</v>
      </c>
      <c r="AF31">
        <f t="shared" si="5"/>
        <v>11595.206896551725</v>
      </c>
      <c r="AG31">
        <f t="shared" si="6"/>
        <v>10050.374728166082</v>
      </c>
      <c r="AH31">
        <f t="shared" si="6"/>
        <v>10050.374728166082</v>
      </c>
      <c r="AL31">
        <f t="shared" si="7"/>
        <v>11595.206896551725</v>
      </c>
      <c r="AM31" t="str">
        <f t="shared" si="8"/>
        <v>USED (Q)</v>
      </c>
      <c r="AN31" t="str">
        <f t="shared" si="9"/>
        <v>USED (EQ)</v>
      </c>
      <c r="AP31" s="119" t="str">
        <f t="shared" si="11"/>
        <v>USED (Q)</v>
      </c>
    </row>
    <row r="32" spans="1:42" x14ac:dyDescent="0.25">
      <c r="A32">
        <v>11960</v>
      </c>
      <c r="B32">
        <v>11960</v>
      </c>
      <c r="C32">
        <v>40025.426039459308</v>
      </c>
      <c r="D32">
        <v>7.7782258225559726</v>
      </c>
      <c r="E32">
        <f t="shared" si="1"/>
        <v>11960</v>
      </c>
      <c r="F32">
        <f t="shared" si="2"/>
        <v>40025.426039459308</v>
      </c>
      <c r="G32">
        <v>35000</v>
      </c>
      <c r="H32">
        <f t="shared" si="0"/>
        <v>11960</v>
      </c>
      <c r="Q32">
        <v>1.5</v>
      </c>
      <c r="R32">
        <v>2</v>
      </c>
      <c r="W32">
        <v>0</v>
      </c>
      <c r="X32">
        <f t="shared" si="10"/>
        <v>0</v>
      </c>
      <c r="Y32" t="str">
        <f t="shared" si="3"/>
        <v>dp</v>
      </c>
      <c r="Z32">
        <v>0</v>
      </c>
      <c r="AA32" t="str">
        <f t="shared" si="4"/>
        <v>eqm</v>
      </c>
      <c r="AD32">
        <v>10050.374728166082</v>
      </c>
      <c r="AE32">
        <v>10050.374728166082</v>
      </c>
      <c r="AF32">
        <f t="shared" si="5"/>
        <v>11960</v>
      </c>
      <c r="AG32">
        <f t="shared" si="6"/>
        <v>10050.374728166082</v>
      </c>
      <c r="AH32">
        <f t="shared" si="6"/>
        <v>10050.374728166082</v>
      </c>
      <c r="AL32">
        <f t="shared" si="7"/>
        <v>11960</v>
      </c>
      <c r="AM32" t="str">
        <f t="shared" si="8"/>
        <v>USED (Q)</v>
      </c>
      <c r="AN32" t="str">
        <f t="shared" si="9"/>
        <v>USED (EQ)</v>
      </c>
      <c r="AP32" s="119" t="str">
        <f t="shared" si="11"/>
        <v>USED (Q)</v>
      </c>
    </row>
    <row r="33" spans="4:42" x14ac:dyDescent="0.25">
      <c r="D33">
        <v>7.7782258225559726</v>
      </c>
      <c r="E33">
        <f t="shared" si="1"/>
        <v>11960</v>
      </c>
      <c r="F33">
        <f t="shared" si="2"/>
        <v>40025.426039459308</v>
      </c>
      <c r="G33">
        <v>35000</v>
      </c>
      <c r="H33">
        <f t="shared" si="0"/>
        <v>11960</v>
      </c>
      <c r="Q33">
        <v>1.5</v>
      </c>
      <c r="R33">
        <v>2</v>
      </c>
      <c r="W33">
        <v>0</v>
      </c>
      <c r="X33">
        <f t="shared" si="10"/>
        <v>0</v>
      </c>
      <c r="Y33" t="str">
        <f t="shared" si="3"/>
        <v>dp</v>
      </c>
      <c r="Z33">
        <v>0</v>
      </c>
      <c r="AA33" t="str">
        <f t="shared" si="4"/>
        <v>eqm</v>
      </c>
      <c r="AF33">
        <f t="shared" si="5"/>
        <v>11960</v>
      </c>
      <c r="AG33">
        <f t="shared" si="6"/>
        <v>10050.374728166082</v>
      </c>
      <c r="AH33">
        <f t="shared" si="6"/>
        <v>10050.374728166082</v>
      </c>
      <c r="AL33">
        <f t="shared" si="7"/>
        <v>11960</v>
      </c>
      <c r="AM33" t="str">
        <f t="shared" si="8"/>
        <v>USED (Q)</v>
      </c>
      <c r="AN33" t="str">
        <f t="shared" si="9"/>
        <v>USED (EQ)</v>
      </c>
      <c r="AP33" s="119" t="str">
        <f>IF(AM33&gt;AG33,AM33,AG33)</f>
        <v>USED (Q)</v>
      </c>
    </row>
    <row r="34" spans="4:42" x14ac:dyDescent="0.25">
      <c r="D34">
        <v>7.7782258225559726</v>
      </c>
      <c r="E34">
        <f t="shared" si="1"/>
        <v>11960</v>
      </c>
      <c r="F34">
        <f t="shared" si="2"/>
        <v>40025.426039459308</v>
      </c>
      <c r="G34">
        <v>35000</v>
      </c>
      <c r="H34">
        <f t="shared" si="0"/>
        <v>11960</v>
      </c>
      <c r="Q34">
        <v>1.5</v>
      </c>
      <c r="R34">
        <v>2</v>
      </c>
      <c r="W34">
        <v>0</v>
      </c>
      <c r="X34">
        <f t="shared" si="10"/>
        <v>0</v>
      </c>
      <c r="Y34" t="str">
        <f t="shared" si="3"/>
        <v>dp</v>
      </c>
      <c r="Z34">
        <v>0</v>
      </c>
      <c r="AA34" t="str">
        <f>IF(U34="",AA33,U34)</f>
        <v>eqm</v>
      </c>
      <c r="AF34">
        <f t="shared" si="5"/>
        <v>11960</v>
      </c>
      <c r="AG34">
        <f t="shared" si="6"/>
        <v>10050.374728166082</v>
      </c>
      <c r="AH34">
        <f t="shared" si="6"/>
        <v>10050.374728166082</v>
      </c>
      <c r="AL34">
        <f t="shared" si="7"/>
        <v>11960</v>
      </c>
      <c r="AM34" t="str">
        <f t="shared" si="8"/>
        <v>USED (Q)</v>
      </c>
      <c r="AN34" t="str">
        <f t="shared" si="9"/>
        <v>USED (EQ)</v>
      </c>
      <c r="AP34" s="119" t="str">
        <f t="shared" si="11"/>
        <v>USED (Q)</v>
      </c>
    </row>
    <row r="35" spans="4:42" x14ac:dyDescent="0.25">
      <c r="D35">
        <v>7.7782258225559726</v>
      </c>
      <c r="E35">
        <f t="shared" si="1"/>
        <v>11960</v>
      </c>
      <c r="F35">
        <f t="shared" si="2"/>
        <v>40025.426039459308</v>
      </c>
      <c r="G35">
        <v>35000</v>
      </c>
      <c r="H35">
        <f t="shared" si="0"/>
        <v>11960</v>
      </c>
      <c r="Q35">
        <v>1.5</v>
      </c>
      <c r="R35">
        <v>2</v>
      </c>
      <c r="W35">
        <v>0</v>
      </c>
      <c r="X35">
        <f>IF(T35="",X34,T35)</f>
        <v>0</v>
      </c>
      <c r="Y35" t="str">
        <f t="shared" si="3"/>
        <v>dp</v>
      </c>
      <c r="Z35">
        <v>0</v>
      </c>
      <c r="AA35" t="str">
        <f t="shared" si="4"/>
        <v>eqm</v>
      </c>
      <c r="AF35">
        <f t="shared" si="5"/>
        <v>11960</v>
      </c>
      <c r="AG35">
        <f t="shared" si="6"/>
        <v>10050.374728166082</v>
      </c>
      <c r="AH35">
        <f t="shared" si="6"/>
        <v>10050.374728166082</v>
      </c>
      <c r="AL35">
        <f t="shared" si="7"/>
        <v>11960</v>
      </c>
      <c r="AM35" t="str">
        <f>IF(AJ35="",AM34,AJ35)</f>
        <v>USED (Q)</v>
      </c>
      <c r="AN35" t="str">
        <f>IF(AK35="",AN34,AK35)</f>
        <v>USED (EQ)</v>
      </c>
      <c r="AP35" s="119" t="str">
        <f t="shared" si="11"/>
        <v>USED (Q)</v>
      </c>
    </row>
    <row r="36" spans="4:42" x14ac:dyDescent="0.25">
      <c r="D36">
        <v>7.7782258225559726</v>
      </c>
      <c r="E36">
        <f t="shared" si="1"/>
        <v>11960</v>
      </c>
      <c r="F36">
        <f t="shared" si="2"/>
        <v>40025.426039459308</v>
      </c>
      <c r="G36">
        <v>35000</v>
      </c>
      <c r="H36">
        <f t="shared" si="0"/>
        <v>11960</v>
      </c>
      <c r="Q36">
        <v>1.5</v>
      </c>
      <c r="R36">
        <v>2</v>
      </c>
      <c r="W36">
        <v>0</v>
      </c>
      <c r="X36">
        <f t="shared" si="10"/>
        <v>0</v>
      </c>
      <c r="Y36" t="str">
        <f t="shared" si="3"/>
        <v>dp</v>
      </c>
      <c r="Z36">
        <v>0</v>
      </c>
      <c r="AA36" t="str">
        <f t="shared" si="4"/>
        <v>eqm</v>
      </c>
      <c r="AF36">
        <f t="shared" si="5"/>
        <v>11960</v>
      </c>
      <c r="AG36">
        <f t="shared" si="6"/>
        <v>10050.374728166082</v>
      </c>
      <c r="AH36">
        <f t="shared" si="6"/>
        <v>10050.374728166082</v>
      </c>
      <c r="AL36">
        <f t="shared" si="7"/>
        <v>11960</v>
      </c>
      <c r="AM36" t="str">
        <f t="shared" ref="AM36:AM47" si="12">IF(AJ36="",AM35,AJ36)</f>
        <v>USED (Q)</v>
      </c>
      <c r="AN36" t="str">
        <f t="shared" ref="AN36:AN47" si="13">IF(AK36="",AN35,AK36)</f>
        <v>USED (EQ)</v>
      </c>
      <c r="AP36" s="119" t="str">
        <f t="shared" si="11"/>
        <v>USED (Q)</v>
      </c>
    </row>
    <row r="37" spans="4:42" x14ac:dyDescent="0.25">
      <c r="D37">
        <v>7.7782258225559726</v>
      </c>
      <c r="E37">
        <f t="shared" si="1"/>
        <v>11960</v>
      </c>
      <c r="F37">
        <f t="shared" si="2"/>
        <v>40025.426039459308</v>
      </c>
      <c r="G37">
        <v>35000</v>
      </c>
      <c r="H37">
        <f t="shared" si="0"/>
        <v>11960</v>
      </c>
      <c r="Q37">
        <v>1.5</v>
      </c>
      <c r="R37">
        <v>2</v>
      </c>
      <c r="W37">
        <v>0</v>
      </c>
      <c r="X37">
        <f t="shared" si="10"/>
        <v>0</v>
      </c>
      <c r="Y37" t="str">
        <f t="shared" si="3"/>
        <v>dp</v>
      </c>
      <c r="Z37">
        <v>0</v>
      </c>
      <c r="AA37" t="str">
        <f t="shared" si="4"/>
        <v>eqm</v>
      </c>
      <c r="AF37">
        <f t="shared" si="5"/>
        <v>11960</v>
      </c>
      <c r="AG37">
        <f t="shared" si="6"/>
        <v>10050.374728166082</v>
      </c>
      <c r="AH37">
        <f t="shared" si="6"/>
        <v>10050.374728166082</v>
      </c>
      <c r="AL37">
        <f t="shared" si="7"/>
        <v>11960</v>
      </c>
      <c r="AM37" t="str">
        <f t="shared" si="12"/>
        <v>USED (Q)</v>
      </c>
      <c r="AN37" t="str">
        <f t="shared" si="13"/>
        <v>USED (EQ)</v>
      </c>
      <c r="AP37" s="119" t="str">
        <f t="shared" si="11"/>
        <v>USED (Q)</v>
      </c>
    </row>
    <row r="38" spans="4:42" x14ac:dyDescent="0.25">
      <c r="D38">
        <v>7.7782258225559726</v>
      </c>
      <c r="E38">
        <f t="shared" si="1"/>
        <v>11960</v>
      </c>
      <c r="F38">
        <f t="shared" si="2"/>
        <v>40025.426039459308</v>
      </c>
      <c r="G38">
        <v>35000</v>
      </c>
      <c r="H38">
        <f t="shared" si="0"/>
        <v>11960</v>
      </c>
      <c r="Q38">
        <v>1.5</v>
      </c>
      <c r="R38">
        <v>2</v>
      </c>
      <c r="W38">
        <v>0</v>
      </c>
      <c r="X38">
        <f t="shared" si="10"/>
        <v>0</v>
      </c>
      <c r="Y38" t="str">
        <f t="shared" si="3"/>
        <v>dp</v>
      </c>
      <c r="Z38">
        <v>0</v>
      </c>
      <c r="AA38" t="str">
        <f t="shared" si="4"/>
        <v>eqm</v>
      </c>
      <c r="AF38">
        <f t="shared" si="5"/>
        <v>11960</v>
      </c>
      <c r="AG38">
        <f t="shared" si="6"/>
        <v>10050.374728166082</v>
      </c>
      <c r="AH38">
        <f t="shared" si="6"/>
        <v>10050.374728166082</v>
      </c>
      <c r="AL38">
        <f t="shared" si="7"/>
        <v>11960</v>
      </c>
      <c r="AM38" t="str">
        <f t="shared" si="12"/>
        <v>USED (Q)</v>
      </c>
      <c r="AN38" t="str">
        <f t="shared" si="13"/>
        <v>USED (EQ)</v>
      </c>
      <c r="AP38" s="119" t="str">
        <f t="shared" si="11"/>
        <v>USED (Q)</v>
      </c>
    </row>
    <row r="39" spans="4:42" x14ac:dyDescent="0.25">
      <c r="D39">
        <v>7.7782258225559726</v>
      </c>
      <c r="E39">
        <f t="shared" si="1"/>
        <v>11960</v>
      </c>
      <c r="F39">
        <f t="shared" si="2"/>
        <v>40025.426039459308</v>
      </c>
      <c r="G39">
        <v>35000</v>
      </c>
      <c r="H39">
        <f t="shared" si="0"/>
        <v>11960</v>
      </c>
      <c r="Q39">
        <v>1.5</v>
      </c>
      <c r="R39">
        <v>2</v>
      </c>
      <c r="W39">
        <v>0</v>
      </c>
      <c r="X39">
        <f t="shared" si="10"/>
        <v>0</v>
      </c>
      <c r="Y39" t="str">
        <f t="shared" si="3"/>
        <v>dp</v>
      </c>
      <c r="Z39">
        <v>0</v>
      </c>
      <c r="AA39" t="str">
        <f t="shared" si="4"/>
        <v>eqm</v>
      </c>
      <c r="AF39">
        <f t="shared" si="5"/>
        <v>11960</v>
      </c>
      <c r="AG39">
        <f t="shared" si="6"/>
        <v>10050.374728166082</v>
      </c>
      <c r="AH39">
        <f t="shared" si="6"/>
        <v>10050.374728166082</v>
      </c>
      <c r="AL39">
        <f t="shared" si="7"/>
        <v>11960</v>
      </c>
      <c r="AM39" t="str">
        <f t="shared" si="12"/>
        <v>USED (Q)</v>
      </c>
      <c r="AN39" t="str">
        <f t="shared" si="13"/>
        <v>USED (EQ)</v>
      </c>
      <c r="AP39" s="119" t="str">
        <f t="shared" si="11"/>
        <v>USED (Q)</v>
      </c>
    </row>
    <row r="40" spans="4:42" x14ac:dyDescent="0.25">
      <c r="D40">
        <v>7.7782258225559726</v>
      </c>
      <c r="E40">
        <f t="shared" si="1"/>
        <v>11960</v>
      </c>
      <c r="F40">
        <f t="shared" si="2"/>
        <v>40025.426039459308</v>
      </c>
      <c r="G40">
        <v>35000</v>
      </c>
      <c r="H40">
        <f t="shared" si="0"/>
        <v>11960</v>
      </c>
      <c r="Q40">
        <v>1.5</v>
      </c>
      <c r="R40">
        <v>2</v>
      </c>
      <c r="W40">
        <v>0</v>
      </c>
      <c r="X40">
        <f t="shared" si="10"/>
        <v>0</v>
      </c>
      <c r="Y40" t="str">
        <f t="shared" si="3"/>
        <v>dp</v>
      </c>
      <c r="Z40">
        <v>0</v>
      </c>
      <c r="AA40" t="str">
        <f t="shared" si="4"/>
        <v>eqm</v>
      </c>
      <c r="AF40">
        <f t="shared" si="5"/>
        <v>11960</v>
      </c>
      <c r="AG40">
        <f t="shared" si="6"/>
        <v>10050.374728166082</v>
      </c>
      <c r="AH40">
        <f t="shared" si="6"/>
        <v>10050.374728166082</v>
      </c>
      <c r="AL40">
        <f t="shared" si="7"/>
        <v>11960</v>
      </c>
      <c r="AM40" t="str">
        <f t="shared" si="12"/>
        <v>USED (Q)</v>
      </c>
      <c r="AN40" t="str">
        <f t="shared" si="13"/>
        <v>USED (EQ)</v>
      </c>
      <c r="AP40" s="119" t="str">
        <f t="shared" si="11"/>
        <v>USED (Q)</v>
      </c>
    </row>
    <row r="41" spans="4:42" x14ac:dyDescent="0.25">
      <c r="D41">
        <v>7.7782258225559726</v>
      </c>
      <c r="E41">
        <f t="shared" si="1"/>
        <v>11960</v>
      </c>
      <c r="F41">
        <f t="shared" si="2"/>
        <v>40025.426039459308</v>
      </c>
      <c r="G41">
        <v>35000</v>
      </c>
      <c r="H41">
        <f t="shared" si="0"/>
        <v>11960</v>
      </c>
      <c r="Q41">
        <v>1.5</v>
      </c>
      <c r="R41">
        <v>2</v>
      </c>
      <c r="W41">
        <v>0</v>
      </c>
      <c r="X41">
        <f t="shared" si="10"/>
        <v>0</v>
      </c>
      <c r="Y41" t="str">
        <f t="shared" si="3"/>
        <v>dp</v>
      </c>
      <c r="Z41">
        <v>0</v>
      </c>
      <c r="AA41" t="str">
        <f t="shared" si="4"/>
        <v>eqm</v>
      </c>
      <c r="AF41">
        <f>E41</f>
        <v>11960</v>
      </c>
      <c r="AG41">
        <f t="shared" si="6"/>
        <v>10050.374728166082</v>
      </c>
      <c r="AH41">
        <f t="shared" si="6"/>
        <v>10050.374728166082</v>
      </c>
      <c r="AL41">
        <f t="shared" si="7"/>
        <v>11960</v>
      </c>
      <c r="AM41" t="str">
        <f t="shared" si="12"/>
        <v>USED (Q)</v>
      </c>
      <c r="AN41" t="str">
        <f t="shared" si="13"/>
        <v>USED (EQ)</v>
      </c>
      <c r="AP41" s="119" t="str">
        <f t="shared" si="11"/>
        <v>USED (Q)</v>
      </c>
    </row>
    <row r="42" spans="4:42" x14ac:dyDescent="0.25">
      <c r="D42">
        <v>7.7782258225559726</v>
      </c>
      <c r="E42">
        <f t="shared" si="1"/>
        <v>11960</v>
      </c>
      <c r="F42">
        <f t="shared" si="2"/>
        <v>40025.426039459308</v>
      </c>
      <c r="G42">
        <v>35000</v>
      </c>
      <c r="H42">
        <f t="shared" si="0"/>
        <v>11960</v>
      </c>
      <c r="Q42">
        <v>1.5</v>
      </c>
      <c r="R42">
        <v>2</v>
      </c>
      <c r="W42">
        <v>0</v>
      </c>
      <c r="X42">
        <f t="shared" si="10"/>
        <v>0</v>
      </c>
      <c r="Y42" t="str">
        <f t="shared" si="3"/>
        <v>dp</v>
      </c>
      <c r="Z42">
        <v>0</v>
      </c>
      <c r="AA42" t="str">
        <f t="shared" si="4"/>
        <v>eqm</v>
      </c>
      <c r="AF42">
        <f t="shared" si="5"/>
        <v>11960</v>
      </c>
      <c r="AG42">
        <f t="shared" si="6"/>
        <v>10050.374728166082</v>
      </c>
      <c r="AH42">
        <f t="shared" si="6"/>
        <v>10050.374728166082</v>
      </c>
      <c r="AL42">
        <f t="shared" si="7"/>
        <v>11960</v>
      </c>
      <c r="AM42" t="str">
        <f t="shared" si="12"/>
        <v>USED (Q)</v>
      </c>
      <c r="AN42" t="str">
        <f t="shared" si="13"/>
        <v>USED (EQ)</v>
      </c>
      <c r="AP42" s="119" t="str">
        <f t="shared" si="11"/>
        <v>USED (Q)</v>
      </c>
    </row>
    <row r="43" spans="4:42" x14ac:dyDescent="0.25">
      <c r="D43">
        <v>7.7782258225559726</v>
      </c>
      <c r="E43">
        <f t="shared" si="1"/>
        <v>11960</v>
      </c>
      <c r="F43">
        <f t="shared" si="2"/>
        <v>40025.426039459308</v>
      </c>
      <c r="G43">
        <v>35000</v>
      </c>
      <c r="H43">
        <f t="shared" si="0"/>
        <v>11960</v>
      </c>
      <c r="Q43">
        <v>1.5</v>
      </c>
      <c r="R43">
        <v>2</v>
      </c>
      <c r="W43">
        <v>0</v>
      </c>
      <c r="X43">
        <f t="shared" si="10"/>
        <v>0</v>
      </c>
      <c r="Y43" t="str">
        <f t="shared" si="3"/>
        <v>dp</v>
      </c>
      <c r="Z43">
        <v>0</v>
      </c>
      <c r="AA43" t="str">
        <f t="shared" si="4"/>
        <v>eqm</v>
      </c>
      <c r="AF43">
        <f t="shared" si="5"/>
        <v>11960</v>
      </c>
      <c r="AG43">
        <f t="shared" si="6"/>
        <v>10050.374728166082</v>
      </c>
      <c r="AH43">
        <f t="shared" si="6"/>
        <v>10050.374728166082</v>
      </c>
      <c r="AL43">
        <f t="shared" si="7"/>
        <v>11960</v>
      </c>
      <c r="AM43" t="str">
        <f t="shared" si="12"/>
        <v>USED (Q)</v>
      </c>
      <c r="AN43" t="str">
        <f t="shared" si="13"/>
        <v>USED (EQ)</v>
      </c>
      <c r="AP43" s="119" t="str">
        <f t="shared" si="11"/>
        <v>USED (Q)</v>
      </c>
    </row>
    <row r="44" spans="4:42" x14ac:dyDescent="0.25">
      <c r="D44">
        <v>7.7782258225559726</v>
      </c>
      <c r="E44">
        <f t="shared" si="1"/>
        <v>11960</v>
      </c>
      <c r="F44">
        <f t="shared" si="2"/>
        <v>40025.426039459308</v>
      </c>
      <c r="G44">
        <v>35000</v>
      </c>
      <c r="H44">
        <f t="shared" si="0"/>
        <v>11960</v>
      </c>
      <c r="Q44">
        <v>1.5</v>
      </c>
      <c r="R44">
        <v>2</v>
      </c>
      <c r="W44">
        <v>0</v>
      </c>
      <c r="X44">
        <f t="shared" si="10"/>
        <v>0</v>
      </c>
      <c r="Y44" t="str">
        <f t="shared" si="3"/>
        <v>dp</v>
      </c>
      <c r="Z44">
        <v>0</v>
      </c>
      <c r="AA44" t="str">
        <f t="shared" si="4"/>
        <v>eqm</v>
      </c>
      <c r="AF44">
        <f t="shared" si="5"/>
        <v>11960</v>
      </c>
      <c r="AG44">
        <f t="shared" si="6"/>
        <v>10050.374728166082</v>
      </c>
      <c r="AH44">
        <f t="shared" si="6"/>
        <v>10050.374728166082</v>
      </c>
      <c r="AL44">
        <f t="shared" si="7"/>
        <v>11960</v>
      </c>
      <c r="AM44" t="str">
        <f t="shared" si="12"/>
        <v>USED (Q)</v>
      </c>
      <c r="AN44" t="str">
        <f t="shared" si="13"/>
        <v>USED (EQ)</v>
      </c>
      <c r="AP44" s="119" t="str">
        <f t="shared" si="11"/>
        <v>USED (Q)</v>
      </c>
    </row>
    <row r="45" spans="4:42" x14ac:dyDescent="0.25">
      <c r="D45">
        <v>7.7782258225559726</v>
      </c>
      <c r="E45">
        <f t="shared" si="1"/>
        <v>11960</v>
      </c>
      <c r="F45">
        <f t="shared" si="2"/>
        <v>40025.426039459308</v>
      </c>
      <c r="G45">
        <v>35000</v>
      </c>
      <c r="H45">
        <f t="shared" si="0"/>
        <v>11960</v>
      </c>
      <c r="Q45">
        <v>1.5</v>
      </c>
      <c r="R45">
        <v>2</v>
      </c>
      <c r="W45">
        <v>0</v>
      </c>
      <c r="X45">
        <f t="shared" si="10"/>
        <v>0</v>
      </c>
      <c r="Y45" t="str">
        <f t="shared" si="3"/>
        <v>dp</v>
      </c>
      <c r="Z45">
        <v>0</v>
      </c>
      <c r="AA45" t="str">
        <f t="shared" si="4"/>
        <v>eqm</v>
      </c>
      <c r="AF45">
        <f t="shared" si="5"/>
        <v>11960</v>
      </c>
      <c r="AG45">
        <f t="shared" si="6"/>
        <v>10050.374728166082</v>
      </c>
      <c r="AH45">
        <f t="shared" si="6"/>
        <v>10050.374728166082</v>
      </c>
      <c r="AL45">
        <f t="shared" si="7"/>
        <v>11960</v>
      </c>
      <c r="AM45" t="str">
        <f t="shared" si="12"/>
        <v>USED (Q)</v>
      </c>
      <c r="AN45" t="str">
        <f t="shared" si="13"/>
        <v>USED (EQ)</v>
      </c>
      <c r="AP45" s="119" t="str">
        <f t="shared" si="11"/>
        <v>USED (Q)</v>
      </c>
    </row>
    <row r="46" spans="4:42" x14ac:dyDescent="0.25">
      <c r="D46">
        <v>7.7782258225559726</v>
      </c>
      <c r="E46">
        <f t="shared" si="1"/>
        <v>11960</v>
      </c>
      <c r="F46">
        <f t="shared" si="2"/>
        <v>40025.426039459308</v>
      </c>
      <c r="G46">
        <v>35000</v>
      </c>
      <c r="H46">
        <f t="shared" si="0"/>
        <v>11960</v>
      </c>
      <c r="Q46">
        <v>1.5</v>
      </c>
      <c r="R46">
        <v>2</v>
      </c>
      <c r="W46">
        <v>0</v>
      </c>
      <c r="X46">
        <f t="shared" si="10"/>
        <v>0</v>
      </c>
      <c r="Y46" t="str">
        <f t="shared" si="3"/>
        <v>dp</v>
      </c>
      <c r="Z46">
        <v>0</v>
      </c>
      <c r="AA46" t="str">
        <f t="shared" si="4"/>
        <v>eqm</v>
      </c>
      <c r="AF46">
        <f t="shared" si="5"/>
        <v>11960</v>
      </c>
      <c r="AG46">
        <f t="shared" si="6"/>
        <v>10050.374728166082</v>
      </c>
      <c r="AH46">
        <f t="shared" si="6"/>
        <v>10050.374728166082</v>
      </c>
      <c r="AL46">
        <f t="shared" si="7"/>
        <v>11960</v>
      </c>
      <c r="AM46" t="str">
        <f t="shared" si="12"/>
        <v>USED (Q)</v>
      </c>
      <c r="AN46" t="str">
        <f t="shared" si="13"/>
        <v>USED (EQ)</v>
      </c>
      <c r="AP46" s="119" t="str">
        <f t="shared" si="11"/>
        <v>USED (Q)</v>
      </c>
    </row>
    <row r="47" spans="4:42" x14ac:dyDescent="0.25">
      <c r="D47">
        <v>7.7782258225559726</v>
      </c>
      <c r="E47">
        <f t="shared" si="1"/>
        <v>11960</v>
      </c>
      <c r="F47">
        <f t="shared" si="2"/>
        <v>40025.426039459308</v>
      </c>
      <c r="G47">
        <v>35000</v>
      </c>
      <c r="H47">
        <f t="shared" si="0"/>
        <v>11960</v>
      </c>
      <c r="Q47">
        <v>1.5</v>
      </c>
      <c r="R47">
        <v>2</v>
      </c>
      <c r="W47">
        <v>0</v>
      </c>
      <c r="X47">
        <f t="shared" si="10"/>
        <v>0</v>
      </c>
      <c r="Y47" t="str">
        <f t="shared" si="3"/>
        <v>dp</v>
      </c>
      <c r="Z47">
        <v>0</v>
      </c>
      <c r="AA47" t="str">
        <f t="shared" si="4"/>
        <v>eqm</v>
      </c>
      <c r="AF47">
        <f t="shared" si="5"/>
        <v>11960</v>
      </c>
      <c r="AG47">
        <f t="shared" si="6"/>
        <v>10050.374728166082</v>
      </c>
      <c r="AH47">
        <f t="shared" si="6"/>
        <v>10050.374728166082</v>
      </c>
      <c r="AL47">
        <f t="shared" si="7"/>
        <v>11960</v>
      </c>
      <c r="AM47" t="str">
        <f t="shared" si="12"/>
        <v>USED (Q)</v>
      </c>
      <c r="AN47" t="str">
        <f t="shared" si="13"/>
        <v>USED (EQ)</v>
      </c>
      <c r="AP47" s="119" t="str">
        <f t="shared" si="11"/>
        <v>USED (Q)</v>
      </c>
    </row>
  </sheetData>
  <mergeCells count="2">
    <mergeCell ref="AD1:AH1"/>
    <mergeCell ref="AJ1:AN1"/>
  </mergeCells>
  <phoneticPr fontId="14" type="noConversion"/>
  <pageMargins left="0.75" right="0.75" top="1" bottom="1" header="0.5" footer="0.5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E22CB197A24E3E4DA81A36441D05E748" ma:contentTypeVersion="19" ma:contentTypeDescription="Ein neues Dokument erstellen." ma:contentTypeScope="" ma:versionID="57e225f60c4fbe50bce8b9a79286447e">
  <xsd:schema xmlns:xsd="http://www.w3.org/2001/XMLSchema" xmlns:xs="http://www.w3.org/2001/XMLSchema" xmlns:p="http://schemas.microsoft.com/office/2006/metadata/properties" xmlns:ns2="573aabb5-4ef4-426a-b8e3-ad71d56fc232" xmlns:ns3="f68bb4d7-7edc-4d8a-9df8-02dc45d792e0" targetNamespace="http://schemas.microsoft.com/office/2006/metadata/properties" ma:root="true" ma:fieldsID="c9708f981f214ce8be4f71ea78057f67" ns2:_="" ns3:_="">
    <xsd:import namespace="573aabb5-4ef4-426a-b8e3-ad71d56fc232"/>
    <xsd:import namespace="f68bb4d7-7edc-4d8a-9df8-02dc45d792e0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LengthInSeconds" minOccurs="0"/>
                <xsd:element ref="ns3:MediaServiceLocation" minOccurs="0"/>
                <xsd:element ref="ns3:lcf76f155ced4ddcb4097134ff3c332f" minOccurs="0"/>
                <xsd:element ref="ns2:TaxCatchAll" minOccurs="0"/>
                <xsd:element ref="ns3:MediaServiceSearchProperties" minOccurs="0"/>
                <xsd:element ref="ns3:MediaServiceObjectDetectorVersions" minOccurs="0"/>
                <xsd:element ref="ns3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73aabb5-4ef4-426a-b8e3-ad71d56fc232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cfeea76f-524b-413a-9ddd-01a268ac1a6a}" ma:internalName="TaxCatchAll" ma:showField="CatchAllData" ma:web="573aabb5-4ef4-426a-b8e3-ad71d56fc23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68bb4d7-7edc-4d8a-9df8-02dc45d792e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9" nillable="true" ma:displayName="Length (seconds)" ma:internalName="MediaLengthInSeconds" ma:readOnly="true">
      <xsd:simpleType>
        <xsd:restriction base="dms:Unknown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18585dd9-08bf-4ae9-865e-f47d7bdc18c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25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73aabb5-4ef4-426a-b8e3-ad71d56fc232" xsi:nil="true"/>
    <lcf76f155ced4ddcb4097134ff3c332f xmlns="f68bb4d7-7edc-4d8a-9df8-02dc45d792e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3EAF5F31-42BE-4242-9C0E-DEB99A63A5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73aabb5-4ef4-426a-b8e3-ad71d56fc232"/>
    <ds:schemaRef ds:uri="f68bb4d7-7edc-4d8a-9df8-02dc45d792e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FD9C5B1-14AE-4D5D-B93E-1AE610396E4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858B2B6-79D8-4FFF-B7E7-6CB3CCE4F9D5}">
  <ds:schemaRefs>
    <ds:schemaRef ds:uri="f68bb4d7-7edc-4d8a-9df8-02dc45d792e0"/>
    <ds:schemaRef ds:uri="http://www.w3.org/XML/1998/namespace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schemas.microsoft.com/office/2006/metadata/properties"/>
    <ds:schemaRef ds:uri="http://schemas.microsoft.com/office/infopath/2007/PartnerControls"/>
    <ds:schemaRef ds:uri="573aabb5-4ef4-426a-b8e3-ad71d56fc232"/>
    <ds:schemaRef ds:uri="http://purl.org/dc/dcmitype/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6" baseType="variant">
      <vt:variant>
        <vt:lpstr>Planilhas</vt:lpstr>
      </vt:variant>
      <vt:variant>
        <vt:i4>15</vt:i4>
      </vt:variant>
      <vt:variant>
        <vt:lpstr>Gráficos</vt:lpstr>
      </vt:variant>
      <vt:variant>
        <vt:i4>4</vt:i4>
      </vt:variant>
      <vt:variant>
        <vt:lpstr>Intervalos Nomeados</vt:lpstr>
      </vt:variant>
      <vt:variant>
        <vt:i4>34</vt:i4>
      </vt:variant>
    </vt:vector>
  </HeadingPairs>
  <TitlesOfParts>
    <vt:vector size="53" baseType="lpstr">
      <vt:lpstr>Report</vt:lpstr>
      <vt:lpstr>Gas parameters</vt:lpstr>
      <vt:lpstr>Meter run parameters</vt:lpstr>
      <vt:lpstr>Coef Disc &amp; Expansao</vt:lpstr>
      <vt:lpstr>Metering station</vt:lpstr>
      <vt:lpstr>Equipment List</vt:lpstr>
      <vt:lpstr>Chromatography</vt:lpstr>
      <vt:lpstr>INTERNAL</vt:lpstr>
      <vt:lpstr>Graph menu</vt:lpstr>
      <vt:lpstr>Plot data</vt:lpstr>
      <vt:lpstr>Gráfico1</vt:lpstr>
      <vt:lpstr>Gráfico2</vt:lpstr>
      <vt:lpstr>Gráfico3</vt:lpstr>
      <vt:lpstr>Sensitivity coefficients</vt:lpstr>
      <vt:lpstr>Kladd-plottedata</vt:lpstr>
      <vt:lpstr>Graph Vazão Volumétrica</vt:lpstr>
      <vt:lpstr>Graph Vazão Mássica</vt:lpstr>
      <vt:lpstr>Graph DP</vt:lpstr>
      <vt:lpstr>GraphNET</vt:lpstr>
      <vt:lpstr>'Coef Disc &amp; Expansao'!Area_de_impressao</vt:lpstr>
      <vt:lpstr>'Equipment List'!Area_de_impressao</vt:lpstr>
      <vt:lpstr>'Gas parameters'!Area_de_impressao</vt:lpstr>
      <vt:lpstr>'Meter run parameters'!Area_de_impressao</vt:lpstr>
      <vt:lpstr>'Metering station'!Area_de_impressao</vt:lpstr>
      <vt:lpstr>Report!Area_de_impressao</vt:lpstr>
      <vt:lpstr>Gráfico2!bCalcType</vt:lpstr>
      <vt:lpstr>Gráfico3!bCalcType</vt:lpstr>
      <vt:lpstr>bCalcType</vt:lpstr>
      <vt:lpstr>DPCutoff</vt:lpstr>
      <vt:lpstr>Gráfico1!rDPmax</vt:lpstr>
      <vt:lpstr>Gráfico2!rDPmax</vt:lpstr>
      <vt:lpstr>Gráfico3!rDPmax</vt:lpstr>
      <vt:lpstr>Gráfico1!rDPMin</vt:lpstr>
      <vt:lpstr>Gráfico2!rDPMin</vt:lpstr>
      <vt:lpstr>Gráfico3!rDPMin</vt:lpstr>
      <vt:lpstr>rDPvar</vt:lpstr>
      <vt:lpstr>rFlow</vt:lpstr>
      <vt:lpstr>Gráfico1!rMaxUnc</vt:lpstr>
      <vt:lpstr>Gráfico2!rMaxUnc</vt:lpstr>
      <vt:lpstr>Gráfico3!rMaxUnc</vt:lpstr>
      <vt:lpstr>Gráfico1!rMinUnc</vt:lpstr>
      <vt:lpstr>Gráfico2!rMinUnc</vt:lpstr>
      <vt:lpstr>Gráfico3!rMinUnc</vt:lpstr>
      <vt:lpstr>rUnc</vt:lpstr>
      <vt:lpstr>Gráfico1!vDP</vt:lpstr>
      <vt:lpstr>Gráfico2!vDP</vt:lpstr>
      <vt:lpstr>Gráfico3!vDP</vt:lpstr>
      <vt:lpstr>Gráfico1!vFlow</vt:lpstr>
      <vt:lpstr>Gráfico2!vFlow</vt:lpstr>
      <vt:lpstr>Gráfico3!vFlow</vt:lpstr>
      <vt:lpstr>Gráfico1!vUnc</vt:lpstr>
      <vt:lpstr>Gráfico2!vUnc</vt:lpstr>
      <vt:lpstr>Gráfico3!vUnc</vt:lpstr>
    </vt:vector>
  </TitlesOfParts>
  <Company>Christian Michelsen Research 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Matheus de Moraes</dc:creator>
  <cp:lastModifiedBy>Matheus Bandeira</cp:lastModifiedBy>
  <cp:lastPrinted>2026-01-29T17:56:07Z</cp:lastPrinted>
  <dcterms:created xsi:type="dcterms:W3CDTF">2001-07-30T14:26:34Z</dcterms:created>
  <dcterms:modified xsi:type="dcterms:W3CDTF">2026-03-01T17:45:53Z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0x010100E22CB197A24E3E4DA81A36441D05E748</vt:lpwstr>
  </property>
</Properties>
</file>