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Users\arahmed\OneDrive - SS&amp;C Technologies, Inc\Desktop\ReqAndTestPlans\SBOModel\SBO\"/>
    </mc:Choice>
  </mc:AlternateContent>
  <xr:revisionPtr revIDLastSave="0" documentId="13_ncr:1_{32D5795A-1797-4A26-9919-C2FA650E0DAF}" xr6:coauthVersionLast="47" xr6:coauthVersionMax="47" xr10:uidLastSave="{00000000-0000-0000-0000-000000000000}"/>
  <bookViews>
    <workbookView xWindow="-120" yWindow="-120" windowWidth="29040" windowHeight="17640" activeTab="4" xr2:uid="{04F5826A-2203-4AF6-AC38-31E31D2ECDEC}"/>
  </bookViews>
  <sheets>
    <sheet name="Scenario" sheetId="18" r:id="rId1"/>
    <sheet name="i_ExecutionDate" sheetId="8" r:id="rId2"/>
    <sheet name="i_Transaction" sheetId="9" r:id="rId3"/>
    <sheet name="i_InstrumentAttribute" sheetId="10" r:id="rId4"/>
    <sheet name="CALC" sheetId="12" r:id="rId5"/>
    <sheet name="i_Metric" sheetId="11" r:id="rId6"/>
    <sheet name="o_Transaction" sheetId="13" r:id="rId7"/>
  </sheets>
  <definedNames>
    <definedName name="_xlnm._FilterDatabase" localSheetId="5" hidden="1">i_Metric!$A$1:$G$2</definedName>
    <definedName name="_xlnm._FilterDatabase" localSheetId="0" hidden="1">Scenario!$A$2:$F$53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2" l="1"/>
  <c r="F3" i="12"/>
  <c r="A12" i="12"/>
  <c r="B12" i="12" s="1"/>
  <c r="G12" i="12" l="1"/>
  <c r="L52" i="18" l="1"/>
  <c r="L55" i="18" s="1"/>
  <c r="L51" i="18"/>
  <c r="L54" i="18" s="1"/>
  <c r="L50" i="18"/>
  <c r="L49" i="18"/>
  <c r="L48" i="18"/>
  <c r="T47" i="18"/>
  <c r="T46" i="18"/>
  <c r="T45" i="18"/>
  <c r="T44" i="18"/>
  <c r="U47" i="18"/>
  <c r="E23" i="18" l="1"/>
  <c r="U44" i="18" s="1"/>
  <c r="G16" i="12"/>
  <c r="A7" i="12"/>
  <c r="C8" i="12"/>
  <c r="E24" i="12" s="1"/>
  <c r="B8" i="12"/>
  <c r="B24" i="12"/>
  <c r="D24" i="12"/>
  <c r="C24" i="12"/>
  <c r="A24" i="12"/>
  <c r="A41" i="18"/>
  <c r="A42" i="18" s="1"/>
  <c r="A43" i="18" s="1"/>
  <c r="E29" i="18"/>
  <c r="U45" i="18" s="1"/>
  <c r="A29" i="18"/>
  <c r="A30" i="18" s="1"/>
  <c r="A31" i="18" s="1"/>
  <c r="N1" i="18"/>
  <c r="N2" i="18" s="1"/>
  <c r="B3" i="18"/>
  <c r="H3" i="18"/>
  <c r="B4" i="18"/>
  <c r="H4" i="18"/>
  <c r="H5" i="18" s="1"/>
  <c r="H6" i="18" s="1"/>
  <c r="H7" i="18" s="1"/>
  <c r="I4" i="18"/>
  <c r="E33" i="18"/>
  <c r="U46" i="18" s="1"/>
  <c r="E45" i="18"/>
  <c r="D23" i="12"/>
  <c r="D22" i="12"/>
  <c r="C23" i="12"/>
  <c r="C22" i="12"/>
  <c r="B23" i="12"/>
  <c r="A6" i="12" s="1"/>
  <c r="A23" i="12"/>
  <c r="B22" i="12"/>
  <c r="A5" i="12" s="1"/>
  <c r="A22" i="12"/>
  <c r="B21" i="12"/>
  <c r="A4" i="12" s="1"/>
  <c r="A13" i="12"/>
  <c r="F23" i="12" l="1"/>
  <c r="F24" i="12"/>
  <c r="F21" i="12"/>
  <c r="F22" i="12"/>
  <c r="B15" i="12"/>
  <c r="E5" i="18"/>
  <c r="I5" i="18" s="1"/>
  <c r="A16" i="12"/>
  <c r="D50" i="12"/>
  <c r="A50" i="12"/>
  <c r="F16" i="12"/>
  <c r="F15" i="12" s="1"/>
  <c r="F14" i="12" s="1"/>
  <c r="F13" i="12" s="1"/>
  <c r="F12" i="12" s="1"/>
  <c r="E16" i="12"/>
  <c r="D16" i="12"/>
  <c r="D15" i="12" s="1"/>
  <c r="D14" i="12" s="1"/>
  <c r="D13" i="12" s="1"/>
  <c r="D12" i="12" s="1"/>
  <c r="C16" i="12"/>
  <c r="C15" i="12" s="1"/>
  <c r="C14" i="12" s="1"/>
  <c r="C13" i="12" s="1"/>
  <c r="C12" i="12" s="1"/>
  <c r="A21" i="12"/>
  <c r="D21" i="12"/>
  <c r="C21" i="12"/>
  <c r="I24" i="12" l="1"/>
  <c r="E45" i="12" s="1"/>
  <c r="A45" i="12" s="1"/>
  <c r="B18" i="13" s="1"/>
  <c r="C18" i="13" s="1"/>
  <c r="D18" i="13" s="1"/>
  <c r="A18" i="13" s="1"/>
  <c r="E18" i="13" s="1"/>
  <c r="F18" i="13" s="1"/>
  <c r="I22" i="12"/>
  <c r="I21" i="12"/>
  <c r="I23" i="12"/>
  <c r="G24" i="12"/>
  <c r="E37" i="12" s="1"/>
  <c r="A37" i="12" s="1"/>
  <c r="B14" i="12"/>
  <c r="L14" i="12" s="1"/>
  <c r="L15" i="12"/>
  <c r="L16" i="12" s="1"/>
  <c r="E15" i="12"/>
  <c r="H16" i="12"/>
  <c r="I16" i="12" s="1"/>
  <c r="A15" i="12"/>
  <c r="G15" i="12"/>
  <c r="H5" i="12"/>
  <c r="E6" i="18"/>
  <c r="I6" i="18" s="1"/>
  <c r="C50" i="12"/>
  <c r="B50" i="12"/>
  <c r="E50" i="12"/>
  <c r="B13" i="12" l="1"/>
  <c r="L12" i="12" s="1"/>
  <c r="B37" i="12"/>
  <c r="B10" i="13"/>
  <c r="C10" i="13" s="1"/>
  <c r="D10" i="13" s="1"/>
  <c r="H15" i="12"/>
  <c r="I15" i="12" s="1"/>
  <c r="E44" i="12"/>
  <c r="A44" i="12" s="1"/>
  <c r="B17" i="13" s="1"/>
  <c r="C17" i="13" s="1"/>
  <c r="D17" i="13" s="1"/>
  <c r="A17" i="13" s="1"/>
  <c r="E17" i="13" s="1"/>
  <c r="F17" i="13" s="1"/>
  <c r="E42" i="12"/>
  <c r="A42" i="12" s="1"/>
  <c r="B15" i="13" s="1"/>
  <c r="C15" i="13" s="1"/>
  <c r="D15" i="13" s="1"/>
  <c r="A15" i="13" s="1"/>
  <c r="E15" i="13" s="1"/>
  <c r="F15" i="13" s="1"/>
  <c r="E43" i="12"/>
  <c r="A43" i="12" s="1"/>
  <c r="B16" i="13" s="1"/>
  <c r="C16" i="13" s="1"/>
  <c r="D16" i="13" s="1"/>
  <c r="A16" i="13" s="1"/>
  <c r="E16" i="13" s="1"/>
  <c r="F16" i="13" s="1"/>
  <c r="C37" i="12"/>
  <c r="D37" i="12"/>
  <c r="F45" i="12"/>
  <c r="D45" i="12"/>
  <c r="C45" i="12"/>
  <c r="B45" i="12"/>
  <c r="F37" i="12"/>
  <c r="G14" i="12"/>
  <c r="A14" i="12"/>
  <c r="E14" i="12"/>
  <c r="E13" i="12" s="1"/>
  <c r="E12" i="12" s="1"/>
  <c r="H12" i="12" s="1"/>
  <c r="I12" i="12" s="1"/>
  <c r="E7" i="18"/>
  <c r="G13" i="12" l="1"/>
  <c r="L13" i="12"/>
  <c r="F43" i="12"/>
  <c r="C43" i="12"/>
  <c r="D43" i="12"/>
  <c r="B43" i="12"/>
  <c r="D42" i="12"/>
  <c r="C42" i="12"/>
  <c r="B42" i="12"/>
  <c r="F42" i="12"/>
  <c r="F44" i="12"/>
  <c r="B44" i="12"/>
  <c r="D44" i="12"/>
  <c r="C44" i="12"/>
  <c r="H13" i="12"/>
  <c r="I13" i="12" s="1"/>
  <c r="H14" i="12"/>
  <c r="I14" i="12" s="1"/>
  <c r="I7" i="18"/>
  <c r="E10" i="18" s="1"/>
  <c r="E9" i="18" s="1"/>
  <c r="E22" i="18"/>
  <c r="I9" i="18" l="1"/>
  <c r="I10" i="18" s="1"/>
  <c r="E26" i="18"/>
  <c r="E25" i="18" l="1"/>
  <c r="H9" i="18"/>
  <c r="H10" i="18" s="1"/>
  <c r="H11" i="18" l="1"/>
  <c r="H12" i="18" s="1"/>
  <c r="E11" i="18"/>
  <c r="E27" i="18" l="1"/>
  <c r="I11" i="18"/>
  <c r="E12" i="18"/>
  <c r="I12" i="18" l="1"/>
  <c r="E28" i="18"/>
  <c r="I14" i="18" l="1"/>
  <c r="E15" i="18"/>
  <c r="E14" i="18" s="1"/>
  <c r="E31" i="18" l="1"/>
  <c r="I15" i="18"/>
  <c r="H14" i="18" l="1"/>
  <c r="H15" i="18" s="1"/>
  <c r="E30" i="18"/>
  <c r="H16" i="18" l="1"/>
  <c r="E16" i="18"/>
  <c r="E32" i="18" l="1"/>
  <c r="I16" i="18"/>
  <c r="E19" i="18" l="1"/>
  <c r="E18" i="18" s="1"/>
  <c r="I18" i="18"/>
  <c r="I19" i="18" l="1"/>
  <c r="E35" i="18"/>
  <c r="H18" i="18" l="1"/>
  <c r="H19" i="18" s="1"/>
  <c r="E34" i="18"/>
  <c r="E20" i="18" l="1"/>
  <c r="H20" i="18"/>
  <c r="H21" i="18" s="1"/>
  <c r="H37" i="18" s="1"/>
  <c r="H38" i="18" s="1"/>
  <c r="E39" i="18" l="1"/>
  <c r="H39" i="18"/>
  <c r="H40" i="18" s="1"/>
  <c r="E21" i="18"/>
  <c r="E37" i="18" s="1"/>
  <c r="I20" i="18"/>
  <c r="I21" i="18" s="1"/>
  <c r="E36" i="18"/>
  <c r="I37" i="18" l="1"/>
  <c r="E40" i="18"/>
  <c r="E38" i="18"/>
  <c r="N48" i="18" s="1"/>
  <c r="I38" i="18" l="1"/>
  <c r="I39" i="18" s="1"/>
  <c r="I40" i="18" s="1"/>
  <c r="E43" i="18" s="1"/>
  <c r="N51" i="18" l="1"/>
  <c r="E42" i="18"/>
  <c r="N54" i="18" s="1"/>
  <c r="I42" i="18"/>
  <c r="I43" i="18" s="1"/>
  <c r="H42" i="18"/>
  <c r="H43" i="18" s="1"/>
  <c r="H44" i="18" l="1"/>
  <c r="E44" i="18"/>
  <c r="N49" i="18" s="1"/>
  <c r="I44" i="18" l="1"/>
  <c r="E47" i="18" l="1"/>
  <c r="I47" i="18" l="1"/>
  <c r="N52" i="18"/>
  <c r="E46" i="18"/>
  <c r="N55" i="18" s="1"/>
  <c r="H46" i="18"/>
  <c r="H47" i="18" s="1"/>
  <c r="H48" i="18" s="1"/>
  <c r="E48" i="18" l="1"/>
  <c r="H49" i="18"/>
  <c r="H50" i="18" s="1"/>
  <c r="E49" i="18" l="1"/>
  <c r="I48" i="18"/>
  <c r="E50" i="18" l="1"/>
  <c r="N50" i="18" s="1"/>
  <c r="I49" i="18"/>
  <c r="I50" i="18" l="1"/>
  <c r="E53" i="18" s="1"/>
  <c r="N53" i="18" l="1"/>
  <c r="E52" i="18"/>
  <c r="N56" i="18" s="1"/>
  <c r="I52" i="18"/>
  <c r="I53" i="18" s="1"/>
  <c r="H52" i="18"/>
  <c r="H53" i="18" s="1"/>
  <c r="H24" i="12" l="1"/>
  <c r="E41" i="12" s="1"/>
  <c r="A41" i="12" s="1"/>
  <c r="B14" i="13" s="1"/>
  <c r="C14" i="13" s="1"/>
  <c r="D14" i="13" s="1"/>
  <c r="C7" i="12"/>
  <c r="F41" i="12" l="1"/>
  <c r="D41" i="12"/>
  <c r="B41" i="12"/>
  <c r="C41" i="12"/>
  <c r="B7" i="12"/>
  <c r="J16" i="12" s="1"/>
  <c r="M16" i="12" s="1"/>
  <c r="E33" i="12" s="1"/>
  <c r="J15" i="12" l="1"/>
  <c r="K15" i="12" s="1"/>
  <c r="K16" i="12"/>
  <c r="B33" i="12"/>
  <c r="A33" i="12"/>
  <c r="B6" i="13" s="1"/>
  <c r="C6" i="13" s="1"/>
  <c r="D6" i="13" s="1"/>
  <c r="M15" i="12" l="1"/>
  <c r="E32" i="12" s="1"/>
  <c r="B32" i="12" s="1"/>
  <c r="F33" i="12"/>
  <c r="C33" i="12"/>
  <c r="D33" i="12"/>
  <c r="E23" i="12" l="1"/>
  <c r="G23" i="12" s="1"/>
  <c r="H23" i="12" s="1"/>
  <c r="A32" i="12"/>
  <c r="C32" i="12" l="1"/>
  <c r="B5" i="13"/>
  <c r="C5" i="13" s="1"/>
  <c r="D5" i="13" s="1"/>
  <c r="C6" i="12"/>
  <c r="E36" i="12"/>
  <c r="A36" i="12" s="1"/>
  <c r="D32" i="12"/>
  <c r="F32" i="12"/>
  <c r="B6" i="12"/>
  <c r="J14" i="12" s="1"/>
  <c r="M14" i="12" s="1"/>
  <c r="E31" i="12" s="1"/>
  <c r="B31" i="12" s="1"/>
  <c r="E40" i="12"/>
  <c r="A40" i="12" s="1"/>
  <c r="B13" i="13" s="1"/>
  <c r="C13" i="13" s="1"/>
  <c r="D13" i="13" s="1"/>
  <c r="C36" i="12" l="1"/>
  <c r="B9" i="13"/>
  <c r="C9" i="13" s="1"/>
  <c r="D9" i="13" s="1"/>
  <c r="B36" i="12"/>
  <c r="D36" i="12"/>
  <c r="F36" i="12"/>
  <c r="E22" i="12"/>
  <c r="G22" i="12" s="1"/>
  <c r="H22" i="12" s="1"/>
  <c r="A31" i="12"/>
  <c r="K14" i="12"/>
  <c r="F40" i="12"/>
  <c r="B40" i="12"/>
  <c r="D40" i="12"/>
  <c r="C40" i="12"/>
  <c r="F31" i="12" l="1"/>
  <c r="B4" i="13"/>
  <c r="C4" i="13" s="1"/>
  <c r="D4" i="13" s="1"/>
  <c r="E35" i="12"/>
  <c r="A35" i="12" s="1"/>
  <c r="C5" i="12"/>
  <c r="C31" i="12"/>
  <c r="D31" i="12"/>
  <c r="B5" i="12"/>
  <c r="J13" i="12" s="1"/>
  <c r="M13" i="12" s="1"/>
  <c r="E30" i="12" s="1"/>
  <c r="E39" i="12"/>
  <c r="A39" i="12" s="1"/>
  <c r="B12" i="13" s="1"/>
  <c r="C12" i="13" s="1"/>
  <c r="D12" i="13" s="1"/>
  <c r="D35" i="12" l="1"/>
  <c r="B8" i="13"/>
  <c r="C8" i="13" s="1"/>
  <c r="D8" i="13" s="1"/>
  <c r="C35" i="12"/>
  <c r="B35" i="12"/>
  <c r="F35" i="12"/>
  <c r="K13" i="12"/>
  <c r="C39" i="12"/>
  <c r="D39" i="12"/>
  <c r="F39" i="12"/>
  <c r="B39" i="12"/>
  <c r="A30" i="12"/>
  <c r="B3" i="13" s="1"/>
  <c r="C3" i="13" s="1"/>
  <c r="D3" i="13" s="1"/>
  <c r="B30" i="12"/>
  <c r="E21" i="12"/>
  <c r="G21" i="12" s="1"/>
  <c r="E34" i="12" s="1"/>
  <c r="F30" i="12" l="1"/>
  <c r="D30" i="12"/>
  <c r="C30" i="12"/>
  <c r="H21" i="12"/>
  <c r="E38" i="12" s="1"/>
  <c r="A38" i="12" s="1"/>
  <c r="B11" i="13" s="1"/>
  <c r="C11" i="13" s="1"/>
  <c r="D11" i="13" s="1"/>
  <c r="C4" i="12"/>
  <c r="I5" i="12" l="1"/>
  <c r="F38" i="12"/>
  <c r="B38" i="12"/>
  <c r="C38" i="12"/>
  <c r="D38" i="12"/>
  <c r="B4" i="12"/>
  <c r="J12" i="12" s="1"/>
  <c r="K12" i="12" l="1"/>
  <c r="M12" i="12"/>
  <c r="E29" i="12" s="1"/>
  <c r="A29" i="12" l="1"/>
  <c r="B2" i="13" s="1"/>
  <c r="C2" i="13" s="1"/>
  <c r="B29" i="12"/>
  <c r="F29" i="12" l="1"/>
  <c r="D29" i="12"/>
  <c r="C29" i="12"/>
  <c r="D2" i="13" s="1"/>
  <c r="A34" i="12"/>
  <c r="J5" i="12"/>
  <c r="D34" i="12" l="1"/>
  <c r="B7" i="13"/>
  <c r="C7" i="13" s="1"/>
  <c r="D7" i="13" s="1"/>
  <c r="B34" i="12"/>
  <c r="F34" i="12"/>
  <c r="C34" i="12"/>
  <c r="A10" i="13" l="1"/>
  <c r="E10" i="13" s="1"/>
  <c r="F10" i="13" s="1"/>
  <c r="A11" i="13"/>
  <c r="E11" i="13" s="1"/>
  <c r="F11" i="13" s="1"/>
  <c r="A12" i="13"/>
  <c r="E12" i="13" s="1"/>
  <c r="F12" i="13" s="1"/>
  <c r="A14" i="13"/>
  <c r="E14" i="13" s="1"/>
  <c r="F14" i="13" s="1"/>
  <c r="A8" i="13"/>
  <c r="E8" i="13" s="1"/>
  <c r="F8" i="13" s="1"/>
  <c r="A5" i="13"/>
  <c r="E5" i="13" s="1"/>
  <c r="F5" i="13" s="1"/>
  <c r="A6" i="13"/>
  <c r="E6" i="13" s="1"/>
  <c r="F6" i="13" s="1"/>
  <c r="A7" i="13"/>
  <c r="E7" i="13" s="1"/>
  <c r="F7" i="13" s="1"/>
  <c r="A9" i="13"/>
  <c r="E9" i="13" s="1"/>
  <c r="F9" i="13" s="1"/>
  <c r="A13" i="13"/>
  <c r="E13" i="13" s="1"/>
  <c r="F13" i="13" s="1"/>
  <c r="A4" i="13"/>
  <c r="E4" i="13" s="1"/>
  <c r="F4" i="13" s="1"/>
  <c r="A3" i="13"/>
  <c r="E3" i="13" s="1"/>
  <c r="F3" i="13" s="1"/>
  <c r="A2" i="13"/>
  <c r="E2" i="13" s="1"/>
  <c r="F2" i="13" s="1"/>
</calcChain>
</file>

<file path=xl/sharedStrings.xml><?xml version="1.0" encoding="utf-8"?>
<sst xmlns="http://schemas.openxmlformats.org/spreadsheetml/2006/main" count="300" uniqueCount="99">
  <si>
    <t>Date</t>
  </si>
  <si>
    <t>TransactionName</t>
  </si>
  <si>
    <t>Accrued Interest Receivable</t>
  </si>
  <si>
    <t>Remit</t>
  </si>
  <si>
    <t>ExecutionDate</t>
  </si>
  <si>
    <t>Amount</t>
  </si>
  <si>
    <t>TransactionDate</t>
  </si>
  <si>
    <t>InstrumentId</t>
  </si>
  <si>
    <t>AttributeId</t>
  </si>
  <si>
    <t>Type</t>
  </si>
  <si>
    <t>EffectiveDate</t>
  </si>
  <si>
    <t>AttributeID</t>
  </si>
  <si>
    <t>ATTRIBUTES.INTEREST_RATE</t>
  </si>
  <si>
    <t>MetricName</t>
  </si>
  <si>
    <t>Instrumentid</t>
  </si>
  <si>
    <t>AccountingPeriod</t>
  </si>
  <si>
    <t>BeginningBalance</t>
  </si>
  <si>
    <t>Activity</t>
  </si>
  <si>
    <t>EndingBalance</t>
  </si>
  <si>
    <t>InstrumentID</t>
  </si>
  <si>
    <t>Per Day Interest Rate</t>
  </si>
  <si>
    <t>Per Day Interest Accrual</t>
  </si>
  <si>
    <t>Transactiontype</t>
  </si>
  <si>
    <t>PostingDate</t>
  </si>
  <si>
    <t>Interest Accrual Calc</t>
  </si>
  <si>
    <t>ATTRIBUTES.ACCRUAL_METHOD</t>
  </si>
  <si>
    <t>Accrual Method</t>
  </si>
  <si>
    <t>Unpaid Principal Balance</t>
  </si>
  <si>
    <t>Annual Interest Rate</t>
  </si>
  <si>
    <t>Number of days in Month</t>
  </si>
  <si>
    <t>Per Month Interest Rate</t>
  </si>
  <si>
    <t>Current AIR</t>
  </si>
  <si>
    <t>Remit Amount</t>
  </si>
  <si>
    <t>Interest Payment</t>
  </si>
  <si>
    <t>Principal Payment</t>
  </si>
  <si>
    <t>Transactions</t>
  </si>
  <si>
    <t>ATTRIBUTES.MATURITY_DATE</t>
  </si>
  <si>
    <t>Inventory Close</t>
  </si>
  <si>
    <t>EndDate</t>
  </si>
  <si>
    <t>MaturityDate</t>
  </si>
  <si>
    <t>Balances</t>
  </si>
  <si>
    <t>ReplayDate</t>
  </si>
  <si>
    <t>Closing Principal</t>
  </si>
  <si>
    <t>Closing AIR</t>
  </si>
  <si>
    <t>Number Of Days</t>
  </si>
  <si>
    <t>Date Final</t>
  </si>
  <si>
    <t>Total Accrual</t>
  </si>
  <si>
    <t>Remit Reversal</t>
  </si>
  <si>
    <t>Total Payment</t>
  </si>
  <si>
    <t>Difference</t>
  </si>
  <si>
    <t>New</t>
  </si>
  <si>
    <t>Interest</t>
  </si>
  <si>
    <t>Payment</t>
  </si>
  <si>
    <t>UPB</t>
  </si>
  <si>
    <t>Rebook</t>
  </si>
  <si>
    <t>accrual</t>
  </si>
  <si>
    <t>Reversal</t>
  </si>
  <si>
    <t>Purchase</t>
  </si>
  <si>
    <t>AIR</t>
  </si>
  <si>
    <t>Entry</t>
  </si>
  <si>
    <t>Component</t>
  </si>
  <si>
    <t>Transaction</t>
  </si>
  <si>
    <t>ED</t>
  </si>
  <si>
    <t>PD</t>
  </si>
  <si>
    <t>Monthly NR</t>
  </si>
  <si>
    <t>Daily NR</t>
  </si>
  <si>
    <t>Accrual</t>
  </si>
  <si>
    <t>Payment Interest</t>
  </si>
  <si>
    <t>Payment UPB</t>
  </si>
  <si>
    <t>HEALTH CHECK</t>
  </si>
  <si>
    <t>ContractDate</t>
  </si>
  <si>
    <t>ATTRIBUTES.CAPTURE_DATE</t>
  </si>
  <si>
    <t>LastExecutionDate</t>
  </si>
  <si>
    <t>Only for Out of Order</t>
  </si>
  <si>
    <t>Remit Type</t>
  </si>
  <si>
    <t>Initial Balance at Posting</t>
  </si>
  <si>
    <t>CURRENT_OPEN_VERSION</t>
  </si>
  <si>
    <t>IDHJ-EGNY</t>
  </si>
  <si>
    <t>REMIT</t>
  </si>
  <si>
    <t>1.0</t>
  </si>
  <si>
    <t>20220209</t>
  </si>
  <si>
    <t>100.0</t>
  </si>
  <si>
    <t>-350.0</t>
  </si>
  <si>
    <t>-275.0</t>
  </si>
  <si>
    <t>-200.0</t>
  </si>
  <si>
    <t>REMIT REVERSAL</t>
  </si>
  <si>
    <t>99441.5918</t>
  </si>
  <si>
    <t>202202</t>
  </si>
  <si>
    <t>UNPAID PRINCIPAL BALANCE</t>
  </si>
  <si>
    <t>0.0000</t>
  </si>
  <si>
    <t>27.6227</t>
  </si>
  <si>
    <t>55.2454</t>
  </si>
  <si>
    <t>ACCRUED INTEREST RECEIVABLE</t>
  </si>
  <si>
    <t>ACTUAL_360</t>
  </si>
  <si>
    <t>20220131</t>
  </si>
  <si>
    <t>2023-01-31</t>
  </si>
  <si>
    <t>10.0</t>
  </si>
  <si>
    <t>2022-01-31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</si>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</sst>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_);[Red]\(0.00\)"/>
    <numFmt numFmtId="166" formatCode="#,##0.0000_);[Red]\(#,##0.0000\)"/>
    <numFmt numFmtId="167" formatCode="0.0000_);[Red]\(0.0000\)"/>
    <numFmt numFmtId="168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2" fillId="0" borderId="0" xfId="1" applyFont="1"/>
    <xf numFmtId="0" fontId="3" fillId="0" borderId="0" xfId="1"/>
    <xf numFmtId="14" fontId="0" fillId="0" borderId="0" xfId="0" applyNumberFormat="1"/>
    <xf numFmtId="0" fontId="3" fillId="0" borderId="1" xfId="1" applyBorder="1"/>
    <xf numFmtId="0" fontId="1" fillId="0" borderId="0" xfId="0" applyFont="1"/>
    <xf numFmtId="0" fontId="2" fillId="2" borderId="0" xfId="1" applyFont="1" applyFill="1"/>
    <xf numFmtId="0" fontId="3" fillId="3" borderId="0" xfId="1" applyFill="1"/>
    <xf numFmtId="14" fontId="3" fillId="0" borderId="0" xfId="1" applyNumberFormat="1"/>
    <xf numFmtId="14" fontId="3" fillId="0" borderId="1" xfId="1" applyNumberFormat="1" applyBorder="1"/>
    <xf numFmtId="0" fontId="4" fillId="0" borderId="0" xfId="1" applyFont="1"/>
    <xf numFmtId="0" fontId="2" fillId="6" borderId="0" xfId="1" applyFont="1" applyFill="1"/>
    <xf numFmtId="0" fontId="4" fillId="0" borderId="5" xfId="1" applyFont="1" applyBorder="1"/>
    <xf numFmtId="0" fontId="0" fillId="0" borderId="1" xfId="0" applyBorder="1"/>
    <xf numFmtId="164" fontId="3" fillId="0" borderId="0" xfId="1" applyNumberFormat="1"/>
    <xf numFmtId="1" fontId="3" fillId="0" borderId="0" xfId="1" applyNumberFormat="1"/>
    <xf numFmtId="0" fontId="4" fillId="7" borderId="5" xfId="1" applyFont="1" applyFill="1" applyBorder="1"/>
    <xf numFmtId="1" fontId="3" fillId="0" borderId="1" xfId="1" applyNumberFormat="1" applyBorder="1"/>
    <xf numFmtId="0" fontId="3" fillId="0" borderId="1" xfId="1" applyNumberFormat="1" applyBorder="1"/>
    <xf numFmtId="14" fontId="3" fillId="0" borderId="0" xfId="1" applyNumberFormat="1" applyBorder="1"/>
    <xf numFmtId="0" fontId="3" fillId="0" borderId="0" xfId="1" applyNumberFormat="1" applyBorder="1"/>
    <xf numFmtId="1" fontId="3" fillId="0" borderId="0" xfId="1" applyNumberFormat="1" applyBorder="1"/>
    <xf numFmtId="0" fontId="3" fillId="0" borderId="0" xfId="1" applyBorder="1"/>
    <xf numFmtId="2" fontId="3" fillId="0" borderId="0" xfId="1" applyNumberFormat="1" applyBorder="1"/>
    <xf numFmtId="14" fontId="3" fillId="0" borderId="1" xfId="1" applyNumberFormat="1" applyFill="1" applyBorder="1"/>
    <xf numFmtId="14" fontId="0" fillId="0" borderId="1" xfId="0" applyNumberFormat="1" applyBorder="1"/>
    <xf numFmtId="165" fontId="0" fillId="0" borderId="1" xfId="0" applyNumberFormat="1" applyBorder="1"/>
    <xf numFmtId="14" fontId="0" fillId="8" borderId="1" xfId="0" applyNumberFormat="1" applyFill="1" applyBorder="1"/>
    <xf numFmtId="0" fontId="0" fillId="8" borderId="1" xfId="0" applyFill="1" applyBorder="1"/>
    <xf numFmtId="165" fontId="0" fillId="8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40" fontId="0" fillId="0" borderId="0" xfId="0" applyNumberFormat="1"/>
    <xf numFmtId="40" fontId="0" fillId="5" borderId="0" xfId="0" applyNumberFormat="1" applyFill="1"/>
    <xf numFmtId="164" fontId="0" fillId="0" borderId="1" xfId="0" applyNumberFormat="1" applyBorder="1"/>
    <xf numFmtId="164" fontId="0" fillId="3" borderId="1" xfId="0" applyNumberFormat="1" applyFill="1" applyBorder="1"/>
    <xf numFmtId="1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14" fontId="4" fillId="0" borderId="5" xfId="1" applyNumberFormat="1" applyFont="1" applyBorder="1"/>
    <xf numFmtId="14" fontId="6" fillId="0" borderId="5" xfId="1" applyNumberFormat="1" applyFont="1" applyBorder="1"/>
    <xf numFmtId="14" fontId="3" fillId="0" borderId="1" xfId="1" applyNumberFormat="1" applyBorder="1" applyAlignment="1">
      <alignment horizontal="center" vertical="center" wrapText="1"/>
    </xf>
    <xf numFmtId="0" fontId="2" fillId="5" borderId="0" xfId="1" applyFont="1" applyFill="1"/>
    <xf numFmtId="0" fontId="4" fillId="7" borderId="1" xfId="1" applyFont="1" applyFill="1" applyBorder="1"/>
    <xf numFmtId="40" fontId="3" fillId="0" borderId="1" xfId="1" applyNumberFormat="1" applyBorder="1"/>
    <xf numFmtId="40" fontId="3" fillId="5" borderId="1" xfId="1" applyNumberFormat="1" applyFill="1" applyBorder="1"/>
    <xf numFmtId="166" fontId="3" fillId="0" borderId="1" xfId="1" applyNumberFormat="1" applyBorder="1"/>
    <xf numFmtId="165" fontId="0" fillId="0" borderId="0" xfId="0" applyNumberFormat="1"/>
    <xf numFmtId="0" fontId="0" fillId="3" borderId="0" xfId="0" applyFill="1"/>
    <xf numFmtId="167" fontId="0" fillId="0" borderId="1" xfId="0" applyNumberFormat="1" applyBorder="1"/>
    <xf numFmtId="0" fontId="3" fillId="3" borderId="1" xfId="1" applyFill="1" applyBorder="1"/>
    <xf numFmtId="0" fontId="0" fillId="0" borderId="0" xfId="0" applyBorder="1"/>
    <xf numFmtId="166" fontId="3" fillId="0" borderId="0" xfId="1" applyNumberFormat="1" applyBorder="1"/>
    <xf numFmtId="40" fontId="3" fillId="0" borderId="0" xfId="1" applyNumberFormat="1"/>
    <xf numFmtId="0" fontId="4" fillId="3" borderId="0" xfId="1" applyFont="1" applyFill="1"/>
    <xf numFmtId="14" fontId="3" fillId="5" borderId="0" xfId="1" applyNumberForma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</cellXfs>
  <cellStyles count="2">
    <cellStyle name="Normal" xfId="0" builtinId="0"/>
    <cellStyle name="Normal 2" xfId="1" xr:uid="{03FC309D-8750-4D92-BD81-EB1A0A26F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BA05-C7F2-4A4A-9A6F-1D2AF8ACD5CE}">
  <sheetPr>
    <tabColor rgb="FF00B0F0"/>
  </sheetPr>
  <dimension ref="A1:V58"/>
  <sheetViews>
    <sheetView topLeftCell="A19" workbookViewId="0">
      <selection activeCell="E43" sqref="E43"/>
    </sheetView>
  </sheetViews>
  <sheetFormatPr defaultRowHeight="15" x14ac:dyDescent="0.25"/>
  <cols>
    <col min="1" max="2" bestFit="true" customWidth="true" width="9.7109375"/>
    <col min="3" max="3" bestFit="true" customWidth="true" width="11.42578125"/>
    <col min="4" max="4" bestFit="true" customWidth="true" width="8.0"/>
    <col min="5" max="5" bestFit="true" customWidth="true" width="10.28515625"/>
    <col min="6" max="6" bestFit="true" customWidth="true" width="8.5703125"/>
    <col min="8" max="8" bestFit="true" customWidth="true" width="10.85546875"/>
    <col min="9" max="9" bestFit="true" customWidth="true" width="9.28515625"/>
    <col min="13" max="13" customWidth="true" width="19.42578125"/>
    <col min="14" max="14" bestFit="true" customWidth="true" width="12.0"/>
  </cols>
  <sheetData>
    <row r="1" spans="1:14" ht="15.75" thickBot="1" x14ac:dyDescent="0.3">
      <c r="A1" s="57" t="s">
        <v>35</v>
      </c>
      <c r="B1" s="58"/>
      <c r="C1" s="58"/>
      <c r="D1" s="58"/>
      <c r="E1" s="58"/>
      <c r="F1" s="59"/>
      <c r="H1" s="57" t="s">
        <v>40</v>
      </c>
      <c r="I1" s="59"/>
      <c r="M1" s="13" t="s">
        <v>64</v>
      </c>
      <c r="N1" s="13" t="n">
        <f>10/1200</f>
        <v>0.008333333333333333</v>
      </c>
    </row>
    <row r="2" spans="1:14" x14ac:dyDescent="0.25">
      <c r="A2" s="5" t="s">
        <v>63</v>
      </c>
      <c r="B2" s="5" t="s">
        <v>62</v>
      </c>
      <c r="C2" s="5" t="s">
        <v>61</v>
      </c>
      <c r="D2" s="5" t="s">
        <v>60</v>
      </c>
      <c r="E2" s="5" t="s">
        <v>5</v>
      </c>
      <c r="F2" s="5" t="s">
        <v>59</v>
      </c>
      <c r="H2" s="5" t="s">
        <v>53</v>
      </c>
      <c r="I2" s="5" t="s">
        <v>58</v>
      </c>
      <c r="M2" s="13" t="s">
        <v>65</v>
      </c>
      <c r="N2" s="13" t="n">
        <f>N1/28</f>
        <v>2.976190476190475E-4</v>
      </c>
    </row>
    <row r="3" spans="1:14" x14ac:dyDescent="0.25">
      <c r="A3" s="25">
        <v>44592</v>
      </c>
      <c r="B3" s="25" t="n">
        <f>A3</f>
        <v>44592.0</v>
      </c>
      <c r="C3" s="13" t="s">
        <v>57</v>
      </c>
      <c r="D3" s="13" t="s">
        <v>53</v>
      </c>
      <c r="E3" s="26">
        <v>100000</v>
      </c>
      <c r="F3" s="13" t="s">
        <v>50</v>
      </c>
      <c r="H3" s="33" t="n">
        <f>E3</f>
        <v>100000.0</v>
      </c>
      <c r="I3" s="33">
        <v>0</v>
      </c>
    </row>
    <row r="4" spans="1:14" x14ac:dyDescent="0.25">
      <c r="A4" s="25">
        <v>44592</v>
      </c>
      <c r="B4" s="25" t="n">
        <f>A4</f>
        <v>44592.0</v>
      </c>
      <c r="C4" s="13" t="s">
        <v>57</v>
      </c>
      <c r="D4" s="13" t="s">
        <v>51</v>
      </c>
      <c r="E4" s="26">
        <v>100</v>
      </c>
      <c r="F4" s="13" t="s">
        <v>50</v>
      </c>
      <c r="H4" s="33" t="n">
        <f>E3</f>
        <v>100000.0</v>
      </c>
      <c r="I4" s="33" t="n">
        <f>E4</f>
        <v>100.0</v>
      </c>
    </row>
    <row r="5" spans="1:14" x14ac:dyDescent="0.25">
      <c r="A5" s="25">
        <v>44593</v>
      </c>
      <c r="B5" s="25">
        <v>44593</v>
      </c>
      <c r="C5" s="13" t="s">
        <v>55</v>
      </c>
      <c r="D5" s="13" t="s">
        <v>51</v>
      </c>
      <c r="E5" s="26" t="n">
        <f>H4*N2</f>
        <v>29.7619047619047</v>
      </c>
      <c r="F5" s="13" t="s">
        <v>50</v>
      </c>
      <c r="G5" s="49"/>
      <c r="H5" s="33" t="n">
        <f>H4</f>
        <v>100000.0</v>
      </c>
      <c r="I5" s="33" t="n">
        <f>I4+E5</f>
        <v>129.7619047619047</v>
      </c>
    </row>
    <row r="6" spans="1:14" x14ac:dyDescent="0.25">
      <c r="A6" s="25">
        <v>44594</v>
      </c>
      <c r="B6" s="25">
        <v>44594</v>
      </c>
      <c r="C6" s="13" t="s">
        <v>55</v>
      </c>
      <c r="D6" s="13" t="s">
        <v>51</v>
      </c>
      <c r="E6" s="26" t="n">
        <f>E5</f>
        <v>29.7619047619047</v>
      </c>
      <c r="F6" s="13" t="s">
        <v>50</v>
      </c>
      <c r="G6" s="49"/>
      <c r="H6" s="33" t="n">
        <f>H5</f>
        <v>100000.0</v>
      </c>
      <c r="I6" s="33" t="n">
        <f>E6+I5</f>
        <v>159.5238095238094</v>
      </c>
    </row>
    <row r="7" spans="1:14" x14ac:dyDescent="0.25">
      <c r="A7" s="25">
        <v>44595</v>
      </c>
      <c r="B7" s="25">
        <v>44595</v>
      </c>
      <c r="C7" s="13" t="s">
        <v>55</v>
      </c>
      <c r="D7" s="13" t="s">
        <v>51</v>
      </c>
      <c r="E7" s="26" t="n">
        <f>E6</f>
        <v>29.7619047619047</v>
      </c>
      <c r="F7" s="13" t="s">
        <v>50</v>
      </c>
      <c r="G7" s="49"/>
      <c r="H7" s="33" t="n">
        <f>H6</f>
        <v>100000.0</v>
      </c>
      <c r="I7" s="34" t="n">
        <f>I6+E7</f>
        <v>189.2857142857141</v>
      </c>
    </row>
    <row r="8" spans="1:14" x14ac:dyDescent="0.25">
      <c r="A8" s="25">
        <v>44595</v>
      </c>
      <c r="B8" s="25">
        <v>44595</v>
      </c>
      <c r="C8" s="13" t="s">
        <v>3</v>
      </c>
      <c r="D8" s="13"/>
      <c r="E8" s="26">
        <v>200</v>
      </c>
      <c r="F8" s="13" t="s">
        <v>50</v>
      </c>
      <c r="H8" s="33"/>
      <c r="I8" s="33"/>
    </row>
    <row r="9" spans="1:14" x14ac:dyDescent="0.25">
      <c r="A9" s="25">
        <v>44595</v>
      </c>
      <c r="B9" s="25">
        <v>44595</v>
      </c>
      <c r="C9" s="13" t="s">
        <v>52</v>
      </c>
      <c r="D9" s="13" t="s">
        <v>53</v>
      </c>
      <c r="E9" s="26" t="n">
        <f>-E8-E10</f>
        <v>-10.714285714285893</v>
      </c>
      <c r="F9" s="13" t="s">
        <v>50</v>
      </c>
      <c r="G9" s="49"/>
      <c r="H9" s="33" t="n">
        <f>H7+E9</f>
        <v>99989.28571428571</v>
      </c>
      <c r="I9" s="33" t="n">
        <f>I7</f>
        <v>189.2857142857141</v>
      </c>
    </row>
    <row r="10" spans="1:14" x14ac:dyDescent="0.25">
      <c r="A10" s="25">
        <v>44595</v>
      </c>
      <c r="B10" s="25">
        <v>44595</v>
      </c>
      <c r="C10" s="13" t="s">
        <v>52</v>
      </c>
      <c r="D10" s="13" t="s">
        <v>51</v>
      </c>
      <c r="E10" s="26" t="n">
        <f>-I7</f>
        <v>-189.2857142857141</v>
      </c>
      <c r="F10" s="13" t="s">
        <v>50</v>
      </c>
      <c r="G10" s="49"/>
      <c r="H10" s="33" t="n">
        <f>H9</f>
        <v>99989.28571428571</v>
      </c>
      <c r="I10" s="33" t="n">
        <f>I9+E10</f>
        <v>0.0</v>
      </c>
    </row>
    <row r="11" spans="1:14" x14ac:dyDescent="0.25">
      <c r="A11" s="25">
        <v>44596</v>
      </c>
      <c r="B11" s="25">
        <v>44596</v>
      </c>
      <c r="C11" s="13" t="s">
        <v>55</v>
      </c>
      <c r="D11" s="13" t="s">
        <v>51</v>
      </c>
      <c r="E11" s="50" t="n">
        <f>ROUND(H10*N2,4)</f>
        <v>29.7587</v>
      </c>
      <c r="F11" s="13" t="s">
        <v>50</v>
      </c>
      <c r="G11" s="49"/>
      <c r="H11" s="33" t="n">
        <f>H10</f>
        <v>99989.28571428571</v>
      </c>
      <c r="I11" s="33" t="n">
        <f>E11</f>
        <v>29.7587</v>
      </c>
    </row>
    <row r="12" spans="1:14" x14ac:dyDescent="0.25">
      <c r="A12" s="25">
        <v>44597</v>
      </c>
      <c r="B12" s="25">
        <v>44597</v>
      </c>
      <c r="C12" s="13" t="s">
        <v>55</v>
      </c>
      <c r="D12" s="13" t="s">
        <v>51</v>
      </c>
      <c r="E12" s="26" t="n">
        <f>E11</f>
        <v>29.7587</v>
      </c>
      <c r="F12" s="13" t="s">
        <v>50</v>
      </c>
      <c r="G12" s="49"/>
      <c r="H12" s="33" t="n">
        <f>H11</f>
        <v>99989.28571428571</v>
      </c>
      <c r="I12" s="33" t="n">
        <f>I11+E12</f>
        <v>59.5174</v>
      </c>
    </row>
    <row r="13" spans="1:14" x14ac:dyDescent="0.25">
      <c r="A13" s="25">
        <v>44597</v>
      </c>
      <c r="B13" s="25">
        <v>44597</v>
      </c>
      <c r="C13" s="13" t="s">
        <v>3</v>
      </c>
      <c r="D13" s="13"/>
      <c r="E13" s="26">
        <v>275</v>
      </c>
      <c r="F13" s="13" t="s">
        <v>50</v>
      </c>
      <c r="H13" s="33"/>
      <c r="I13" s="33"/>
    </row>
    <row r="14" spans="1:14" x14ac:dyDescent="0.25">
      <c r="A14" s="25">
        <v>44597</v>
      </c>
      <c r="B14" s="25">
        <v>44597</v>
      </c>
      <c r="C14" s="13" t="s">
        <v>52</v>
      </c>
      <c r="D14" s="13" t="s">
        <v>53</v>
      </c>
      <c r="E14" s="50" t="n">
        <f>-E13-E15</f>
        <v>-215.4826</v>
      </c>
      <c r="F14" s="13" t="s">
        <v>50</v>
      </c>
      <c r="H14" s="33" t="n">
        <f>H12+E14</f>
        <v>99773.8031142857</v>
      </c>
      <c r="I14" s="33" t="n">
        <f>I12</f>
        <v>59.5174</v>
      </c>
    </row>
    <row r="15" spans="1:14" x14ac:dyDescent="0.25">
      <c r="A15" s="25">
        <v>44597</v>
      </c>
      <c r="B15" s="25">
        <v>44597</v>
      </c>
      <c r="C15" s="13" t="s">
        <v>52</v>
      </c>
      <c r="D15" s="13" t="s">
        <v>51</v>
      </c>
      <c r="E15" s="50" t="n">
        <f>-I12</f>
        <v>-59.5174</v>
      </c>
      <c r="F15" s="13" t="s">
        <v>50</v>
      </c>
      <c r="H15" s="33" t="n">
        <f>H14</f>
        <v>99773.8031142857</v>
      </c>
      <c r="I15" s="33" t="n">
        <f>I14+E15</f>
        <v>0.0</v>
      </c>
    </row>
    <row r="16" spans="1:14" x14ac:dyDescent="0.25">
      <c r="A16" s="25">
        <v>44598</v>
      </c>
      <c r="B16" s="25">
        <v>44598</v>
      </c>
      <c r="C16" s="13" t="s">
        <v>55</v>
      </c>
      <c r="D16" s="13" t="s">
        <v>51</v>
      </c>
      <c r="E16" s="26" t="n">
        <f>ROUND(H15*$N$2,4)</f>
        <v>29.6946</v>
      </c>
      <c r="F16" s="13" t="s">
        <v>50</v>
      </c>
      <c r="G16" s="49"/>
      <c r="H16" s="33" t="n">
        <f>H15</f>
        <v>99773.8031142857</v>
      </c>
      <c r="I16" s="33" t="n">
        <f>I15+E16</f>
        <v>29.6946</v>
      </c>
    </row>
    <row r="17" spans="1:9" x14ac:dyDescent="0.25">
      <c r="A17" s="25">
        <v>44598</v>
      </c>
      <c r="B17" s="25">
        <v>44598</v>
      </c>
      <c r="C17" s="13" t="s">
        <v>3</v>
      </c>
      <c r="D17" s="13"/>
      <c r="E17" s="26">
        <v>350</v>
      </c>
      <c r="F17" s="13" t="s">
        <v>50</v>
      </c>
      <c r="H17" s="33"/>
      <c r="I17" s="33"/>
    </row>
    <row r="18" spans="1:9" x14ac:dyDescent="0.25">
      <c r="A18" s="25">
        <v>44598</v>
      </c>
      <c r="B18" s="25">
        <v>44598</v>
      </c>
      <c r="C18" s="13" t="s">
        <v>52</v>
      </c>
      <c r="D18" s="13" t="s">
        <v>53</v>
      </c>
      <c r="E18" s="26" t="n">
        <f>-E17-E19</f>
        <v>-320.3054</v>
      </c>
      <c r="F18" s="13" t="s">
        <v>50</v>
      </c>
      <c r="H18" s="33" t="n">
        <f>H16+E18</f>
        <v>99453.49771428571</v>
      </c>
      <c r="I18" s="33" t="n">
        <f>I16</f>
        <v>29.6946</v>
      </c>
    </row>
    <row r="19" spans="1:9" x14ac:dyDescent="0.25">
      <c r="A19" s="25">
        <v>44598</v>
      </c>
      <c r="B19" s="25">
        <v>44598</v>
      </c>
      <c r="C19" s="13" t="s">
        <v>52</v>
      </c>
      <c r="D19" s="13" t="s">
        <v>51</v>
      </c>
      <c r="E19" s="26" t="n">
        <f>-I16</f>
        <v>-29.6946</v>
      </c>
      <c r="F19" s="13" t="s">
        <v>50</v>
      </c>
      <c r="H19" s="33" t="n">
        <f>H18</f>
        <v>99453.49771428571</v>
      </c>
      <c r="I19" s="33" t="n">
        <f>I18+E19</f>
        <v>0.0</v>
      </c>
    </row>
    <row r="20" spans="1:9" x14ac:dyDescent="0.25">
      <c r="A20" s="25">
        <v>44599</v>
      </c>
      <c r="B20" s="25">
        <v>44599</v>
      </c>
      <c r="C20" s="13" t="s">
        <v>55</v>
      </c>
      <c r="D20" s="13" t="s">
        <v>51</v>
      </c>
      <c r="E20" s="26" t="n">
        <f>ROUND(H19*N2,4)</f>
        <v>29.5993</v>
      </c>
      <c r="F20" s="13" t="s">
        <v>50</v>
      </c>
      <c r="G20" s="49"/>
      <c r="H20" s="33" t="n">
        <f>H19</f>
        <v>99453.49771428571</v>
      </c>
      <c r="I20" s="33" t="n">
        <f>I19+E20</f>
        <v>29.5993</v>
      </c>
    </row>
    <row r="21" spans="1:9" x14ac:dyDescent="0.25">
      <c r="A21" s="25">
        <v>44600</v>
      </c>
      <c r="B21" s="25">
        <v>44600</v>
      </c>
      <c r="C21" s="13" t="s">
        <v>55</v>
      </c>
      <c r="D21" s="13" t="s">
        <v>51</v>
      </c>
      <c r="E21" s="26" t="n">
        <f>E20</f>
        <v>29.5993</v>
      </c>
      <c r="F21" s="13" t="s">
        <v>50</v>
      </c>
      <c r="G21" s="49"/>
      <c r="H21" s="33" t="n">
        <f>H20</f>
        <v>99453.49771428571</v>
      </c>
      <c r="I21" s="33" t="n">
        <f>I20+E21</f>
        <v>59.1986</v>
      </c>
    </row>
    <row r="22" spans="1:9" x14ac:dyDescent="0.25">
      <c r="A22" s="27">
        <v>44601</v>
      </c>
      <c r="B22" s="27">
        <v>44595</v>
      </c>
      <c r="C22" s="28" t="s">
        <v>55</v>
      </c>
      <c r="D22" s="28" t="s">
        <v>51</v>
      </c>
      <c r="E22" s="29" t="n">
        <f>-E7</f>
        <v>-29.7619047619047</v>
      </c>
      <c r="F22" s="28" t="s">
        <v>56</v>
      </c>
      <c r="H22" s="33"/>
      <c r="I22" s="33"/>
    </row>
    <row r="23" spans="1:9" x14ac:dyDescent="0.25">
      <c r="A23" s="27">
        <v>44601</v>
      </c>
      <c r="B23" s="27">
        <v>44595</v>
      </c>
      <c r="C23" s="28" t="s">
        <v>3</v>
      </c>
      <c r="D23" s="28"/>
      <c r="E23" s="29" t="n">
        <f>-E8</f>
        <v>-200.0</v>
      </c>
      <c r="F23" s="28" t="s">
        <v>56</v>
      </c>
      <c r="H23" s="33"/>
      <c r="I23" s="33"/>
    </row>
    <row r="24" spans="1:9" x14ac:dyDescent="0.25">
      <c r="A24" s="27">
        <v>44601</v>
      </c>
      <c r="B24" s="27">
        <v>44595</v>
      </c>
      <c r="C24" s="28" t="s">
        <v>47</v>
      </c>
      <c r="D24" s="28"/>
      <c r="E24" s="29">
        <v>200</v>
      </c>
      <c r="F24" s="31" t="s">
        <v>50</v>
      </c>
      <c r="H24" s="33"/>
      <c r="I24" s="33"/>
    </row>
    <row r="25" spans="1:9" x14ac:dyDescent="0.25">
      <c r="A25" s="27">
        <v>44601</v>
      </c>
      <c r="B25" s="27">
        <v>44595</v>
      </c>
      <c r="C25" s="28" t="s">
        <v>52</v>
      </c>
      <c r="D25" s="28" t="s">
        <v>53</v>
      </c>
      <c r="E25" s="29" t="n">
        <f t="shared" ref="E25:E37" si="0">-E9</f>
        <v>10.714285714285893</v>
      </c>
      <c r="F25" s="28" t="s">
        <v>56</v>
      </c>
      <c r="H25" s="33"/>
      <c r="I25" s="33"/>
    </row>
    <row r="26" spans="1:9" x14ac:dyDescent="0.25">
      <c r="A26" s="27">
        <v>44601</v>
      </c>
      <c r="B26" s="27">
        <v>44595</v>
      </c>
      <c r="C26" s="28" t="s">
        <v>52</v>
      </c>
      <c r="D26" s="28" t="s">
        <v>51</v>
      </c>
      <c r="E26" s="29" t="n">
        <f t="shared" si="0"/>
        <v>189.2857142857141</v>
      </c>
      <c r="F26" s="28" t="s">
        <v>56</v>
      </c>
      <c r="H26" s="33"/>
      <c r="I26" s="33"/>
    </row>
    <row r="27" spans="1:9" x14ac:dyDescent="0.25">
      <c r="A27" s="27">
        <v>44601</v>
      </c>
      <c r="B27" s="27">
        <v>44596</v>
      </c>
      <c r="C27" s="28" t="s">
        <v>55</v>
      </c>
      <c r="D27" s="28" t="s">
        <v>51</v>
      </c>
      <c r="E27" s="29" t="n">
        <f t="shared" si="0"/>
        <v>-29.7587</v>
      </c>
      <c r="F27" s="28" t="s">
        <v>56</v>
      </c>
      <c r="H27" s="33"/>
      <c r="I27" s="33"/>
    </row>
    <row r="28" spans="1:9" x14ac:dyDescent="0.25">
      <c r="A28" s="27">
        <v>44601</v>
      </c>
      <c r="B28" s="27">
        <v>44597</v>
      </c>
      <c r="C28" s="28" t="s">
        <v>55</v>
      </c>
      <c r="D28" s="28" t="s">
        <v>51</v>
      </c>
      <c r="E28" s="29" t="n">
        <f t="shared" si="0"/>
        <v>-29.7587</v>
      </c>
      <c r="F28" s="28" t="s">
        <v>56</v>
      </c>
      <c r="H28" s="33"/>
      <c r="I28" s="33"/>
    </row>
    <row r="29" spans="1:9" x14ac:dyDescent="0.25">
      <c r="A29" s="27" t="n">
        <f>A28</f>
        <v>44601.0</v>
      </c>
      <c r="B29" s="27">
        <v>44597</v>
      </c>
      <c r="C29" s="28" t="s">
        <v>3</v>
      </c>
      <c r="D29" s="28"/>
      <c r="E29" s="29" t="n">
        <f t="shared" si="0"/>
        <v>-275.0</v>
      </c>
      <c r="F29" s="28" t="s">
        <v>56</v>
      </c>
      <c r="H29" s="33"/>
      <c r="I29" s="33"/>
    </row>
    <row r="30" spans="1:9" x14ac:dyDescent="0.25">
      <c r="A30" s="27" t="n">
        <f>A29</f>
        <v>44601.0</v>
      </c>
      <c r="B30" s="27">
        <v>44597</v>
      </c>
      <c r="C30" s="28" t="s">
        <v>52</v>
      </c>
      <c r="D30" s="28" t="s">
        <v>53</v>
      </c>
      <c r="E30" s="29" t="n">
        <f t="shared" si="0"/>
        <v>215.4826</v>
      </c>
      <c r="F30" s="28" t="s">
        <v>56</v>
      </c>
      <c r="H30" s="33"/>
      <c r="I30" s="33"/>
    </row>
    <row r="31" spans="1:9" x14ac:dyDescent="0.25">
      <c r="A31" s="27" t="n">
        <f>A30</f>
        <v>44601.0</v>
      </c>
      <c r="B31" s="27">
        <v>44597</v>
      </c>
      <c r="C31" s="28" t="s">
        <v>52</v>
      </c>
      <c r="D31" s="28" t="s">
        <v>51</v>
      </c>
      <c r="E31" s="29" t="n">
        <f t="shared" si="0"/>
        <v>59.5174</v>
      </c>
      <c r="F31" s="28" t="s">
        <v>56</v>
      </c>
      <c r="H31" s="33"/>
      <c r="I31" s="33"/>
    </row>
    <row r="32" spans="1:9" x14ac:dyDescent="0.25">
      <c r="A32" s="27">
        <v>44601</v>
      </c>
      <c r="B32" s="27">
        <v>44598</v>
      </c>
      <c r="C32" s="28" t="s">
        <v>55</v>
      </c>
      <c r="D32" s="28" t="s">
        <v>51</v>
      </c>
      <c r="E32" s="29" t="n">
        <f t="shared" si="0"/>
        <v>-29.6946</v>
      </c>
      <c r="F32" s="28" t="s">
        <v>56</v>
      </c>
      <c r="H32" s="33"/>
      <c r="I32" s="33"/>
    </row>
    <row r="33" spans="1:22" x14ac:dyDescent="0.25">
      <c r="A33" s="27">
        <v>44601</v>
      </c>
      <c r="B33" s="27">
        <v>44598</v>
      </c>
      <c r="C33" s="28" t="s">
        <v>3</v>
      </c>
      <c r="D33" s="28"/>
      <c r="E33" s="29" t="n">
        <f t="shared" si="0"/>
        <v>-350.0</v>
      </c>
      <c r="F33" s="28" t="s">
        <v>56</v>
      </c>
      <c r="H33" s="33"/>
      <c r="I33" s="33"/>
    </row>
    <row r="34" spans="1:22" x14ac:dyDescent="0.25">
      <c r="A34" s="27">
        <v>44601</v>
      </c>
      <c r="B34" s="27">
        <v>44598</v>
      </c>
      <c r="C34" s="28" t="s">
        <v>52</v>
      </c>
      <c r="D34" s="28" t="s">
        <v>53</v>
      </c>
      <c r="E34" s="29" t="n">
        <f t="shared" si="0"/>
        <v>320.3054</v>
      </c>
      <c r="F34" s="28" t="s">
        <v>56</v>
      </c>
      <c r="H34" s="33"/>
      <c r="I34" s="33"/>
    </row>
    <row r="35" spans="1:22" x14ac:dyDescent="0.25">
      <c r="A35" s="27">
        <v>44601</v>
      </c>
      <c r="B35" s="27">
        <v>44598</v>
      </c>
      <c r="C35" s="28" t="s">
        <v>52</v>
      </c>
      <c r="D35" s="28" t="s">
        <v>51</v>
      </c>
      <c r="E35" s="29" t="n">
        <f t="shared" si="0"/>
        <v>29.6946</v>
      </c>
      <c r="F35" s="28" t="s">
        <v>56</v>
      </c>
      <c r="H35" s="33"/>
      <c r="I35" s="33"/>
    </row>
    <row r="36" spans="1:22" x14ac:dyDescent="0.25">
      <c r="A36" s="27">
        <v>44601</v>
      </c>
      <c r="B36" s="27">
        <v>44599</v>
      </c>
      <c r="C36" s="28" t="s">
        <v>55</v>
      </c>
      <c r="D36" s="28" t="s">
        <v>51</v>
      </c>
      <c r="E36" s="29" t="n">
        <f t="shared" si="0"/>
        <v>-29.5993</v>
      </c>
      <c r="F36" s="28" t="s">
        <v>56</v>
      </c>
      <c r="H36" s="33"/>
      <c r="I36" s="33"/>
    </row>
    <row r="37" spans="1:22" x14ac:dyDescent="0.25">
      <c r="A37" s="27">
        <v>44601</v>
      </c>
      <c r="B37" s="27">
        <v>44600</v>
      </c>
      <c r="C37" s="28" t="s">
        <v>55</v>
      </c>
      <c r="D37" s="28" t="s">
        <v>51</v>
      </c>
      <c r="E37" s="29" t="n">
        <f t="shared" si="0"/>
        <v>-29.5993</v>
      </c>
      <c r="F37" s="28" t="s">
        <v>56</v>
      </c>
      <c r="H37" s="33" t="n">
        <f>H21+E25+E34+E30</f>
        <v>100000.0</v>
      </c>
      <c r="I37" s="34" t="n">
        <f>I21+E26+E27+E28+E32+E35+E36+E37+E31+E22</f>
        <v>159.5238095238094</v>
      </c>
    </row>
    <row r="38" spans="1:22" x14ac:dyDescent="0.25">
      <c r="A38" s="30">
        <v>44601</v>
      </c>
      <c r="B38" s="30">
        <v>44595</v>
      </c>
      <c r="C38" s="31" t="s">
        <v>55</v>
      </c>
      <c r="D38" s="31" t="s">
        <v>51</v>
      </c>
      <c r="E38" s="32" t="n">
        <f>E39</f>
        <v>29.7619047619047</v>
      </c>
      <c r="F38" s="31" t="s">
        <v>54</v>
      </c>
      <c r="H38" s="33" t="n">
        <f>H37</f>
        <v>100000.0</v>
      </c>
      <c r="I38" s="34" t="n">
        <f>I37+E38</f>
        <v>189.2857142857141</v>
      </c>
    </row>
    <row r="39" spans="1:22" x14ac:dyDescent="0.25">
      <c r="A39" s="30">
        <v>44601</v>
      </c>
      <c r="B39" s="30">
        <v>44596</v>
      </c>
      <c r="C39" s="31" t="s">
        <v>55</v>
      </c>
      <c r="D39" s="31" t="s">
        <v>51</v>
      </c>
      <c r="E39" s="32" t="n">
        <f>H37*N2</f>
        <v>29.7619047619047</v>
      </c>
      <c r="F39" s="31" t="s">
        <v>54</v>
      </c>
      <c r="H39" s="33" t="n">
        <f>H37</f>
        <v>100000.0</v>
      </c>
      <c r="I39" s="34" t="n">
        <f>I38+E39</f>
        <v>219.0476190476188</v>
      </c>
    </row>
    <row r="40" spans="1:22" x14ac:dyDescent="0.25">
      <c r="A40" s="30">
        <v>44601</v>
      </c>
      <c r="B40" s="30">
        <v>44597</v>
      </c>
      <c r="C40" s="31" t="s">
        <v>55</v>
      </c>
      <c r="D40" s="31" t="s">
        <v>51</v>
      </c>
      <c r="E40" s="32" t="n">
        <f>E39</f>
        <v>29.7619047619047</v>
      </c>
      <c r="F40" s="31" t="s">
        <v>54</v>
      </c>
      <c r="H40" s="33" t="n">
        <f>H39</f>
        <v>100000.0</v>
      </c>
      <c r="I40" s="34" t="n">
        <f>I39+E40</f>
        <v>248.8095238095235</v>
      </c>
    </row>
    <row r="41" spans="1:22" x14ac:dyDescent="0.25">
      <c r="A41" s="30" t="n">
        <f>A40</f>
        <v>44601.0</v>
      </c>
      <c r="B41" s="30">
        <v>44597</v>
      </c>
      <c r="C41" s="31" t="s">
        <v>3</v>
      </c>
      <c r="D41" s="31"/>
      <c r="E41" s="32">
        <v>275</v>
      </c>
      <c r="F41" s="31" t="s">
        <v>54</v>
      </c>
      <c r="H41" s="33"/>
      <c r="I41" s="33"/>
    </row>
    <row r="42" spans="1:22" x14ac:dyDescent="0.25">
      <c r="A42" s="30" t="n">
        <f t="shared" ref="A42:A43" si="1">A41</f>
        <v>44601.0</v>
      </c>
      <c r="B42" s="30">
        <v>44597</v>
      </c>
      <c r="C42" s="31" t="s">
        <v>52</v>
      </c>
      <c r="D42" s="31" t="s">
        <v>53</v>
      </c>
      <c r="E42" s="32" t="n">
        <f>-E41-E43</f>
        <v>-26.19047619047649</v>
      </c>
      <c r="F42" s="31" t="s">
        <v>54</v>
      </c>
      <c r="H42" s="33" t="n">
        <f>H40+E42</f>
        <v>99973.80952380953</v>
      </c>
      <c r="I42" s="33" t="n">
        <f>I40</f>
        <v>248.8095238095235</v>
      </c>
    </row>
    <row r="43" spans="1:22" x14ac:dyDescent="0.25">
      <c r="A43" s="30" t="n">
        <f t="shared" si="1"/>
        <v>44601.0</v>
      </c>
      <c r="B43" s="30">
        <v>44597</v>
      </c>
      <c r="C43" s="31" t="s">
        <v>52</v>
      </c>
      <c r="D43" s="31" t="s">
        <v>51</v>
      </c>
      <c r="E43" s="32" t="n">
        <f>-I40</f>
        <v>-248.8095238095235</v>
      </c>
      <c r="F43" s="31" t="s">
        <v>54</v>
      </c>
      <c r="H43" s="33" t="n">
        <f>H42</f>
        <v>99973.80952380953</v>
      </c>
      <c r="I43" s="33" t="n">
        <f>I42+E43</f>
        <v>0.0</v>
      </c>
    </row>
    <row r="44" spans="1:22" x14ac:dyDescent="0.25">
      <c r="A44" s="30">
        <v>44601</v>
      </c>
      <c r="B44" s="30">
        <v>44598</v>
      </c>
      <c r="C44" s="31" t="s">
        <v>55</v>
      </c>
      <c r="D44" s="31" t="s">
        <v>51</v>
      </c>
      <c r="E44" s="32" t="n">
        <f>ROUND(H43*$N$2,4)</f>
        <v>29.7541</v>
      </c>
      <c r="F44" s="31" t="s">
        <v>54</v>
      </c>
      <c r="H44" s="33" t="n">
        <f>H43</f>
        <v>99973.80952380953</v>
      </c>
      <c r="I44" s="33" t="n">
        <f>I43+E44</f>
        <v>29.7541</v>
      </c>
      <c r="S44" s="3">
        <v>44601</v>
      </c>
      <c r="T44" s="3" t="n">
        <f>B23</f>
        <v>44595.0</v>
      </c>
      <c r="U44" s="48" t="n">
        <f>E23</f>
        <v>-200.0</v>
      </c>
      <c r="V44" t="s" s="0">
        <v>56</v>
      </c>
    </row>
    <row r="45" spans="1:22" x14ac:dyDescent="0.25">
      <c r="A45" s="30">
        <v>44601</v>
      </c>
      <c r="B45" s="30">
        <v>44598</v>
      </c>
      <c r="C45" s="31" t="s">
        <v>3</v>
      </c>
      <c r="D45" s="31"/>
      <c r="E45" s="32" t="n">
        <f>E17</f>
        <v>350.0</v>
      </c>
      <c r="F45" s="31" t="s">
        <v>54</v>
      </c>
      <c r="H45" s="33"/>
      <c r="I45" s="33"/>
      <c r="S45" s="3">
        <v>44601</v>
      </c>
      <c r="T45" s="3" t="n">
        <f>B29</f>
        <v>44597.0</v>
      </c>
      <c r="U45" s="48" t="n">
        <f>E29</f>
        <v>-275.0</v>
      </c>
      <c r="V45" t="s" s="0">
        <v>56</v>
      </c>
    </row>
    <row r="46" spans="1:22" x14ac:dyDescent="0.25">
      <c r="A46" s="30">
        <v>44601</v>
      </c>
      <c r="B46" s="30">
        <v>44598</v>
      </c>
      <c r="C46" s="31" t="s">
        <v>52</v>
      </c>
      <c r="D46" s="31" t="s">
        <v>53</v>
      </c>
      <c r="E46" s="32" t="n">
        <f>-E45-E47</f>
        <v>-320.2459</v>
      </c>
      <c r="F46" s="31" t="s">
        <v>54</v>
      </c>
      <c r="H46" s="33" t="n">
        <f>H44+E46</f>
        <v>99653.56362380953</v>
      </c>
      <c r="I46" s="33"/>
      <c r="S46" s="3">
        <v>44601</v>
      </c>
      <c r="T46" s="3" t="n">
        <f>B33</f>
        <v>44598.0</v>
      </c>
      <c r="U46" s="48" t="n">
        <f>E33</f>
        <v>-350.0</v>
      </c>
      <c r="V46" t="s" s="0">
        <v>56</v>
      </c>
    </row>
    <row r="47" spans="1:22" x14ac:dyDescent="0.25">
      <c r="A47" s="30">
        <v>44601</v>
      </c>
      <c r="B47" s="30">
        <v>44598</v>
      </c>
      <c r="C47" s="31" t="s">
        <v>52</v>
      </c>
      <c r="D47" s="31" t="s">
        <v>51</v>
      </c>
      <c r="E47" s="32" t="n">
        <f>-I44</f>
        <v>-29.7541</v>
      </c>
      <c r="F47" s="31" t="s">
        <v>54</v>
      </c>
      <c r="H47" s="33" t="n">
        <f>H46</f>
        <v>99653.56362380953</v>
      </c>
      <c r="I47" s="33" t="n">
        <f>I44+E47</f>
        <v>0.0</v>
      </c>
      <c r="S47" s="3">
        <v>44601</v>
      </c>
      <c r="T47" s="3" t="n">
        <f>B51</f>
        <v>44601.0</v>
      </c>
      <c r="U47" s="48" t="n">
        <f>E51</f>
        <v>100.0</v>
      </c>
      <c r="V47" t="s" s="0">
        <v>50</v>
      </c>
    </row>
    <row r="48" spans="1:22" x14ac:dyDescent="0.25">
      <c r="A48" s="30">
        <v>44601</v>
      </c>
      <c r="B48" s="30">
        <v>44599</v>
      </c>
      <c r="C48" s="31" t="s">
        <v>55</v>
      </c>
      <c r="D48" s="31" t="s">
        <v>51</v>
      </c>
      <c r="E48" s="32" t="n">
        <f>H48*N2</f>
        <v>29.65879869756229</v>
      </c>
      <c r="F48" s="31" t="s">
        <v>54</v>
      </c>
      <c r="H48" s="33" t="n">
        <f>H47</f>
        <v>99653.56362380953</v>
      </c>
      <c r="I48" s="33" t="n">
        <f>I47+E48</f>
        <v>29.65879869756229</v>
      </c>
      <c r="K48" s="30">
        <v>44601</v>
      </c>
      <c r="L48" s="30" t="n">
        <f>B40</f>
        <v>44597.0</v>
      </c>
      <c r="M48" s="35" t="s">
        <v>66</v>
      </c>
      <c r="N48" s="36" t="n">
        <f>SUM(E38:E40)</f>
        <v>89.28571428571409</v>
      </c>
    </row>
    <row r="49" spans="1:14" x14ac:dyDescent="0.25">
      <c r="A49" s="30">
        <v>44601</v>
      </c>
      <c r="B49" s="30">
        <v>44600</v>
      </c>
      <c r="C49" s="31" t="s">
        <v>55</v>
      </c>
      <c r="D49" s="31" t="s">
        <v>51</v>
      </c>
      <c r="E49" s="32" t="n">
        <f>E48</f>
        <v>29.65879869756229</v>
      </c>
      <c r="F49" s="31" t="s">
        <v>54</v>
      </c>
      <c r="H49" s="33" t="n">
        <f>H48</f>
        <v>99653.56362380953</v>
      </c>
      <c r="I49" s="33" t="n">
        <f>I48+E49</f>
        <v>59.31759739512458</v>
      </c>
      <c r="K49" s="30">
        <v>44601</v>
      </c>
      <c r="L49" s="30" t="n">
        <f>B44</f>
        <v>44598.0</v>
      </c>
      <c r="M49" s="35" t="s">
        <v>66</v>
      </c>
      <c r="N49" s="48" t="n">
        <f>SUM(E44)</f>
        <v>29.7541</v>
      </c>
    </row>
    <row r="50" spans="1:14" x14ac:dyDescent="0.25">
      <c r="A50" s="30">
        <v>44601</v>
      </c>
      <c r="B50" s="30">
        <v>44601</v>
      </c>
      <c r="C50" s="31" t="s">
        <v>55</v>
      </c>
      <c r="D50" s="31" t="s">
        <v>51</v>
      </c>
      <c r="E50" s="32" t="n">
        <f>E49</f>
        <v>29.65879869756229</v>
      </c>
      <c r="F50" s="31" t="s">
        <v>54</v>
      </c>
      <c r="H50" s="33" t="n">
        <f>H49</f>
        <v>99653.56362380953</v>
      </c>
      <c r="I50" s="33" t="n">
        <f>I49+E50</f>
        <v>88.97639609268687</v>
      </c>
      <c r="K50" s="30">
        <v>44601</v>
      </c>
      <c r="L50" s="3" t="n">
        <f>B50</f>
        <v>44601.0</v>
      </c>
      <c r="M50" s="35" t="s">
        <v>66</v>
      </c>
      <c r="N50" s="48" t="n">
        <f>SUM(E48:E50)</f>
        <v>88.97639609268687</v>
      </c>
    </row>
    <row r="51" spans="1:14" x14ac:dyDescent="0.25">
      <c r="A51" s="37">
        <v>44601</v>
      </c>
      <c r="B51" s="37">
        <v>44601</v>
      </c>
      <c r="C51" s="38" t="s">
        <v>3</v>
      </c>
      <c r="D51" s="38"/>
      <c r="E51" s="39">
        <v>100</v>
      </c>
      <c r="F51" s="31" t="s">
        <v>50</v>
      </c>
      <c r="H51" s="33"/>
      <c r="I51" s="33"/>
      <c r="K51" s="30">
        <v>44601</v>
      </c>
      <c r="L51" s="3" t="n">
        <f>B43</f>
        <v>44597.0</v>
      </c>
      <c r="M51" s="35" t="s">
        <v>67</v>
      </c>
      <c r="N51" s="48" t="n">
        <f>E43</f>
        <v>-248.8095238095235</v>
      </c>
    </row>
    <row r="52" spans="1:14" x14ac:dyDescent="0.25">
      <c r="A52" s="37">
        <v>44601</v>
      </c>
      <c r="B52" s="37">
        <v>44601</v>
      </c>
      <c r="C52" s="38" t="s">
        <v>52</v>
      </c>
      <c r="D52" s="38" t="s">
        <v>53</v>
      </c>
      <c r="E52" s="39" t="n">
        <f>-E51-E53</f>
        <v>-11.023600000000002</v>
      </c>
      <c r="F52" s="38" t="s">
        <v>50</v>
      </c>
      <c r="H52" s="33" t="n">
        <f>H50+E52</f>
        <v>99642.54002380953</v>
      </c>
      <c r="I52" s="33" t="n">
        <f>I50</f>
        <v>88.97639609268687</v>
      </c>
      <c r="K52" s="30">
        <v>44601</v>
      </c>
      <c r="L52" s="3" t="n">
        <f>B47</f>
        <v>44598.0</v>
      </c>
      <c r="M52" s="35" t="s">
        <v>67</v>
      </c>
      <c r="N52" s="48" t="n">
        <f>E47</f>
        <v>-29.7541</v>
      </c>
    </row>
    <row r="53" spans="1:14" x14ac:dyDescent="0.25">
      <c r="A53" s="37">
        <v>44601</v>
      </c>
      <c r="B53" s="37">
        <v>44601</v>
      </c>
      <c r="C53" s="38" t="s">
        <v>52</v>
      </c>
      <c r="D53" s="38" t="s">
        <v>51</v>
      </c>
      <c r="E53" s="39" t="n">
        <f>-ROUND(I50,4)</f>
        <v>-88.9764</v>
      </c>
      <c r="F53" s="38" t="s">
        <v>50</v>
      </c>
      <c r="H53" s="33" t="n">
        <f>H52</f>
        <v>99642.54002380953</v>
      </c>
      <c r="I53" s="33" t="n">
        <f>I52+E53</f>
        <v>-3.907313129047907E-6</v>
      </c>
      <c r="K53" s="30">
        <v>44601</v>
      </c>
      <c r="L53" s="30">
        <v>44601</v>
      </c>
      <c r="M53" s="35" t="s">
        <v>67</v>
      </c>
      <c r="N53" s="36" t="n">
        <f>E53</f>
        <v>-88.9764</v>
      </c>
    </row>
    <row r="54" spans="1:14" x14ac:dyDescent="0.25">
      <c r="K54" s="30">
        <v>44601</v>
      </c>
      <c r="L54" s="3" t="n">
        <f>L51</f>
        <v>44597.0</v>
      </c>
      <c r="M54" s="35" t="s">
        <v>68</v>
      </c>
      <c r="N54" s="48" t="n">
        <f>E42</f>
        <v>-26.19047619047649</v>
      </c>
    </row>
    <row r="55" spans="1:14" x14ac:dyDescent="0.25">
      <c r="H55" s="48"/>
      <c r="K55" s="30">
        <v>44601</v>
      </c>
      <c r="L55" s="3" t="n">
        <f>L52</f>
        <v>44598.0</v>
      </c>
      <c r="M55" s="35" t="s">
        <v>68</v>
      </c>
      <c r="N55" s="48" t="n">
        <f>E46</f>
        <v>-320.2459</v>
      </c>
    </row>
    <row r="56" spans="1:14" x14ac:dyDescent="0.25">
      <c r="H56" s="33"/>
      <c r="K56" s="30">
        <v>44601</v>
      </c>
      <c r="L56" s="30">
        <v>44601</v>
      </c>
      <c r="M56" s="35" t="s">
        <v>68</v>
      </c>
      <c r="N56" s="36" t="n">
        <f>E52</f>
        <v>-11.023600000000002</v>
      </c>
    </row>
    <row r="58" spans="1:14" x14ac:dyDescent="0.25">
      <c r="H58" s="33"/>
    </row>
  </sheetData>
  <mergeCells count="2">
    <mergeCell ref="A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D640-D9B2-466B-892A-DA04368109C9}">
  <sheetPr>
    <tabColor rgb="FF92D050"/>
  </sheetPr>
  <dimension ref="A1:C2"/>
  <sheetViews>
    <sheetView zoomScaleNormal="100" workbookViewId="0">
      <selection activeCell="A2" sqref="A2:B2"/>
    </sheetView>
  </sheetViews>
  <sheetFormatPr defaultColWidth="8.7109375" defaultRowHeight="15" x14ac:dyDescent="0.25"/>
  <cols>
    <col min="1" max="1" customWidth="true" style="2" width="55.5703125"/>
    <col min="2" max="2" customWidth="true" style="2" width="32.140625"/>
    <col min="3" max="3" customWidth="true" style="2" width="41.42578125"/>
    <col min="4" max="16384" style="2" width="8.7109375"/>
  </cols>
  <sheetData>
    <row r="1" spans="1:5" x14ac:dyDescent="0.25">
      <c r="A1" s="1" t="s">
        <v>4</v>
      </c>
      <c r="B1" s="10" t="s">
        <v>72</v>
      </c>
      <c r="C1" s="10" t="s">
        <v>41</v>
      </c>
    </row>
    <row r="2">
      <c r="A2" t="n" s="70">
        <v>44601.0</v>
      </c>
      <c r="B2" t="n" s="69">
        <v>44600.0</v>
      </c>
      <c r="C2" t="s">
        <v>98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7F77-FD6D-44FD-AAA6-BADCCD71CAFF}">
  <sheetPr>
    <tabColor rgb="FF92D050"/>
  </sheetPr>
  <dimension ref="A1:F6"/>
  <sheetViews>
    <sheetView zoomScaleNormal="100" workbookViewId="0"/>
  </sheetViews>
  <sheetFormatPr defaultColWidth="8.7109375" defaultRowHeight="15" x14ac:dyDescent="0.25"/>
  <cols>
    <col min="1" max="1" customWidth="true" style="2" width="35.0"/>
    <col min="2" max="2" customWidth="true" style="2" width="18.140625"/>
    <col min="3" max="3" customWidth="true" style="2" width="17.0"/>
    <col min="4" max="4" customWidth="true" style="2" width="14.28515625"/>
    <col min="5" max="5" customWidth="true" style="2" width="12.42578125"/>
    <col min="6" max="16384" style="2" width="8.7109375"/>
  </cols>
  <sheetData>
    <row r="1" spans="1:6" x14ac:dyDescent="0.25">
      <c r="A1" s="6" t="s">
        <v>1</v>
      </c>
      <c r="B1" s="43" t="s">
        <v>23</v>
      </c>
      <c r="C1" s="43" t="s">
        <v>6</v>
      </c>
      <c r="D1" s="1" t="s">
        <v>7</v>
      </c>
      <c r="E1" s="1" t="s">
        <v>8</v>
      </c>
      <c r="F1" s="1" t="s">
        <v>5</v>
      </c>
    </row>
    <row r="2">
      <c r="A2" t="s" s="2">
        <v>78</v>
      </c>
      <c r="B2" t="s">
        <v>80</v>
      </c>
      <c r="C2" t="n" s="63">
        <v>44601.0</v>
      </c>
      <c r="D2" t="s">
        <v>77</v>
      </c>
      <c r="E2" t="s">
        <v>79</v>
      </c>
      <c r="F2" t="s">
        <v>81</v>
      </c>
    </row>
    <row r="3">
      <c r="A3" t="s" s="2">
        <v>78</v>
      </c>
      <c r="B3" t="s">
        <v>80</v>
      </c>
      <c r="C3" t="n" s="64">
        <v>44597.979166666664</v>
      </c>
      <c r="D3" t="s">
        <v>77</v>
      </c>
      <c r="E3" t="s">
        <v>79</v>
      </c>
      <c r="F3" t="s">
        <v>82</v>
      </c>
    </row>
    <row r="4">
      <c r="A4" t="s" s="2">
        <v>78</v>
      </c>
      <c r="B4" t="s">
        <v>80</v>
      </c>
      <c r="C4" t="n" s="65">
        <v>44596.979166666664</v>
      </c>
      <c r="D4" t="s">
        <v>77</v>
      </c>
      <c r="E4" t="s">
        <v>79</v>
      </c>
      <c r="F4" t="s">
        <v>83</v>
      </c>
    </row>
    <row r="5">
      <c r="A5" t="s" s="2">
        <v>78</v>
      </c>
      <c r="B5" t="s">
        <v>80</v>
      </c>
      <c r="C5" t="n" s="66">
        <v>44594.979166666664</v>
      </c>
      <c r="D5" t="s">
        <v>77</v>
      </c>
      <c r="E5" t="s">
        <v>79</v>
      </c>
      <c r="F5" t="s">
        <v>84</v>
      </c>
    </row>
    <row r="6">
      <c r="A6" t="s" s="2">
        <v>85</v>
      </c>
      <c r="B6" t="s">
        <v>80</v>
      </c>
      <c r="C6" t="n" s="67">
        <v>44595.0</v>
      </c>
      <c r="D6" t="s">
        <v>77</v>
      </c>
      <c r="E6" t="s">
        <v>79</v>
      </c>
      <c r="F6" t="s">
        <v>84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E943-5E07-4006-8EA3-807BC901ED10}">
  <sheetPr>
    <tabColor rgb="FF92D050"/>
  </sheetPr>
  <dimension ref="A1:K2"/>
  <sheetViews>
    <sheetView zoomScaleNormal="100" workbookViewId="0">
      <selection activeCell="B3" sqref="B3"/>
    </sheetView>
  </sheetViews>
  <sheetFormatPr defaultColWidth="8.7109375" defaultRowHeight="15" x14ac:dyDescent="0.25"/>
  <cols>
    <col min="1" max="1" bestFit="true" customWidth="true" style="2" width="24.42578125"/>
    <col min="2" max="2" bestFit="true" customWidth="true" style="2" width="11.7109375"/>
    <col min="3" max="3" bestFit="true" customWidth="true" style="2" width="13.140625"/>
    <col min="4" max="4" bestFit="true" customWidth="true" style="2" width="12.5703125"/>
    <col min="5" max="5" bestFit="true" customWidth="true" style="2" width="11.0"/>
    <col min="6" max="6" bestFit="true" customWidth="true" style="2" width="26.140625"/>
    <col min="7" max="7" bestFit="true" customWidth="true" style="2" width="30.0"/>
    <col min="8" max="8" bestFit="true" customWidth="true" style="2" width="27.7109375"/>
    <col min="9" max="9" bestFit="true" customWidth="true" style="2" width="26.42578125"/>
    <col min="10" max="10" bestFit="true" customWidth="true" style="2" width="38.5703125"/>
    <col min="11" max="12" bestFit="true" customWidth="true" style="2" width="12.0"/>
    <col min="13" max="16384" style="2" width="8.7109375"/>
  </cols>
  <sheetData>
    <row r="1" spans="1:11" x14ac:dyDescent="0.25">
      <c r="A1" s="6" t="s">
        <v>9</v>
      </c>
      <c r="B1" s="6" t="s">
        <v>23</v>
      </c>
      <c r="C1" s="6" t="s">
        <v>10</v>
      </c>
      <c r="D1" s="6" t="s">
        <v>7</v>
      </c>
      <c r="E1" s="6" t="s">
        <v>11</v>
      </c>
      <c r="F1" s="7" t="s">
        <v>12</v>
      </c>
      <c r="G1" s="55" t="s">
        <v>25</v>
      </c>
      <c r="H1" s="55" t="s">
        <v>36</v>
      </c>
      <c r="I1" s="55" t="s">
        <v>71</v>
      </c>
      <c r="J1" s="8"/>
      <c r="K1" s="8"/>
    </row>
    <row r="2">
      <c r="B2" t="s" s="2">
        <v>94</v>
      </c>
      <c r="C2" t="n" s="68">
        <v>44591.979166666664</v>
      </c>
      <c r="D2" t="s">
        <v>77</v>
      </c>
      <c r="E2" t="s">
        <v>79</v>
      </c>
      <c r="F2" t="s">
        <v>96</v>
      </c>
      <c r="G2" t="s">
        <v>93</v>
      </c>
      <c r="H2" t="s">
        <v>95</v>
      </c>
      <c r="I2" t="s">
        <v>97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7F83-7111-4EFF-810A-47BA1A141AF5}">
  <sheetPr>
    <tabColor rgb="FF92D050"/>
  </sheetPr>
  <dimension ref="A1:N50"/>
  <sheetViews>
    <sheetView tabSelected="1" zoomScale="101" zoomScaleNormal="100" workbookViewId="0">
      <selection activeCell="B15" sqref="B15"/>
    </sheetView>
  </sheetViews>
  <sheetFormatPr defaultColWidth="8.7109375" defaultRowHeight="15" x14ac:dyDescent="0.25"/>
  <cols>
    <col min="1" max="1" bestFit="true" customWidth="true" style="2" width="11.7109375"/>
    <col min="2" max="2" bestFit="true" customWidth="true" style="2" width="15.42578125"/>
    <col min="3" max="3" bestFit="true" customWidth="true" style="2" width="12.7109375"/>
    <col min="4" max="4" customWidth="true" style="2" width="25.0"/>
    <col min="5" max="5" bestFit="true" customWidth="true" style="2" width="15.140625"/>
    <col min="6" max="6" bestFit="true" customWidth="true" style="2" width="19.42578125"/>
    <col min="7" max="7" bestFit="true" customWidth="true" style="2" width="24.0"/>
    <col min="8" max="8" bestFit="true" customWidth="true" style="2" width="22.7109375"/>
    <col min="9" max="9" bestFit="true" customWidth="true" style="2" width="19.85546875"/>
    <col min="10" max="10" bestFit="true" customWidth="true" style="2" width="22.42578125"/>
    <col min="11" max="12" bestFit="true" customWidth="true" style="2" width="14.7109375"/>
    <col min="13" max="13" bestFit="true" customWidth="true" style="2" width="23.7109375"/>
    <col min="14" max="16384" style="2" width="8.7109375"/>
  </cols>
  <sheetData>
    <row r="1" spans="1:14" ht="15.75" thickBot="1" x14ac:dyDescent="0.3">
      <c r="I1" s="8"/>
      <c r="J1" s="8"/>
    </row>
    <row r="2" spans="1:14" ht="21.75" thickBot="1" x14ac:dyDescent="0.4">
      <c r="A2" s="60" t="s">
        <v>40</v>
      </c>
      <c r="B2" s="61"/>
      <c r="C2" s="62"/>
      <c r="I2" s="8"/>
      <c r="J2" s="8"/>
    </row>
    <row r="3" spans="1:14" ht="21.75" thickBot="1" x14ac:dyDescent="0.4">
      <c r="A3" s="16" t="s">
        <v>0</v>
      </c>
      <c r="B3" s="16" t="s">
        <v>42</v>
      </c>
      <c r="C3" s="16" t="s">
        <v>43</v>
      </c>
      <c r="E3" s="44" t="s">
        <v>70</v>
      </c>
      <c r="F3" s="9" t="n">
        <f>i_InstrumentAttribute!C2</f>
        <v>44591.979166666664</v>
      </c>
      <c r="H3" s="60" t="s">
        <v>69</v>
      </c>
      <c r="I3" s="61"/>
      <c r="J3" s="62"/>
      <c r="K3" s="8"/>
    </row>
    <row r="4" spans="1:14" x14ac:dyDescent="0.25">
      <c r="A4" s="24" t="n">
        <f>B21</f>
        <v>44601.0</v>
      </c>
      <c r="B4" s="45" t="n">
        <f>IFERROR(B5-H21,B5)</f>
        <v>98626.2808</v>
      </c>
      <c r="C4" s="45" t="n">
        <f>IF(IFERROR(E21-G21,"")="",C5,E21-G21)</f>
        <v>-1.8750000535305844E-5</v>
      </c>
      <c r="H4" s="12" t="s">
        <v>3</v>
      </c>
      <c r="I4" s="12" t="s">
        <v>48</v>
      </c>
      <c r="J4" s="12" t="s">
        <v>49</v>
      </c>
      <c r="K4" s="8"/>
    </row>
    <row r="5" spans="1:14" x14ac:dyDescent="0.25">
      <c r="A5" s="24" t="n">
        <f>B22</f>
        <v>44597.979166666664</v>
      </c>
      <c r="B5" s="45" t="n">
        <f>IFERROR(B6-H22,B6)</f>
        <v>98643.5069</v>
      </c>
      <c r="C5" s="45" t="n">
        <f>IF(IFERROR(E22-G22,"")="",C6,E22-G22)</f>
        <v>2.7083266303407072E-5</v>
      </c>
      <c r="F5" s="8"/>
      <c r="H5" s="4" t="n">
        <f>SUM(F21:F24)</f>
        <v>925.0</v>
      </c>
      <c r="I5" s="47" t="n">
        <f>SUM(E34:E41)</f>
        <v>-925.0</v>
      </c>
      <c r="J5" s="4" t="n">
        <f>H5+I5</f>
        <v>0.0</v>
      </c>
    </row>
    <row r="6" spans="1:14" x14ac:dyDescent="0.25">
      <c r="A6" s="9" t="n">
        <f>B23</f>
        <v>44596.979166666664</v>
      </c>
      <c r="B6" s="45" t="n">
        <f>IFERROR(B7-H23,B7)</f>
        <v>98966.01629999999</v>
      </c>
      <c r="C6" s="45" t="n">
        <f>IF(IFERROR(E23-G23,"")="",C7,E23-G23)</f>
        <v>2.7083266303407072E-5</v>
      </c>
      <c r="G6" s="8"/>
      <c r="H6" s="8"/>
      <c r="I6" s="8"/>
      <c r="J6" s="8"/>
    </row>
    <row r="7" spans="1:14" x14ac:dyDescent="0.25">
      <c r="A7" s="9" t="n">
        <f>IF(i_ExecutionDate!C2="",i_ExecutionDate!B2,i_ExecutionDate!C2)</f>
        <v>44600.0</v>
      </c>
      <c r="B7" s="45" t="n">
        <f>IFERROR(B8-H24,B8)</f>
        <v>99441.5918</v>
      </c>
      <c r="C7" s="45" t="n">
        <f>IF(IFERROR(E24-G24,"")="",C8,E24-G24)</f>
        <v>-144.7546</v>
      </c>
      <c r="H7" s="8"/>
      <c r="I7" s="8"/>
      <c r="J7" s="8"/>
    </row>
    <row r="8" spans="1:14" ht="45" x14ac:dyDescent="0.25">
      <c r="A8" s="42" t="s">
        <v>75</v>
      </c>
      <c r="B8" s="45" t="str">
        <f>IF(i_Metric!G2="","",i_Metric!G2)</f>
        <v>99441.5918</v>
      </c>
      <c r="C8" s="45" t="str">
        <f>IF(i_Metric!G3="","",i_Metric!G3)</f>
        <v>55.2454</v>
      </c>
    </row>
    <row r="9" spans="1:14" ht="15.75" thickBot="1" x14ac:dyDescent="0.3"/>
    <row r="10" spans="1:14" ht="21.75" thickBot="1" x14ac:dyDescent="0.4">
      <c r="A10" s="60" t="s">
        <v>24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1:14" x14ac:dyDescent="0.25">
      <c r="A11" s="16" t="s">
        <v>23</v>
      </c>
      <c r="B11" s="16" t="s">
        <v>6</v>
      </c>
      <c r="C11" s="16" t="s">
        <v>19</v>
      </c>
      <c r="D11" s="16" t="s">
        <v>11</v>
      </c>
      <c r="E11" s="16" t="s">
        <v>26</v>
      </c>
      <c r="F11" s="16" t="s">
        <v>28</v>
      </c>
      <c r="G11" s="12" t="s">
        <v>29</v>
      </c>
      <c r="H11" s="12" t="s">
        <v>30</v>
      </c>
      <c r="I11" s="12" t="s">
        <v>20</v>
      </c>
      <c r="J11" s="12" t="s">
        <v>21</v>
      </c>
      <c r="K11" s="12" t="s">
        <v>45</v>
      </c>
      <c r="L11" s="12" t="s">
        <v>44</v>
      </c>
      <c r="M11" s="12" t="s">
        <v>46</v>
      </c>
    </row>
    <row r="12" spans="1:14" x14ac:dyDescent="0.25">
      <c r="A12" s="41" t="n">
        <f>IF(i_ExecutionDate!A2="","",i_ExecutionDate!A2)</f>
        <v>44601.0</v>
      </c>
      <c r="B12" s="40" t="n">
        <f>A12</f>
        <v>44601.0</v>
      </c>
      <c r="C12" s="4" t="str">
        <f t="shared" ref="C12:F12" si="0">C13</f>
        <v>IDHJ-EGNY</v>
      </c>
      <c r="D12" s="17" t="str">
        <f t="shared" si="0"/>
        <v>1.0</v>
      </c>
      <c r="E12" s="4" t="str">
        <f t="shared" si="0"/>
        <v>ACTUAL_360</v>
      </c>
      <c r="F12" s="4" t="str">
        <f t="shared" si="0"/>
        <v>10.0</v>
      </c>
      <c r="G12" s="4" t="n">
        <f>IFERROR(IF(EDATE($F$3,INT(YEARFRAC($F$3,B12)*12))&gt;=B12,EDATE($F$3,INT(YEARFRAC($F$3,B12)*12))-EDATE($F$3,INT(YEARFRAC($F$3,B12)*12)-1),EDATE($F$3,INT(YEARFRAC($F$3,B12)*12)+1)-EDATE($F$3,INT(YEARFRAC($F$3,B12)*12))),"")</f>
        <v>29.0</v>
      </c>
      <c r="H12" s="4" t="n">
        <f t="shared" ref="H12" si="1">IFERROR(IF(E12="Actual_360",F12*G12/36000,IF(E12="Actual_365",F12*G12/36500,F12*30/36000)),"")</f>
        <v>0.008055555555555555</v>
      </c>
      <c r="I12" s="4" t="n">
        <f>IFERROR(H12/G12,"")</f>
        <v>2.7777777777777794E-4</v>
      </c>
      <c r="J12" s="51" t="n">
        <f>IFERROR(ROUND(I12*B4,4),"")</f>
        <v>27.3962</v>
      </c>
      <c r="K12" s="9" t="n">
        <f>IF(J12="","",B12)</f>
        <v>44601.0</v>
      </c>
      <c r="L12" s="4" t="n">
        <f>IFERROR(B12-B13,1)</f>
        <v>0.0</v>
      </c>
      <c r="M12" s="45" t="n">
        <f t="shared" ref="M12" si="2">IFERROR(J12*L12,0)</f>
        <v>0.0</v>
      </c>
      <c r="N12" s="2" t="s">
        <v>73</v>
      </c>
    </row>
    <row r="13" spans="1:14" x14ac:dyDescent="0.25">
      <c r="A13" s="9" t="n">
        <f>IF(i_ExecutionDate!A2="","",i_ExecutionDate!A2)</f>
        <v>44601.0</v>
      </c>
      <c r="B13" s="9" t="n">
        <f>IF(i_Transaction!C2="",B14,i_Transaction!C2)</f>
        <v>44601.0</v>
      </c>
      <c r="C13" s="4" t="str">
        <f>C14</f>
        <v>IDHJ-EGNY</v>
      </c>
      <c r="D13" s="17" t="str">
        <f>D14</f>
        <v>1.0</v>
      </c>
      <c r="E13" s="4" t="str">
        <f>E14</f>
        <v>ACTUAL_360</v>
      </c>
      <c r="F13" s="4" t="str">
        <f>F14</f>
        <v>10.0</v>
      </c>
      <c r="G13" s="4" t="n">
        <f t="shared" ref="G13:G16" si="3">IFERROR(IF(EDATE($F$3,INT(YEARFRAC($F$3,B13)*12))&gt;=B13,EDATE($F$3,INT(YEARFRAC($F$3,B13)*12))-EDATE($F$3,INT(YEARFRAC($F$3,B13)*12)-1),EDATE($F$3,INT(YEARFRAC($F$3,B13)*12)+1)-EDATE($F$3,INT(YEARFRAC($F$3,B13)*12))),"")</f>
        <v>29.0</v>
      </c>
      <c r="H13" s="4" t="n">
        <f t="shared" ref="H13:H15" si="4">IFERROR(IF(E13="Actual_360",F13*G13/36000,IF(E13="Actual_365",F13*G13/36500,F13*30/36000)),"")</f>
        <v>0.008055555555555555</v>
      </c>
      <c r="I13" s="4" t="n">
        <f>IFERROR(H13/G13,"")</f>
        <v>2.7777777777777794E-4</v>
      </c>
      <c r="J13" s="51" t="n">
        <f>IFERROR(ROUND(I13*B5,4),"")</f>
        <v>27.401</v>
      </c>
      <c r="K13" s="9" t="n">
        <f>IF(J13="","",B13)</f>
        <v>44601.0</v>
      </c>
      <c r="L13" s="4" t="n">
        <f>IFERROR(B13-B14,1)</f>
        <v>3.0208333333357587</v>
      </c>
      <c r="M13" s="45" t="n">
        <f t="shared" ref="M13:M15" si="5">IFERROR(J13*L13,0)</f>
        <v>82.77385416673316</v>
      </c>
    </row>
    <row r="14" spans="1:14" x14ac:dyDescent="0.25">
      <c r="A14" s="9" t="n">
        <f>IF(B14="","",$A$13)</f>
        <v>44601.0</v>
      </c>
      <c r="B14" s="9" t="n">
        <f>IF(i_Transaction!C3="",B15,i_Transaction!C3)</f>
        <v>44597.979166666664</v>
      </c>
      <c r="C14" s="18" t="str">
        <f t="shared" ref="C14:F15" si="6">C15</f>
        <v>IDHJ-EGNY</v>
      </c>
      <c r="D14" s="17" t="str">
        <f t="shared" si="6"/>
        <v>1.0</v>
      </c>
      <c r="E14" s="4" t="str">
        <f t="shared" si="6"/>
        <v>ACTUAL_360</v>
      </c>
      <c r="F14" s="4" t="str">
        <f t="shared" si="6"/>
        <v>10.0</v>
      </c>
      <c r="G14" s="4" t="n">
        <f t="shared" si="3"/>
        <v>29.0</v>
      </c>
      <c r="H14" s="4" t="n">
        <f t="shared" si="4"/>
        <v>0.008055555555555555</v>
      </c>
      <c r="I14" s="4" t="n">
        <f>IFERROR(H14/G14,"")</f>
        <v>2.7777777777777794E-4</v>
      </c>
      <c r="J14" s="51" t="n">
        <f>IFERROR(ROUND(I14*B6,4),"")</f>
        <v>27.4906</v>
      </c>
      <c r="K14" s="9" t="n">
        <f>IF(J14="","",B14)</f>
        <v>44597.979166666664</v>
      </c>
      <c r="L14" s="4" t="n">
        <f>IFERROR(B14-B15,1)</f>
        <v>1.0</v>
      </c>
      <c r="M14" s="45" t="n">
        <f t="shared" si="5"/>
        <v>27.4906</v>
      </c>
    </row>
    <row r="15" spans="1:14" x14ac:dyDescent="0.25">
      <c r="A15" s="9" t="n">
        <f>IF(B15="","",$A$13)</f>
        <v>44601.0</v>
      </c>
      <c r="B15" s="9" t="n">
        <f>IF(i_Transaction!C4="",B16,i_Transaction!C4)</f>
        <v>44596.979166666664</v>
      </c>
      <c r="C15" s="18" t="str">
        <f t="shared" si="6"/>
        <v>IDHJ-EGNY</v>
      </c>
      <c r="D15" s="17" t="str">
        <f t="shared" si="6"/>
        <v>1.0</v>
      </c>
      <c r="E15" s="4" t="str">
        <f t="shared" si="6"/>
        <v>ACTUAL_360</v>
      </c>
      <c r="F15" s="4" t="str">
        <f t="shared" si="6"/>
        <v>10.0</v>
      </c>
      <c r="G15" s="4" t="n">
        <f t="shared" si="3"/>
        <v>29.0</v>
      </c>
      <c r="H15" s="4" t="n">
        <f t="shared" si="4"/>
        <v>0.008055555555555555</v>
      </c>
      <c r="I15" s="4" t="n">
        <f>IFERROR(H15/G15,"")</f>
        <v>2.7777777777777794E-4</v>
      </c>
      <c r="J15" s="51" t="n">
        <f>IFERROR(ROUND(I15*B7,4),"")</f>
        <v>27.6227</v>
      </c>
      <c r="K15" s="9" t="n">
        <f>IF(J15="","",B15)</f>
        <v>44596.979166666664</v>
      </c>
      <c r="L15" s="4" t="n">
        <f>IFERROR(B15-B16,1)</f>
        <v>-3.0208333333357587</v>
      </c>
      <c r="M15" s="45" t="n">
        <f t="shared" si="5"/>
        <v>-83.4435729167337</v>
      </c>
      <c r="N15" s="54"/>
    </row>
    <row r="16" spans="1:14" x14ac:dyDescent="0.25">
      <c r="A16" s="9" t="n">
        <f>IF(B16="","",$A$13)</f>
        <v>44601.0</v>
      </c>
      <c r="B16" s="9" t="n">
        <f>IF(i_ExecutionDate!A2=CALC!F3,CALC!F3,IF(i_ExecutionDate!B2="",i_ExecutionDate!A2-1,MIN(i_ExecutionDate!B2,i_ExecutionDate!C2)))</f>
        <v>44600.0</v>
      </c>
      <c r="C16" s="18" t="str">
        <f>IF(i_InstrumentAttribute!D2="","",i_InstrumentAttribute!D2)</f>
        <v>IDHJ-EGNY</v>
      </c>
      <c r="D16" s="17" t="str">
        <f>IF(i_InstrumentAttribute!E2="","",i_InstrumentAttribute!E2)</f>
        <v>1.0</v>
      </c>
      <c r="E16" s="4" t="str">
        <f>IF(i_InstrumentAttribute!G2="","",i_InstrumentAttribute!G2)</f>
        <v>ACTUAL_360</v>
      </c>
      <c r="F16" s="4" t="str">
        <f>IF(i_InstrumentAttribute!F2="","",i_InstrumentAttribute!F2)</f>
        <v>10.0</v>
      </c>
      <c r="G16" s="4" t="n">
        <f t="shared" si="3"/>
        <v>29.0</v>
      </c>
      <c r="H16" s="4" t="n">
        <f>IFERROR(IF(E16="Actual_360",F16*G16/36000,IF(E16="Actual_365",F16*G16/36500,F16*30/36000)),"")</f>
        <v>0.008055555555555555</v>
      </c>
      <c r="I16" s="4" t="n">
        <f>IFERROR(H16/G16,"")</f>
        <v>2.7777777777777794E-4</v>
      </c>
      <c r="J16" s="51" t="n">
        <f>IFERROR(ROUND(I16*B7,4),"")</f>
        <v>27.6227</v>
      </c>
      <c r="K16" s="9" t="n">
        <f>IF(J16="","",B16)</f>
        <v>44600.0</v>
      </c>
      <c r="L16" s="4" t="n">
        <f>IF(L15=0,0,1)</f>
        <v>1.0</v>
      </c>
      <c r="M16" s="45" t="n">
        <f>IFERROR(J16*L16,0)</f>
        <v>27.6227</v>
      </c>
    </row>
    <row r="17" spans="1:11" x14ac:dyDescent="0.25">
      <c r="A17" s="19"/>
      <c r="B17" s="19"/>
      <c r="C17" s="20"/>
      <c r="D17" s="21"/>
      <c r="E17" s="22"/>
      <c r="F17" s="22"/>
      <c r="G17" s="22"/>
      <c r="H17" s="22"/>
      <c r="I17" s="22"/>
      <c r="J17" s="22"/>
      <c r="K17" s="23"/>
    </row>
    <row r="18" spans="1:11" ht="15.75" thickBot="1" x14ac:dyDescent="0.3"/>
    <row r="19" spans="1:11" ht="21.75" thickBot="1" x14ac:dyDescent="0.4">
      <c r="A19" s="60" t="s">
        <v>3</v>
      </c>
      <c r="B19" s="61"/>
      <c r="C19" s="61"/>
      <c r="D19" s="61"/>
      <c r="E19" s="61"/>
      <c r="F19" s="61"/>
      <c r="G19" s="61"/>
      <c r="H19" s="61"/>
      <c r="I19" s="62"/>
    </row>
    <row r="20" spans="1:11" x14ac:dyDescent="0.25">
      <c r="A20" s="16" t="s">
        <v>23</v>
      </c>
      <c r="B20" s="16" t="s">
        <v>10</v>
      </c>
      <c r="C20" s="16" t="s">
        <v>19</v>
      </c>
      <c r="D20" s="16" t="s">
        <v>11</v>
      </c>
      <c r="E20" s="16" t="s">
        <v>31</v>
      </c>
      <c r="F20" s="16" t="s">
        <v>32</v>
      </c>
      <c r="G20" s="12" t="s">
        <v>33</v>
      </c>
      <c r="H20" s="12" t="s">
        <v>34</v>
      </c>
      <c r="I20" s="12" t="s">
        <v>74</v>
      </c>
    </row>
    <row r="21" spans="1:11" x14ac:dyDescent="0.25">
      <c r="A21" s="9" t="str">
        <f>IF(i_Transaction!B2="","",i_Transaction!B2)</f>
        <v>20220209</v>
      </c>
      <c r="B21" s="9" t="n">
        <f>IF(i_Transaction!C2="","",i_Transaction!C2)</f>
        <v>44601.0</v>
      </c>
      <c r="C21" s="18" t="str">
        <f>IF(i_Transaction!D2="","",i_Transaction!D2)</f>
        <v>IDHJ-EGNY</v>
      </c>
      <c r="D21" s="17" t="str">
        <f>IF(i_Transaction!E2="","",i_Transaction!E2)</f>
        <v>1.0</v>
      </c>
      <c r="E21" s="46" t="n">
        <f>C5+M13</f>
        <v>82.77388124999946</v>
      </c>
      <c r="F21" s="45" t="n">
        <f>IF(B21&lt;&gt;$B$16,IF(i_Transaction!F2="",0,ABS(i_Transaction!F2)),IF(i_Transaction!F2="",0,ABS(i_Transaction!F2)-i_Transaction!$F$6))</f>
        <v>100.0</v>
      </c>
      <c r="G21" s="45" t="n">
        <f>IFERROR(IF(F21="",0,(ROUND(IF(E21&gt;F21,F21,E21),4))),0)</f>
        <v>82.7739</v>
      </c>
      <c r="H21" s="45" t="n">
        <f>IFERROR(IF(F21-G21=0,0,ROUND(F21-G21,4)),0)</f>
        <v>17.2261</v>
      </c>
      <c r="I21" s="45" t="str">
        <f>IF(i_Transaction!F2="","",IF(AND(i_Transaction!F2&lt;=0,F21&lt;&gt;0),"Reversal","New"))</f>
        <v>New</v>
      </c>
    </row>
    <row r="22" spans="1:11" x14ac:dyDescent="0.25">
      <c r="A22" s="9" t="str">
        <f>IF(i_Transaction!B3="","",i_Transaction!B3)</f>
        <v>20220209</v>
      </c>
      <c r="B22" s="9" t="n">
        <f>IF(i_Transaction!C3="","",i_Transaction!C3)</f>
        <v>44597.979166666664</v>
      </c>
      <c r="C22" s="18" t="str">
        <f>IF(i_Transaction!D3="","",i_Transaction!D3)</f>
        <v>IDHJ-EGNY</v>
      </c>
      <c r="D22" s="17" t="str">
        <f>IF(i_Transaction!E3="","",i_Transaction!E3)</f>
        <v>1.0</v>
      </c>
      <c r="E22" s="46" t="n">
        <f>C6+M14</f>
        <v>27.490627083266304</v>
      </c>
      <c r="F22" s="45" t="n">
        <f>IF(B22&lt;&gt;$B$16,IF(i_Transaction!F3="",0,ABS(i_Transaction!F3)),IF(i_Transaction!F3="",0,ABS(i_Transaction!F3)-i_Transaction!$F$6))</f>
        <v>350.0</v>
      </c>
      <c r="G22" s="45" t="n">
        <f>IFERROR(IF(F22="",0,(ROUND(IF(E22&gt;F22,F22,E22),4))),0)</f>
        <v>27.4906</v>
      </c>
      <c r="H22" s="45" t="n">
        <f>IFERROR(IF(F22-G22=0,0,ROUND(F22-G22,4)),0)</f>
        <v>322.5094</v>
      </c>
      <c r="I22" s="45" t="str">
        <f>IF(i_Transaction!F3="","",IF(AND(i_Transaction!F3&lt;=0,F22&lt;&gt;0),"Reversal","New"))</f>
        <v>New</v>
      </c>
    </row>
    <row r="23" spans="1:11" x14ac:dyDescent="0.25">
      <c r="A23" s="9" t="str">
        <f>IF(i_Transaction!B4="","",i_Transaction!B4)</f>
        <v>20220209</v>
      </c>
      <c r="B23" s="9" t="n">
        <f>IF(i_Transaction!C4="","",i_Transaction!C4)</f>
        <v>44596.979166666664</v>
      </c>
      <c r="C23" s="18" t="str">
        <f>IF(i_Transaction!D4="","",i_Transaction!D4)</f>
        <v>IDHJ-EGNY</v>
      </c>
      <c r="D23" s="17" t="str">
        <f>IF(i_Transaction!E4="","",i_Transaction!E4)</f>
        <v>1.0</v>
      </c>
      <c r="E23" s="46" t="n">
        <f>C7+M15+M16</f>
        <v>-200.5754729167337</v>
      </c>
      <c r="F23" s="45" t="n">
        <f>IF(B23&lt;&gt;$B$16,IF(i_Transaction!F4="",0,ABS(i_Transaction!F4)),IF(i_Transaction!F4="",0,ABS(i_Transaction!F4)-i_Transaction!$F$6))</f>
        <v>275.0</v>
      </c>
      <c r="G23" s="45" t="n">
        <f>IFERROR(IF(F23="",0,(ROUND(IF(E23&gt;F23,F23,E23),4))),0)</f>
        <v>-200.5755</v>
      </c>
      <c r="H23" s="45" t="n">
        <f>IFERROR(IF(F23-G23=0,0,ROUND(F23-G23,4)),0)</f>
        <v>475.5755</v>
      </c>
      <c r="I23" s="45" t="str">
        <f>IF(i_Transaction!F4="","",IF(AND(i_Transaction!F4&lt;=0,F23&lt;&gt;0),"Reversal","New"))</f>
        <v>New</v>
      </c>
    </row>
    <row r="24" spans="1:11" x14ac:dyDescent="0.25">
      <c r="A24" s="9" t="str">
        <f>IF(i_Transaction!B5="","",i_Transaction!B5)</f>
        <v>20220209</v>
      </c>
      <c r="B24" s="9" t="n">
        <f>IF(i_Transaction!C5="","",i_Transaction!C5)</f>
        <v>44594.979166666664</v>
      </c>
      <c r="C24" s="18" t="str">
        <f>IF(i_Transaction!D5="","",i_Transaction!D5)</f>
        <v>IDHJ-EGNY</v>
      </c>
      <c r="D24" s="17" t="str">
        <f>IF(i_Transaction!E5="","",i_Transaction!E5)</f>
        <v>1.0</v>
      </c>
      <c r="E24" s="46" t="str">
        <f>C8</f>
        <v>55.2454</v>
      </c>
      <c r="F24" s="45" t="n">
        <f>IF(B24&lt;&gt;$B$16,IF(i_Transaction!F5="",0,ABS(i_Transaction!F5)),IF(i_Transaction!F5="",0,ABS(i_Transaction!F5)-i_Transaction!$F$6))</f>
        <v>200.0</v>
      </c>
      <c r="G24" s="45" t="n">
        <f>IFERROR(IF(F24="",0,(ROUND(IF(E24&gt;F24,F24,E24),4))),0)</f>
        <v>200.0</v>
      </c>
      <c r="H24" s="45" t="n">
        <f>IFERROR(IF(F24-G24=0,0,ROUND(F24-G24,4)),0)</f>
        <v>0.0</v>
      </c>
      <c r="I24" s="45" t="str">
        <f>IF(i_Transaction!F5="","",IF(AND(i_Transaction!F5&lt;=0,F24&lt;&gt;0),"Reversal","New"))</f>
        <v>New</v>
      </c>
    </row>
    <row r="26" spans="1:11" ht="15.75" thickBot="1" x14ac:dyDescent="0.3"/>
    <row r="27" spans="1:11" ht="21.75" thickBot="1" x14ac:dyDescent="0.4">
      <c r="A27" s="60" t="s">
        <v>35</v>
      </c>
      <c r="B27" s="61"/>
      <c r="C27" s="61"/>
      <c r="D27" s="61"/>
      <c r="E27" s="61"/>
      <c r="F27" s="62"/>
    </row>
    <row r="28" spans="1:11" x14ac:dyDescent="0.25">
      <c r="A28" s="12" t="s">
        <v>23</v>
      </c>
      <c r="B28" s="12" t="s">
        <v>6</v>
      </c>
      <c r="C28" s="12" t="s">
        <v>7</v>
      </c>
      <c r="D28" s="12" t="s">
        <v>22</v>
      </c>
      <c r="E28" s="12" t="s">
        <v>5</v>
      </c>
      <c r="F28" s="12" t="s">
        <v>8</v>
      </c>
    </row>
    <row r="29" spans="1:11" x14ac:dyDescent="0.25">
      <c r="A29" s="9" t="str">
        <f>IF(E29="","",A12)</f>
        <v/>
      </c>
      <c r="B29" s="9" t="str">
        <f>IF(E29="","",B12)</f>
        <v/>
      </c>
      <c r="C29" s="4" t="str">
        <f>IF(A29="","",C16)</f>
        <v/>
      </c>
      <c r="D29" s="13" t="str">
        <f>IF(A29="","","Servicing Interest Accrual")</f>
        <v/>
      </c>
      <c r="E29" s="47" t="str">
        <f>IFERROR(IF(M12=0,"",M12),0)</f>
        <v/>
      </c>
      <c r="F29" s="4" t="str">
        <f>IF(A29="","",D12)</f>
        <v/>
      </c>
    </row>
    <row r="30" spans="1:11" x14ac:dyDescent="0.25">
      <c r="A30" s="9" t="n">
        <f>IF(E30="","",A13)</f>
        <v>44601.0</v>
      </c>
      <c r="B30" s="9" t="n">
        <f>IF(E30="","",B13)</f>
        <v>44601.0</v>
      </c>
      <c r="C30" s="4" t="str">
        <f>IF(A30="","",C13)</f>
        <v>IDHJ-EGNY</v>
      </c>
      <c r="D30" s="13" t="str">
        <f>IF(A30="","","Servicing Interest Accrual")</f>
        <v>Servicing Interest Accrual</v>
      </c>
      <c r="E30" s="47" t="n">
        <f>IFERROR(IF(M13=0,"",M13),0)</f>
        <v>82.77385416673316</v>
      </c>
      <c r="F30" s="4" t="str">
        <f>IF(A30="","",D13)</f>
        <v>1.0</v>
      </c>
    </row>
    <row r="31" spans="1:11" x14ac:dyDescent="0.25">
      <c r="A31" s="9" t="n">
        <f>IF(E31="","",A14)</f>
        <v>44601.0</v>
      </c>
      <c r="B31" s="9" t="n">
        <f>IF(E31="","",B14)</f>
        <v>44597.979166666664</v>
      </c>
      <c r="C31" s="4" t="str">
        <f>IF(A31="","",C14)</f>
        <v>IDHJ-EGNY</v>
      </c>
      <c r="D31" s="13" t="str">
        <f>IF(A31="","","Servicing Interest Accrual")</f>
        <v>Servicing Interest Accrual</v>
      </c>
      <c r="E31" s="47" t="n">
        <f>IFERROR(IF(M14=0,"",M14),0)</f>
        <v>27.4906</v>
      </c>
      <c r="F31" s="4" t="str">
        <f>IF(A31="","",D14)</f>
        <v>1.0</v>
      </c>
    </row>
    <row r="32" spans="1:11" x14ac:dyDescent="0.25">
      <c r="A32" s="9" t="n">
        <f>IF(E32="","",A15)</f>
        <v>44601.0</v>
      </c>
      <c r="B32" s="9" t="n">
        <f>IF(E32="","",B15)</f>
        <v>44596.979166666664</v>
      </c>
      <c r="C32" s="4" t="str">
        <f>IF(A32="","",C15)</f>
        <v>IDHJ-EGNY</v>
      </c>
      <c r="D32" s="13" t="str">
        <f>IF(A32="","","Servicing Interest Accrual")</f>
        <v>Servicing Interest Accrual</v>
      </c>
      <c r="E32" s="47" t="n">
        <f>IFERROR(IF(M15=0,"",M15),0)</f>
        <v>-83.4435729167337</v>
      </c>
      <c r="F32" s="4" t="str">
        <f>IF(A32="","",D15)</f>
        <v>1.0</v>
      </c>
    </row>
    <row r="33" spans="1:6" x14ac:dyDescent="0.25">
      <c r="A33" s="9" t="n">
        <f>IF(E33="","",A16)</f>
        <v>44601.0</v>
      </c>
      <c r="B33" s="9" t="n">
        <f>IF(E33="","",B16)</f>
        <v>44600.0</v>
      </c>
      <c r="C33" s="4" t="str">
        <f>IF(A33="","",C16)</f>
        <v>IDHJ-EGNY</v>
      </c>
      <c r="D33" s="13" t="str">
        <f>IF(A33="","","Servicing Interest Accrual")</f>
        <v>Servicing Interest Accrual</v>
      </c>
      <c r="E33" s="47" t="n">
        <f>IFERROR(IF(M16=0,"",M16),0)</f>
        <v>27.6227</v>
      </c>
      <c r="F33" s="4" t="str">
        <f>IF(A33="","",D16)</f>
        <v>1.0</v>
      </c>
    </row>
    <row r="34" spans="1:6" x14ac:dyDescent="0.25">
      <c r="A34" s="9" t="str">
        <f>IF(E34="","",A21)</f>
        <v>20220209</v>
      </c>
      <c r="B34" s="9" t="n">
        <f>IF(A34="","",B21)</f>
        <v>44601.0</v>
      </c>
      <c r="C34" s="4" t="str">
        <f>IF(A34="","",C21)</f>
        <v>IDHJ-EGNY</v>
      </c>
      <c r="D34" s="13" t="str">
        <f>IF(A34="","","Payment - Interest")</f>
        <v>Payment - Interest</v>
      </c>
      <c r="E34" s="47" t="n">
        <f>IFERROR(IF(G21=0,"",-G21),0)</f>
        <v>-82.7739</v>
      </c>
      <c r="F34" s="4" t="str">
        <f>IF(A34="","",D21)</f>
        <v>1.0</v>
      </c>
    </row>
    <row r="35" spans="1:6" x14ac:dyDescent="0.25">
      <c r="A35" s="9" t="str">
        <f>IF(E35="","",A22)</f>
        <v>20220209</v>
      </c>
      <c r="B35" s="9" t="n">
        <f>IF(A35="","",B22)</f>
        <v>44597.979166666664</v>
      </c>
      <c r="C35" s="4" t="str">
        <f>IF(A35="","",C22)</f>
        <v>IDHJ-EGNY</v>
      </c>
      <c r="D35" s="13" t="str">
        <f>IF(A35="","","Payment - Interest")</f>
        <v>Payment - Interest</v>
      </c>
      <c r="E35" s="47" t="n">
        <f>IFERROR(IF(G22=0,"",-G22),0)</f>
        <v>-27.4906</v>
      </c>
      <c r="F35" s="4" t="str">
        <f>IF(A35="","",D22)</f>
        <v>1.0</v>
      </c>
    </row>
    <row r="36" spans="1:6" x14ac:dyDescent="0.25">
      <c r="A36" s="9" t="str">
        <f>IF(E36="","",A23)</f>
        <v>20220209</v>
      </c>
      <c r="B36" s="9" t="n">
        <f>IF(A36="","",B23)</f>
        <v>44596.979166666664</v>
      </c>
      <c r="C36" s="4" t="str">
        <f>IF(A36="","",C23)</f>
        <v>IDHJ-EGNY</v>
      </c>
      <c r="D36" s="13" t="str">
        <f>IF(A36="","","Payment - Interest")</f>
        <v>Payment - Interest</v>
      </c>
      <c r="E36" s="47" t="n">
        <f>IFERROR(IF(G23=0,"",-G23),0)</f>
        <v>200.5755</v>
      </c>
      <c r="F36" s="4" t="str">
        <f>IF(A36="","",D23)</f>
        <v>1.0</v>
      </c>
    </row>
    <row r="37" spans="1:6" x14ac:dyDescent="0.25">
      <c r="A37" s="9" t="str">
        <f>IF(E37="","",A24)</f>
        <v>20220209</v>
      </c>
      <c r="B37" s="9" t="n">
        <f>IF(A37="","",B24)</f>
        <v>44594.979166666664</v>
      </c>
      <c r="C37" s="4" t="str">
        <f>IF(A37="","",C24)</f>
        <v>IDHJ-EGNY</v>
      </c>
      <c r="D37" s="13" t="str">
        <f>IF(A37="","","Payment - Interest")</f>
        <v>Payment - Interest</v>
      </c>
      <c r="E37" s="47" t="n">
        <f>IFERROR(IF(G24=0,"",-G24),0)</f>
        <v>-200.0</v>
      </c>
      <c r="F37" s="4" t="str">
        <f>IF(A37="","",D24)</f>
        <v>1.0</v>
      </c>
    </row>
    <row r="38" spans="1:6" x14ac:dyDescent="0.25">
      <c r="A38" s="9" t="str">
        <f>IF(E38="","",A21)</f>
        <v>20220209</v>
      </c>
      <c r="B38" s="9" t="n">
        <f>IF(A38="","",B21)</f>
        <v>44601.0</v>
      </c>
      <c r="C38" s="4" t="str">
        <f>IF(A38="","",C21)</f>
        <v>IDHJ-EGNY</v>
      </c>
      <c r="D38" s="13" t="str">
        <f>IF(A38="","","Payment - UPB")</f>
        <v>Payment - UPB</v>
      </c>
      <c r="E38" s="47" t="n">
        <f>IFERROR(IF(H21=0,"",-H21),0)</f>
        <v>-17.2261</v>
      </c>
      <c r="F38" s="4" t="str">
        <f>IF(A38="","",D21)</f>
        <v>1.0</v>
      </c>
    </row>
    <row r="39" spans="1:6" x14ac:dyDescent="0.25">
      <c r="A39" s="9" t="str">
        <f>IF(E39="","",A22)</f>
        <v>20220209</v>
      </c>
      <c r="B39" s="9" t="n">
        <f>IF(A39="","",B22)</f>
        <v>44597.979166666664</v>
      </c>
      <c r="C39" s="4" t="str">
        <f>IF(A39="","",C22)</f>
        <v>IDHJ-EGNY</v>
      </c>
      <c r="D39" s="13" t="str">
        <f>IF(A39="","","Payment - UPB")</f>
        <v>Payment - UPB</v>
      </c>
      <c r="E39" s="47" t="n">
        <f>IFERROR(IF(H22=0,"",-H22),0)</f>
        <v>-322.5094</v>
      </c>
      <c r="F39" s="4" t="str">
        <f>IF(A39="","",D22)</f>
        <v>1.0</v>
      </c>
    </row>
    <row r="40" spans="1:6" x14ac:dyDescent="0.25">
      <c r="A40" s="9" t="str">
        <f>IF(E40="","",A23)</f>
        <v>20220209</v>
      </c>
      <c r="B40" s="9" t="n">
        <f>IF(A40="","",B23)</f>
        <v>44596.979166666664</v>
      </c>
      <c r="C40" s="4" t="str">
        <f>IF(A40="","",C23)</f>
        <v>IDHJ-EGNY</v>
      </c>
      <c r="D40" s="13" t="str">
        <f>IF(A40="","","Payment - UPB")</f>
        <v>Payment - UPB</v>
      </c>
      <c r="E40" s="47" t="n">
        <f>IFERROR(IF(H23=0,"",-H23),0)</f>
        <v>-475.5755</v>
      </c>
      <c r="F40" s="4" t="str">
        <f>IF(A40="","",D23)</f>
        <v>1.0</v>
      </c>
    </row>
    <row r="41" spans="1:6" x14ac:dyDescent="0.25">
      <c r="A41" s="9" t="str">
        <f>IF(E41="","",A24)</f>
        <v/>
      </c>
      <c r="B41" s="9" t="str">
        <f>IF(A41="","",B24)</f>
        <v/>
      </c>
      <c r="C41" s="4" t="str">
        <f>IF(A41="","",C24)</f>
        <v/>
      </c>
      <c r="D41" s="13" t="str">
        <f>IF(A41="","","Payment - UPB")</f>
        <v/>
      </c>
      <c r="E41" s="47" t="str">
        <f>IFERROR(IF(H24=0,"",-H24),0)</f>
        <v/>
      </c>
      <c r="F41" s="4" t="str">
        <f>IF(A41="","",D24)</f>
        <v/>
      </c>
    </row>
    <row r="42" spans="1:6" x14ac:dyDescent="0.25">
      <c r="A42" s="9" t="str">
        <f>IF(E42="","",A21)</f>
        <v/>
      </c>
      <c r="B42" s="9" t="str">
        <f>IF(A42="","",B21)</f>
        <v/>
      </c>
      <c r="C42" s="4" t="str">
        <f>IF(A42="","",C21)</f>
        <v/>
      </c>
      <c r="D42" s="13" t="str">
        <f>IF(A42="","","Remit")</f>
        <v/>
      </c>
      <c r="E42" s="47" t="str">
        <f>IFERROR(IF(OR(F21=0,I21="New"),"",F21),0)</f>
        <v/>
      </c>
      <c r="F42" s="4" t="str">
        <f>IF(A42="","",D21)</f>
        <v/>
      </c>
    </row>
    <row r="43" spans="1:6" x14ac:dyDescent="0.25">
      <c r="A43" s="9" t="str">
        <f>IF(E43="","",A22)</f>
        <v/>
      </c>
      <c r="B43" s="9" t="str">
        <f>IF(A43="","",B22)</f>
        <v/>
      </c>
      <c r="C43" s="4" t="str">
        <f>IF(A43="","",C22)</f>
        <v/>
      </c>
      <c r="D43" s="13" t="str">
        <f>IF(A43="","","Remit")</f>
        <v/>
      </c>
      <c r="E43" s="47" t="str">
        <f t="shared" ref="E43:E45" si="7">IFERROR(IF(OR(F22=0,I22="New"),"",F22),0)</f>
        <v/>
      </c>
      <c r="F43" s="4" t="str">
        <f>IF(A43="","",D22)</f>
        <v/>
      </c>
    </row>
    <row r="44" spans="1:6" x14ac:dyDescent="0.25">
      <c r="A44" s="9" t="str">
        <f>IF(E44="","",A23)</f>
        <v/>
      </c>
      <c r="B44" s="9" t="str">
        <f>IF(A44="","",B23)</f>
        <v/>
      </c>
      <c r="C44" s="4" t="str">
        <f>IF(A44="","",C23)</f>
        <v/>
      </c>
      <c r="D44" s="13" t="str">
        <f>IF(A44="","","Remit")</f>
        <v/>
      </c>
      <c r="E44" s="47" t="str">
        <f t="shared" si="7"/>
        <v/>
      </c>
      <c r="F44" s="4" t="str">
        <f>IF(A44="","",D23)</f>
        <v/>
      </c>
    </row>
    <row r="45" spans="1:6" x14ac:dyDescent="0.25">
      <c r="A45" s="9" t="str">
        <f>IF(E45="","",A24)</f>
        <v/>
      </c>
      <c r="B45" s="9" t="str">
        <f>IF(A45="","",B24)</f>
        <v/>
      </c>
      <c r="C45" s="4" t="str">
        <f>IF(A45="","",C24)</f>
        <v/>
      </c>
      <c r="D45" s="13" t="str">
        <f>IF(A45="","","Remit")</f>
        <v/>
      </c>
      <c r="E45" s="47" t="str">
        <f t="shared" si="7"/>
        <v/>
      </c>
      <c r="F45" s="4" t="str">
        <f>IF(A45="","",D24)</f>
        <v/>
      </c>
    </row>
    <row r="46" spans="1:6" x14ac:dyDescent="0.25">
      <c r="A46" s="19"/>
      <c r="B46" s="19"/>
      <c r="C46" s="22"/>
      <c r="D46" s="52"/>
      <c r="E46" s="53"/>
      <c r="F46" s="22"/>
    </row>
    <row r="47" spans="1:6" ht="15.75" thickBot="1" x14ac:dyDescent="0.3"/>
    <row r="48" spans="1:6" ht="21.75" thickBot="1" x14ac:dyDescent="0.4">
      <c r="A48" s="60" t="s">
        <v>37</v>
      </c>
      <c r="B48" s="61"/>
      <c r="C48" s="61"/>
      <c r="D48" s="61"/>
      <c r="E48" s="62"/>
    </row>
    <row r="49" spans="1:5" x14ac:dyDescent="0.25">
      <c r="A49" s="16" t="s">
        <v>4</v>
      </c>
      <c r="B49" s="16" t="s">
        <v>19</v>
      </c>
      <c r="C49" s="16" t="s">
        <v>11</v>
      </c>
      <c r="D49" s="16" t="s">
        <v>39</v>
      </c>
      <c r="E49" s="12" t="s">
        <v>38</v>
      </c>
    </row>
    <row r="50" spans="1:5" x14ac:dyDescent="0.25">
      <c r="A50" s="9" t="n">
        <f>i_ExecutionDate!A2</f>
        <v>44601.0</v>
      </c>
      <c r="B50" s="4" t="str">
        <f>C16</f>
        <v>IDHJ-EGNY</v>
      </c>
      <c r="C50" s="17" t="str">
        <f>D16</f>
        <v>1.0</v>
      </c>
      <c r="D50" s="9" t="str">
        <f>IF(i_InstrumentAttribute!H2="","",i_InstrumentAttribute!H2)</f>
        <v>2023-01-31</v>
      </c>
      <c r="E50" s="9" t="str">
        <f>IF(A50=D50,D50,"")</f>
        <v/>
      </c>
    </row>
  </sheetData>
  <mergeCells count="6">
    <mergeCell ref="A2:C2"/>
    <mergeCell ref="H3:J3"/>
    <mergeCell ref="A48:E48"/>
    <mergeCell ref="A27:F27"/>
    <mergeCell ref="A10:M10"/>
    <mergeCell ref="A19:I19"/>
  </mergeCells>
  <pageMargins left="0.7" right="0.7" top="0.75" bottom="0.75" header="0.511811023622047" footer="0.511811023622047"/>
  <pageSetup orientation="portrait" horizontalDpi="300" verticalDpi="300" r:id="rId1"/>
  <ignoredErrors>
    <ignoredError sqref="A38:F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D94-5154-48AB-9676-FB9E669D81DD}">
  <sheetPr>
    <tabColor rgb="FF92D050"/>
  </sheetPr>
  <dimension ref="A1:G3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customWidth="true" style="2" width="31.28515625"/>
    <col min="2" max="2" customWidth="true" style="2" width="23.42578125"/>
    <col min="3" max="3" customWidth="true" style="2" width="14.28515625"/>
    <col min="4" max="4" customWidth="true" style="2" width="18.5703125"/>
    <col min="5" max="5" customWidth="true" style="2" width="26.28515625"/>
    <col min="6" max="6" customWidth="true" style="2" width="16.85546875"/>
    <col min="7" max="7" customWidth="true" style="2" width="23.28515625"/>
    <col min="8" max="16384" style="2" width="8.7109375"/>
  </cols>
  <sheetData>
    <row r="1" spans="1:7" x14ac:dyDescent="0.25">
      <c r="A1" s="6" t="s">
        <v>13</v>
      </c>
      <c r="B1" s="11" t="s">
        <v>23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</row>
    <row r="2">
      <c r="A2" t="s" s="2">
        <v>88</v>
      </c>
      <c r="C2" t="s">
        <v>77</v>
      </c>
      <c r="D2" t="s">
        <v>87</v>
      </c>
      <c r="E2" t="s">
        <v>86</v>
      </c>
      <c r="F2" t="s">
        <v>89</v>
      </c>
      <c r="G2" t="s">
        <v>86</v>
      </c>
    </row>
    <row r="3">
      <c r="A3" t="s" s="2">
        <v>92</v>
      </c>
      <c r="C3" t="s">
        <v>77</v>
      </c>
      <c r="D3" t="s">
        <v>87</v>
      </c>
      <c r="E3" t="s">
        <v>90</v>
      </c>
      <c r="F3" t="s">
        <v>90</v>
      </c>
      <c r="G3" t="s">
        <v>91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EF81-F1DE-4644-A7F8-4B6E45BB2E1C}">
  <sheetPr>
    <tabColor rgb="FF92D050"/>
  </sheetPr>
  <dimension ref="A1:F18"/>
  <sheetViews>
    <sheetView zoomScaleNormal="100" workbookViewId="0"/>
  </sheetViews>
  <sheetFormatPr defaultColWidth="8.7109375" defaultRowHeight="15" x14ac:dyDescent="0.25"/>
  <cols>
    <col min="1" max="1" customWidth="true" style="2" width="33.0"/>
    <col min="2" max="2" customWidth="true" style="2" width="15.42578125"/>
    <col min="3" max="3" customWidth="true" style="2" width="12.5703125"/>
    <col min="4" max="4" bestFit="true" customWidth="true" style="2" width="23.7109375"/>
    <col min="5" max="5" customWidth="true" style="2" width="22.0"/>
    <col min="6" max="6" customWidth="true" style="2" width="10.85546875"/>
    <col min="7" max="16384" style="2" width="8.7109375"/>
  </cols>
  <sheetData>
    <row r="1" spans="1:6" x14ac:dyDescent="0.25">
      <c r="A1" s="6" t="s">
        <v>1</v>
      </c>
      <c r="B1" s="10" t="s">
        <v>23</v>
      </c>
      <c r="C1" s="1" t="s">
        <v>6</v>
      </c>
      <c r="D1" s="1" t="s">
        <v>7</v>
      </c>
      <c r="E1" s="1" t="s">
        <v>5</v>
      </c>
      <c r="F1" s="1" t="s">
        <v>8</v>
      </c>
    </row>
    <row r="2" spans="1:6" x14ac:dyDescent="0.25">
      <c r="A2" s="8" t="str">
        <f>IF(D2="","",CALC!D29)</f>
        <v/>
      </c>
      <c r="B2" s="8" t="str">
        <f>IF(CALC!A29="","",CALC!A29)</f>
        <v/>
      </c>
      <c r="C2" s="8" t="str">
        <f>IF(B2="","",CALC!B29)</f>
        <v/>
      </c>
      <c r="D2" s="8" t="str">
        <f>IF(C2="","",CALC!C29)</f>
        <v/>
      </c>
      <c r="E2" s="14" t="str">
        <f>IF(A2="","",CALC!E29)</f>
        <v/>
      </c>
      <c r="F2" s="15" t="str">
        <f>IF(E2="","",CALC!F29)</f>
        <v/>
      </c>
    </row>
    <row r="3" spans="1:6" x14ac:dyDescent="0.25">
      <c r="A3" s="8" t="str">
        <f>IF(D3="","",CALC!D30)</f>
        <v>Servicing Interest Accrual</v>
      </c>
      <c r="B3" s="8" t="n">
        <f>IF(CALC!A30="","",CALC!A30)</f>
        <v>44601.0</v>
      </c>
      <c r="C3" s="8" t="n">
        <f>IF(B3="","",CALC!B30)</f>
        <v>44601.0</v>
      </c>
      <c r="D3" s="8" t="str">
        <f>IF(C3="","",CALC!C30)</f>
        <v>IDHJ-EGNY</v>
      </c>
      <c r="E3" s="14" t="n">
        <f>IF(A3="","",CALC!E30)</f>
        <v>82.77385416673316</v>
      </c>
      <c r="F3" s="15" t="str">
        <f>IF(E3="","",CALC!F30)</f>
        <v>1.0</v>
      </c>
    </row>
    <row r="4" spans="1:6" x14ac:dyDescent="0.25">
      <c r="A4" s="8" t="str">
        <f>IF(D4="","",CALC!D31)</f>
        <v>Servicing Interest Accrual</v>
      </c>
      <c r="B4" s="8" t="n">
        <f>IF(CALC!A31="","",CALC!A31)</f>
        <v>44601.0</v>
      </c>
      <c r="C4" s="8" t="n">
        <f>IF(B4="","",CALC!B31)</f>
        <v>44597.979166666664</v>
      </c>
      <c r="D4" s="8" t="str">
        <f>IF(C4="","",CALC!C31)</f>
        <v>IDHJ-EGNY</v>
      </c>
      <c r="E4" s="14" t="n">
        <f>IF(A4="","",CALC!E31)</f>
        <v>27.4906</v>
      </c>
      <c r="F4" s="15" t="str">
        <f>IF(E4="","",CALC!F31)</f>
        <v>1.0</v>
      </c>
    </row>
    <row r="5" spans="1:6" x14ac:dyDescent="0.25">
      <c r="A5" s="8" t="str">
        <f>IF(D5="","",CALC!D32)</f>
        <v>Servicing Interest Accrual</v>
      </c>
      <c r="B5" s="8" t="n">
        <f>IF(CALC!A32="","",CALC!A32)</f>
        <v>44601.0</v>
      </c>
      <c r="C5" s="8" t="n">
        <f>IF(B5="","",CALC!B32)</f>
        <v>44596.979166666664</v>
      </c>
      <c r="D5" s="8" t="str">
        <f>IF(C5="","",CALC!C32)</f>
        <v>IDHJ-EGNY</v>
      </c>
      <c r="E5" s="14" t="n">
        <f>IF(A5="","",CALC!E32)</f>
        <v>-83.4435729167337</v>
      </c>
      <c r="F5" s="15" t="str">
        <f>IF(E5="","",CALC!F32)</f>
        <v>1.0</v>
      </c>
    </row>
    <row r="6" spans="1:6" x14ac:dyDescent="0.25">
      <c r="A6" s="8" t="str">
        <f>IF(D6="","",CALC!D33)</f>
        <v>Servicing Interest Accrual</v>
      </c>
      <c r="B6" s="8" t="n">
        <f>IF(CALC!A33="","",CALC!A33)</f>
        <v>44601.0</v>
      </c>
      <c r="C6" s="8" t="n">
        <f>IF(B6="","",CALC!B33)</f>
        <v>44600.0</v>
      </c>
      <c r="D6" s="8" t="str">
        <f>IF(C6="","",CALC!C33)</f>
        <v>IDHJ-EGNY</v>
      </c>
      <c r="E6" s="14" t="n">
        <f>IF(A6="","",CALC!E33)</f>
        <v>27.6227</v>
      </c>
      <c r="F6" s="15" t="str">
        <f>IF(E6="","",CALC!F33)</f>
        <v>1.0</v>
      </c>
    </row>
    <row r="7" spans="1:6" x14ac:dyDescent="0.25">
      <c r="A7" s="8" t="str">
        <f>IF(D7="","",CALC!D34)</f>
        <v>Payment - Interest</v>
      </c>
      <c r="B7" s="8" t="str">
        <f>IF(CALC!A34="","",CALC!A34)</f>
        <v>20220209</v>
      </c>
      <c r="C7" s="8" t="n">
        <f>IF(B7="","",CALC!B34)</f>
        <v>44601.0</v>
      </c>
      <c r="D7" s="8" t="str">
        <f>IF(C7="","",CALC!C34)</f>
        <v>IDHJ-EGNY</v>
      </c>
      <c r="E7" s="14" t="n">
        <f>IF(A7="","",CALC!E34)</f>
        <v>-82.7739</v>
      </c>
      <c r="F7" s="15" t="str">
        <f>IF(E7="","",CALC!F34)</f>
        <v>1.0</v>
      </c>
    </row>
    <row r="8" spans="1:6" x14ac:dyDescent="0.25">
      <c r="A8" s="8" t="str">
        <f>IF(D8="","",CALC!D35)</f>
        <v>Payment - Interest</v>
      </c>
      <c r="B8" s="8" t="str">
        <f>IF(CALC!A35="","",CALC!A35)</f>
        <v>20220209</v>
      </c>
      <c r="C8" s="8" t="n">
        <f>IF(B8="","",CALC!B35)</f>
        <v>44597.979166666664</v>
      </c>
      <c r="D8" s="8" t="str">
        <f>IF(C8="","",CALC!C35)</f>
        <v>IDHJ-EGNY</v>
      </c>
      <c r="E8" s="14" t="n">
        <f>IF(A8="","",CALC!E35)</f>
        <v>-27.4906</v>
      </c>
      <c r="F8" s="15" t="str">
        <f>IF(E8="","",CALC!F35)</f>
        <v>1.0</v>
      </c>
    </row>
    <row r="9" spans="1:6" x14ac:dyDescent="0.25">
      <c r="A9" s="8" t="str">
        <f>IF(D9="","",CALC!D36)</f>
        <v>Payment - Interest</v>
      </c>
      <c r="B9" s="8" t="str">
        <f>IF(CALC!A36="","",CALC!A36)</f>
        <v>20220209</v>
      </c>
      <c r="C9" s="8" t="n">
        <f>IF(B9="","",CALC!B36)</f>
        <v>44596.979166666664</v>
      </c>
      <c r="D9" s="8" t="str">
        <f>IF(C9="","",CALC!C36)</f>
        <v>IDHJ-EGNY</v>
      </c>
      <c r="E9" s="14" t="n">
        <f>IF(A9="","",CALC!E36)</f>
        <v>200.5755</v>
      </c>
      <c r="F9" s="15" t="str">
        <f>IF(E9="","",CALC!F36)</f>
        <v>1.0</v>
      </c>
    </row>
    <row r="10" spans="1:6" x14ac:dyDescent="0.25">
      <c r="A10" s="8" t="str">
        <f>IF(D10="","",CALC!D37)</f>
        <v>Payment - Interest</v>
      </c>
      <c r="B10" s="8" t="str">
        <f>IF(CALC!A37="","",CALC!A37)</f>
        <v>20220209</v>
      </c>
      <c r="C10" s="8" t="n">
        <f>IF(B10="","",CALC!B37)</f>
        <v>44594.979166666664</v>
      </c>
      <c r="D10" s="8" t="str">
        <f>IF(C10="","",CALC!C37)</f>
        <v>IDHJ-EGNY</v>
      </c>
      <c r="E10" s="14" t="n">
        <f>IF(A10="","",CALC!E37)</f>
        <v>-200.0</v>
      </c>
      <c r="F10" s="15" t="str">
        <f>IF(E10="","",CALC!F37)</f>
        <v>1.0</v>
      </c>
    </row>
    <row r="11" spans="1:6" x14ac:dyDescent="0.25">
      <c r="A11" s="8" t="str">
        <f>IF(D11="","",CALC!D38)</f>
        <v>Payment - UPB</v>
      </c>
      <c r="B11" s="8" t="str">
        <f>IF(CALC!A38="","",CALC!A38)</f>
        <v>20220209</v>
      </c>
      <c r="C11" s="8" t="n">
        <f>IF(B11="","",CALC!B38)</f>
        <v>44601.0</v>
      </c>
      <c r="D11" s="8" t="str">
        <f>IF(C11="","",CALC!C38)</f>
        <v>IDHJ-EGNY</v>
      </c>
      <c r="E11" s="14" t="n">
        <f>IF(A11="","",CALC!E38)</f>
        <v>-17.2261</v>
      </c>
      <c r="F11" s="15" t="str">
        <f>IF(E11="","",CALC!F38)</f>
        <v>1.0</v>
      </c>
    </row>
    <row r="12" spans="1:6" x14ac:dyDescent="0.25">
      <c r="A12" s="8" t="str">
        <f>IF(D12="","",CALC!D39)</f>
        <v>Payment - UPB</v>
      </c>
      <c r="B12" s="8" t="str">
        <f>IF(CALC!A39="","",CALC!A39)</f>
        <v>20220209</v>
      </c>
      <c r="C12" s="8" t="n">
        <f>IF(B12="","",CALC!B39)</f>
        <v>44597.979166666664</v>
      </c>
      <c r="D12" s="8" t="str">
        <f>IF(C12="","",CALC!C39)</f>
        <v>IDHJ-EGNY</v>
      </c>
      <c r="E12" s="14" t="n">
        <f>IF(A12="","",CALC!E39)</f>
        <v>-322.5094</v>
      </c>
      <c r="F12" s="15" t="str">
        <f>IF(E12="","",CALC!F39)</f>
        <v>1.0</v>
      </c>
    </row>
    <row r="13" spans="1:6" x14ac:dyDescent="0.25">
      <c r="A13" s="8" t="str">
        <f>IF(D13="","",CALC!D40)</f>
        <v>Payment - UPB</v>
      </c>
      <c r="B13" s="8" t="str">
        <f>IF(CALC!A40="","",CALC!A40)</f>
        <v>20220209</v>
      </c>
      <c r="C13" s="8" t="n">
        <f>IF(B13="","",CALC!B40)</f>
        <v>44596.979166666664</v>
      </c>
      <c r="D13" s="8" t="str">
        <f>IF(C13="","",CALC!C40)</f>
        <v>IDHJ-EGNY</v>
      </c>
      <c r="E13" s="14" t="n">
        <f>IF(A13="","",CALC!E40)</f>
        <v>-475.5755</v>
      </c>
      <c r="F13" s="15" t="str">
        <f>IF(E13="","",CALC!F40)</f>
        <v>1.0</v>
      </c>
    </row>
    <row r="14" spans="1:6" x14ac:dyDescent="0.25">
      <c r="A14" s="8" t="str">
        <f>IF(D14="","",CALC!D41)</f>
        <v/>
      </c>
      <c r="B14" s="8" t="str">
        <f>IF(CALC!A41="","",CALC!A41)</f>
        <v/>
      </c>
      <c r="C14" s="8" t="str">
        <f>IF(B14="","",CALC!B41)</f>
        <v/>
      </c>
      <c r="D14" s="8" t="str">
        <f>IF(C14="","",CALC!C41)</f>
        <v/>
      </c>
      <c r="E14" s="14" t="str">
        <f>IF(A14="","",CALC!E41)</f>
        <v/>
      </c>
      <c r="F14" s="15" t="str">
        <f>IF(E14="","",CALC!F41)</f>
        <v/>
      </c>
    </row>
    <row r="15" spans="1:6" x14ac:dyDescent="0.25">
      <c r="A15" s="8" t="str">
        <f>IF(D15="","",CALC!D42)</f>
        <v/>
      </c>
      <c r="B15" s="8" t="str">
        <f>IF(CALC!A42="","",CALC!A42)</f>
        <v/>
      </c>
      <c r="C15" s="8" t="str">
        <f>IF(B15="","",CALC!B42)</f>
        <v/>
      </c>
      <c r="D15" s="8" t="str">
        <f>IF(C15="","",CALC!C42)</f>
        <v/>
      </c>
      <c r="E15" s="14" t="str">
        <f>IF(A15="","",CALC!E42)</f>
        <v/>
      </c>
      <c r="F15" s="15" t="str">
        <f>IF(E15="","",CALC!F42)</f>
        <v/>
      </c>
    </row>
    <row r="16" spans="1:6" x14ac:dyDescent="0.25">
      <c r="A16" s="8" t="str">
        <f>IF(D16="","",CALC!D43)</f>
        <v/>
      </c>
      <c r="B16" s="8" t="str">
        <f>IF(CALC!A43="","",CALC!A43)</f>
        <v/>
      </c>
      <c r="C16" s="8" t="str">
        <f>IF(B16="","",CALC!B43)</f>
        <v/>
      </c>
      <c r="D16" s="8" t="str">
        <f>IF(C16="","",CALC!C43)</f>
        <v/>
      </c>
      <c r="E16" s="14" t="str">
        <f>IF(A16="","",CALC!E43)</f>
        <v/>
      </c>
      <c r="F16" s="15" t="str">
        <f>IF(E16="","",CALC!F43)</f>
        <v/>
      </c>
    </row>
    <row r="17" spans="1:6" x14ac:dyDescent="0.25">
      <c r="A17" s="8" t="str">
        <f>IF(D17="","",CALC!D44)</f>
        <v/>
      </c>
      <c r="B17" s="8" t="str">
        <f>IF(CALC!A44="","",CALC!A44)</f>
        <v/>
      </c>
      <c r="C17" s="8" t="str">
        <f>IF(B17="","",CALC!B44)</f>
        <v/>
      </c>
      <c r="D17" s="8" t="str">
        <f>IF(C17="","",CALC!C44)</f>
        <v/>
      </c>
      <c r="E17" s="14" t="str">
        <f>IF(A17="","",CALC!E44)</f>
        <v/>
      </c>
      <c r="F17" s="15" t="str">
        <f>IF(E17="","",CALC!F44)</f>
        <v/>
      </c>
    </row>
    <row r="18" spans="1:6" x14ac:dyDescent="0.25">
      <c r="A18" s="8" t="str">
        <f>IF(D18="","",CALC!D45)</f>
        <v/>
      </c>
      <c r="B18" s="8" t="str">
        <f>IF(CALC!A45="","",CALC!A45)</f>
        <v/>
      </c>
      <c r="C18" s="8" t="str">
        <f>IF(B18="","",CALC!B45)</f>
        <v/>
      </c>
      <c r="D18" s="8" t="str">
        <f>IF(C18="","",CALC!C45)</f>
        <v/>
      </c>
      <c r="E18" s="14" t="str">
        <f>IF(A18="","",CALC!E45)</f>
        <v/>
      </c>
      <c r="F18" s="15" t="str">
        <f>IF(E18="","",CALC!F45)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</vt:lpstr>
      <vt:lpstr>i_ExecutionDate</vt:lpstr>
      <vt:lpstr>i_Transaction</vt:lpstr>
      <vt:lpstr>i_InstrumentAttribute</vt:lpstr>
      <vt:lpstr>CALC</vt:lpstr>
      <vt:lpstr>i_Metric</vt:lpstr>
      <vt:lpstr>o_Transaction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cp:lastModifiedBy>Rafay Ahmed</cp:lastModifiedBy>
  <dcterms:modified xsi:type="dcterms:W3CDTF">2025-05-28T14:44:39Z</dcterms:modified>
</cp:coreProperties>
</file>