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"/>
    </mc:Choice>
  </mc:AlternateContent>
  <xr:revisionPtr revIDLastSave="0" documentId="8_{1E6C09E2-2BC6-4198-B5CC-60B7193D26B9}" xr6:coauthVersionLast="47" xr6:coauthVersionMax="47" xr10:uidLastSave="{00000000-0000-0000-0000-000000000000}"/>
  <bookViews>
    <workbookView xWindow="-120" yWindow="-120" windowWidth="29040" windowHeight="17640" firstSheet="7" activeTab="13" xr2:uid="{04F5826A-2203-4AF6-AC38-31E31D2ECDEC}"/>
  </bookViews>
  <sheets>
    <sheet name="Transactions" sheetId="1" r:id="rId1"/>
    <sheet name="Attributes" sheetId="2" r:id="rId2"/>
    <sheet name="Aggregation" sheetId="3" r:id="rId3"/>
    <sheet name="AccountType" sheetId="5" r:id="rId4"/>
    <sheet name="SubledgerMapping" sheetId="6" r:id="rId5"/>
    <sheet name="ChartOfAccount" sheetId="7" r:id="rId6"/>
    <sheet name="InstrumentAttribute" sheetId="14" r:id="rId7"/>
    <sheet name="TransactionActivity" sheetId="15" r:id="rId8"/>
    <sheet name="i_ExecutionDate" sheetId="8" r:id="rId9"/>
    <sheet name="i_Transaction" sheetId="9" r:id="rId10"/>
    <sheet name="i_InstrumentAttribute" sheetId="10" r:id="rId11"/>
    <sheet name="i_Metric" sheetId="11" r:id="rId12"/>
    <sheet name="ProductCatalog_Allocation_Calc" sheetId="22" r:id="rId13"/>
    <sheet name="RevRec_Calc" sheetId="23" r:id="rId14"/>
    <sheet name="Scenario" sheetId="24" r:id="rId15"/>
    <sheet name="o_Transaction" sheetId="13" r:id="rId16"/>
    <sheet name="Sheet1" sheetId="25" r:id="rId17"/>
  </sheets>
  <definedNames>
    <definedName name="_xlnm._FilterDatabase" localSheetId="11" hidden="1">i_Metric!$A$1:$H$2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23" l="1"/>
  <c r="F17" i="22"/>
  <c r="F16" i="22"/>
  <c r="F15" i="22"/>
  <c r="F14" i="22"/>
  <c r="F13" i="22"/>
  <c r="K6" i="10"/>
  <c r="E19" i="23"/>
  <c r="D6" i="24"/>
  <c r="F24" i="23"/>
  <c r="F22" i="23"/>
  <c r="F21" i="23"/>
  <c r="F20" i="23"/>
  <c r="E24" i="23"/>
  <c r="E22" i="23"/>
  <c r="E21" i="23"/>
  <c r="E20" i="23"/>
  <c r="C24" i="23"/>
  <c r="C22" i="23"/>
  <c r="C21" i="23"/>
  <c r="C20" i="23"/>
  <c r="J3" i="14"/>
  <c r="J5" i="14"/>
  <c r="J4" i="14"/>
  <c r="H11" i="24"/>
  <c r="C37" i="23"/>
  <c r="L3" i="23"/>
  <c r="B19" i="23" s="1"/>
  <c r="H9" i="24"/>
  <c r="J11" i="24" s="1"/>
  <c r="D8" i="24"/>
  <c r="N2" i="24"/>
  <c r="D7" i="24" s="1"/>
  <c r="R16" i="24"/>
  <c r="B7" i="24"/>
  <c r="V3" i="24"/>
  <c r="S3" i="24"/>
  <c r="W3" i="24" s="1"/>
  <c r="S1" i="24"/>
  <c r="Y3" i="24" s="1"/>
  <c r="A8" i="13"/>
  <c r="E8" i="13" s="1"/>
  <c r="A7" i="13"/>
  <c r="F7" i="13" s="1"/>
  <c r="A6" i="13"/>
  <c r="F6" i="13" s="1"/>
  <c r="C19" i="23"/>
  <c r="A7" i="23"/>
  <c r="CD15" i="23" s="1"/>
  <c r="A6" i="23"/>
  <c r="A5" i="23"/>
  <c r="B5" i="23" s="1"/>
  <c r="A32" i="23" s="1"/>
  <c r="E32" i="23" s="1"/>
  <c r="A4" i="23"/>
  <c r="A3" i="23"/>
  <c r="E3" i="23" s="1"/>
  <c r="K5" i="10"/>
  <c r="A15" i="22"/>
  <c r="B15" i="22" s="1"/>
  <c r="C17" i="22"/>
  <c r="C16" i="22"/>
  <c r="C15" i="22"/>
  <c r="C14" i="22"/>
  <c r="C13" i="22"/>
  <c r="A17" i="22"/>
  <c r="B17" i="22" s="1"/>
  <c r="D17" i="22" s="1"/>
  <c r="A16" i="22"/>
  <c r="B16" i="22" s="1"/>
  <c r="A14" i="22"/>
  <c r="B14" i="22" s="1"/>
  <c r="D14" i="22" s="1"/>
  <c r="A13" i="22"/>
  <c r="B13" i="22" s="1"/>
  <c r="D13" i="22" s="1"/>
  <c r="K4" i="10"/>
  <c r="K3" i="10"/>
  <c r="A9" i="3"/>
  <c r="A8" i="3"/>
  <c r="A7" i="3"/>
  <c r="A6" i="3"/>
  <c r="A5" i="3"/>
  <c r="A4" i="3"/>
  <c r="A3" i="3"/>
  <c r="D16" i="22" l="1"/>
  <c r="D10" i="24"/>
  <c r="D15" i="22"/>
  <c r="D18" i="22" s="1"/>
  <c r="S10" i="24"/>
  <c r="S16" i="24" s="1"/>
  <c r="S25" i="24" s="1"/>
  <c r="S31" i="24" s="1"/>
  <c r="I9" i="24"/>
  <c r="K9" i="24" s="1"/>
  <c r="BC13" i="23"/>
  <c r="F8" i="13"/>
  <c r="B37" i="23"/>
  <c r="D37" i="23" s="1"/>
  <c r="B32" i="23"/>
  <c r="B29" i="23"/>
  <c r="B8" i="13"/>
  <c r="C8" i="13"/>
  <c r="D8" i="13"/>
  <c r="B6" i="13"/>
  <c r="C6" i="13"/>
  <c r="B7" i="13"/>
  <c r="E7" i="13"/>
  <c r="D6" i="13"/>
  <c r="E6" i="13"/>
  <c r="C7" i="13"/>
  <c r="D7" i="13"/>
  <c r="I5" i="23"/>
  <c r="I3" i="23"/>
  <c r="F32" i="23"/>
  <c r="D5" i="23"/>
  <c r="C32" i="23"/>
  <c r="H5" i="23"/>
  <c r="BC11" i="23"/>
  <c r="AB14" i="23"/>
  <c r="BC15" i="23"/>
  <c r="I6" i="23"/>
  <c r="D3" i="23"/>
  <c r="Y11" i="23" s="1"/>
  <c r="DB11" i="23" s="1"/>
  <c r="C6" i="23"/>
  <c r="H3" i="23"/>
  <c r="I4" i="23"/>
  <c r="A40" i="23"/>
  <c r="C40" i="23" s="1"/>
  <c r="A14" i="23"/>
  <c r="B14" i="23" s="1"/>
  <c r="B7" i="23"/>
  <c r="AB11" i="23"/>
  <c r="AB13" i="23"/>
  <c r="A13" i="23"/>
  <c r="B6" i="23"/>
  <c r="C7" i="23"/>
  <c r="D11" i="23"/>
  <c r="P11" i="23"/>
  <c r="B4" i="23"/>
  <c r="D6" i="23"/>
  <c r="E7" i="23"/>
  <c r="BC14" i="23"/>
  <c r="D7" i="23"/>
  <c r="B3" i="23"/>
  <c r="E6" i="23"/>
  <c r="F6" i="23" s="1"/>
  <c r="F7" i="23"/>
  <c r="CD11" i="23"/>
  <c r="BC12" i="23"/>
  <c r="AB12" i="23"/>
  <c r="D4" i="23"/>
  <c r="E5" i="23"/>
  <c r="G7" i="23"/>
  <c r="CD14" i="23"/>
  <c r="A22" i="23"/>
  <c r="E4" i="23"/>
  <c r="H7" i="23"/>
  <c r="H6" i="23"/>
  <c r="I7" i="23"/>
  <c r="J11" i="23"/>
  <c r="CD12" i="23"/>
  <c r="J7" i="23"/>
  <c r="A15" i="23"/>
  <c r="B15" i="23" s="1"/>
  <c r="H4" i="23"/>
  <c r="K7" i="23"/>
  <c r="CD13" i="23"/>
  <c r="AB15" i="23"/>
  <c r="C18" i="22"/>
  <c r="G6" i="23" l="1"/>
  <c r="I11" i="24"/>
  <c r="K11" i="24" s="1"/>
  <c r="R25" i="24"/>
  <c r="R31" i="24" s="1"/>
  <c r="R37" i="24" s="1"/>
  <c r="R46" i="24" s="1"/>
  <c r="R11" i="23"/>
  <c r="K11" i="23"/>
  <c r="T10" i="24"/>
  <c r="T16" i="24" s="1"/>
  <c r="T25" i="24" s="1"/>
  <c r="T31" i="24" s="1"/>
  <c r="T37" i="24" s="1"/>
  <c r="T46" i="24" s="1"/>
  <c r="X13" i="23"/>
  <c r="D29" i="23"/>
  <c r="H11" i="23"/>
  <c r="AI11" i="23" s="1"/>
  <c r="W11" i="23"/>
  <c r="CZ11" i="23" s="1"/>
  <c r="U10" i="24"/>
  <c r="U16" i="24" s="1"/>
  <c r="U25" i="24" s="1"/>
  <c r="U31" i="24" s="1"/>
  <c r="U37" i="24" s="1"/>
  <c r="U46" i="24" s="1"/>
  <c r="S37" i="24"/>
  <c r="S46" i="24" s="1"/>
  <c r="L13" i="23"/>
  <c r="B40" i="23"/>
  <c r="E40" i="23"/>
  <c r="F40" i="23"/>
  <c r="S11" i="23"/>
  <c r="E11" i="23"/>
  <c r="AF11" i="23" s="1"/>
  <c r="BG11" i="23" s="1"/>
  <c r="M11" i="23"/>
  <c r="F11" i="23"/>
  <c r="CI11" i="23" s="1"/>
  <c r="U11" i="23"/>
  <c r="AV11" i="23" s="1"/>
  <c r="L11" i="23"/>
  <c r="AM11" i="23" s="1"/>
  <c r="BN11" i="23" s="1"/>
  <c r="I11" i="23"/>
  <c r="AJ11" i="23" s="1"/>
  <c r="Q11" i="23"/>
  <c r="AR11" i="23" s="1"/>
  <c r="BS11" i="23" s="1"/>
  <c r="X11" i="23"/>
  <c r="S13" i="23"/>
  <c r="AZ11" i="23"/>
  <c r="F4" i="23"/>
  <c r="G13" i="23"/>
  <c r="AH13" i="23" s="1"/>
  <c r="U13" i="23"/>
  <c r="CX13" i="23" s="1"/>
  <c r="F3" i="23"/>
  <c r="D13" i="23"/>
  <c r="AE13" i="23" s="1"/>
  <c r="R13" i="23"/>
  <c r="CU13" i="23" s="1"/>
  <c r="N11" i="23"/>
  <c r="AO11" i="23" s="1"/>
  <c r="BP11" i="23" s="1"/>
  <c r="Z11" i="23"/>
  <c r="DC11" i="23" s="1"/>
  <c r="G11" i="23"/>
  <c r="CJ11" i="23" s="1"/>
  <c r="O11" i="23"/>
  <c r="CR11" i="23" s="1"/>
  <c r="V11" i="23"/>
  <c r="CY11" i="23" s="1"/>
  <c r="T11" i="23"/>
  <c r="CW11" i="23" s="1"/>
  <c r="C11" i="23"/>
  <c r="AD11" i="23" s="1"/>
  <c r="AT11" i="23"/>
  <c r="BU11" i="23" s="1"/>
  <c r="CV11" i="23"/>
  <c r="CV13" i="23"/>
  <c r="AT13" i="23"/>
  <c r="E13" i="23"/>
  <c r="F5" i="23"/>
  <c r="V13" i="23"/>
  <c r="Q13" i="23"/>
  <c r="I13" i="23"/>
  <c r="H13" i="23"/>
  <c r="CG11" i="23"/>
  <c r="AE11" i="23"/>
  <c r="CE15" i="23"/>
  <c r="BD15" i="23"/>
  <c r="AC15" i="23"/>
  <c r="Q12" i="23"/>
  <c r="E12" i="23"/>
  <c r="P12" i="23"/>
  <c r="D12" i="23"/>
  <c r="O12" i="23"/>
  <c r="C12" i="23"/>
  <c r="Z12" i="23"/>
  <c r="N12" i="23"/>
  <c r="Y12" i="23"/>
  <c r="I12" i="23"/>
  <c r="X12" i="23"/>
  <c r="H12" i="23"/>
  <c r="W12" i="23"/>
  <c r="G12" i="23"/>
  <c r="F12" i="23"/>
  <c r="V12" i="23"/>
  <c r="U12" i="23"/>
  <c r="T12" i="23"/>
  <c r="S12" i="23"/>
  <c r="R12" i="23"/>
  <c r="M12" i="23"/>
  <c r="L12" i="23"/>
  <c r="K12" i="23"/>
  <c r="J12" i="23"/>
  <c r="M13" i="23"/>
  <c r="CO13" i="23"/>
  <c r="AM13" i="23"/>
  <c r="DA13" i="23"/>
  <c r="AY13" i="23"/>
  <c r="Y13" i="23"/>
  <c r="CU11" i="23"/>
  <c r="AS11" i="23"/>
  <c r="A41" i="23"/>
  <c r="A23" i="23"/>
  <c r="A33" i="23"/>
  <c r="A34" i="23"/>
  <c r="A42" i="23"/>
  <c r="A24" i="23"/>
  <c r="CS11" i="23"/>
  <c r="AQ11" i="23"/>
  <c r="CN11" i="23"/>
  <c r="AL11" i="23"/>
  <c r="BM11" i="23" s="1"/>
  <c r="D22" i="23"/>
  <c r="B22" i="23"/>
  <c r="Z13" i="23"/>
  <c r="B13" i="23"/>
  <c r="AC14" i="23"/>
  <c r="BD14" i="23"/>
  <c r="A30" i="23"/>
  <c r="A38" i="23"/>
  <c r="C38" i="23" s="1"/>
  <c r="A20" i="23"/>
  <c r="D20" i="23" s="1"/>
  <c r="A11" i="23"/>
  <c r="B11" i="23" s="1"/>
  <c r="Z15" i="23"/>
  <c r="N15" i="23"/>
  <c r="X15" i="23"/>
  <c r="L15" i="23"/>
  <c r="W15" i="23"/>
  <c r="K15" i="23"/>
  <c r="V15" i="23"/>
  <c r="J15" i="23"/>
  <c r="U15" i="23"/>
  <c r="I15" i="23"/>
  <c r="T15" i="23"/>
  <c r="H15" i="23"/>
  <c r="C15" i="23"/>
  <c r="Y15" i="23"/>
  <c r="S15" i="23"/>
  <c r="R15" i="23"/>
  <c r="Q15" i="23"/>
  <c r="P15" i="23"/>
  <c r="O15" i="23"/>
  <c r="M15" i="23"/>
  <c r="G15" i="23"/>
  <c r="F15" i="23"/>
  <c r="E15" i="23"/>
  <c r="D15" i="23"/>
  <c r="N13" i="23"/>
  <c r="T13" i="23"/>
  <c r="C13" i="23"/>
  <c r="P14" i="23"/>
  <c r="D14" i="23"/>
  <c r="Z14" i="23"/>
  <c r="N14" i="23"/>
  <c r="Y14" i="23"/>
  <c r="M14" i="23"/>
  <c r="X14" i="23"/>
  <c r="L14" i="23"/>
  <c r="W14" i="23"/>
  <c r="K14" i="23"/>
  <c r="V14" i="23"/>
  <c r="J14" i="23"/>
  <c r="Q14" i="23"/>
  <c r="O14" i="23"/>
  <c r="I14" i="23"/>
  <c r="H14" i="23"/>
  <c r="G14" i="23"/>
  <c r="F14" i="23"/>
  <c r="E14" i="23"/>
  <c r="C14" i="23"/>
  <c r="U14" i="23"/>
  <c r="S14" i="23"/>
  <c r="T14" i="23"/>
  <c r="R14" i="23"/>
  <c r="W13" i="23"/>
  <c r="O13" i="23"/>
  <c r="A39" i="23"/>
  <c r="C39" i="23" s="1"/>
  <c r="A21" i="23"/>
  <c r="D21" i="23" s="1"/>
  <c r="A31" i="23"/>
  <c r="A12" i="23"/>
  <c r="B12" i="23" s="1"/>
  <c r="AY11" i="23"/>
  <c r="DA11" i="23"/>
  <c r="P13" i="23"/>
  <c r="CT11" i="23"/>
  <c r="AK11" i="23"/>
  <c r="CM11" i="23"/>
  <c r="F13" i="23"/>
  <c r="K13" i="23"/>
  <c r="J13" i="23"/>
  <c r="CP11" i="23"/>
  <c r="AN11" i="23"/>
  <c r="E13" i="22"/>
  <c r="E16" i="22"/>
  <c r="E14" i="22"/>
  <c r="C4" i="23" s="1"/>
  <c r="E17" i="22"/>
  <c r="E15" i="22"/>
  <c r="C5" i="23" s="1"/>
  <c r="CE14" i="23" l="1"/>
  <c r="F23" i="23"/>
  <c r="E23" i="23"/>
  <c r="C23" i="23"/>
  <c r="G5" i="23"/>
  <c r="CE13" i="23" s="1"/>
  <c r="BK11" i="23"/>
  <c r="G4" i="23"/>
  <c r="CA11" i="23"/>
  <c r="AH11" i="23"/>
  <c r="BI11" i="23" s="1"/>
  <c r="CL11" i="23"/>
  <c r="BF13" i="23"/>
  <c r="CK11" i="23"/>
  <c r="AV13" i="23"/>
  <c r="BW13" i="23" s="1"/>
  <c r="BL11" i="23"/>
  <c r="CH11" i="23"/>
  <c r="AX11" i="23"/>
  <c r="BY11" i="23" s="1"/>
  <c r="AG11" i="23"/>
  <c r="BH11" i="23" s="1"/>
  <c r="BZ11" i="23"/>
  <c r="CO11" i="23"/>
  <c r="B41" i="23"/>
  <c r="F41" i="23"/>
  <c r="E41" i="23"/>
  <c r="CX11" i="23"/>
  <c r="B39" i="23"/>
  <c r="F39" i="23"/>
  <c r="E39" i="23"/>
  <c r="B38" i="23"/>
  <c r="F38" i="23"/>
  <c r="E38" i="23"/>
  <c r="BT11" i="23"/>
  <c r="BO11" i="23"/>
  <c r="CG13" i="23"/>
  <c r="B42" i="23"/>
  <c r="C42" i="23" s="1"/>
  <c r="F42" i="23"/>
  <c r="E42" i="23"/>
  <c r="AS13" i="23"/>
  <c r="BT13" i="23" s="1"/>
  <c r="CJ13" i="23"/>
  <c r="CQ11" i="23"/>
  <c r="B31" i="23"/>
  <c r="C31" i="23"/>
  <c r="F31" i="23"/>
  <c r="E31" i="23"/>
  <c r="B34" i="23"/>
  <c r="D34" i="23" s="1"/>
  <c r="F34" i="23"/>
  <c r="E34" i="23"/>
  <c r="C34" i="23"/>
  <c r="B30" i="23"/>
  <c r="E30" i="23"/>
  <c r="C30" i="23"/>
  <c r="F30" i="23"/>
  <c r="B33" i="23"/>
  <c r="C33" i="23"/>
  <c r="F33" i="23"/>
  <c r="E33" i="23"/>
  <c r="BA11" i="23"/>
  <c r="CB11" i="23" s="1"/>
  <c r="BJ11" i="23"/>
  <c r="BR11" i="23"/>
  <c r="AW11" i="23"/>
  <c r="BX11" i="23" s="1"/>
  <c r="BE11" i="23"/>
  <c r="AU11" i="23"/>
  <c r="BV11" i="23" s="1"/>
  <c r="BF11" i="23"/>
  <c r="CF11" i="23"/>
  <c r="AP11" i="23"/>
  <c r="BQ11" i="23" s="1"/>
  <c r="BW11" i="23"/>
  <c r="BU13" i="23"/>
  <c r="AV14" i="23"/>
  <c r="BW14" i="23" s="1"/>
  <c r="CX14" i="23"/>
  <c r="AD14" i="23"/>
  <c r="BE14" i="23" s="1"/>
  <c r="CF14" i="23" s="1"/>
  <c r="BD13" i="23"/>
  <c r="AC13" i="23"/>
  <c r="AF14" i="23"/>
  <c r="BG14" i="23" s="1"/>
  <c r="CH14" i="23" s="1"/>
  <c r="AY14" i="23"/>
  <c r="BZ14" i="23" s="1"/>
  <c r="DA14" i="23"/>
  <c r="DB15" i="23"/>
  <c r="AZ15" i="23"/>
  <c r="CA15" i="23" s="1"/>
  <c r="CQ15" i="23"/>
  <c r="AO15" i="23"/>
  <c r="BP15" i="23" s="1"/>
  <c r="BA13" i="23"/>
  <c r="CB13" i="23" s="1"/>
  <c r="DC13" i="23"/>
  <c r="AG12" i="23"/>
  <c r="BH12" i="23" s="1"/>
  <c r="AQ12" i="23"/>
  <c r="BR12" i="23" s="1"/>
  <c r="CS12" i="23"/>
  <c r="AL13" i="23"/>
  <c r="BM13" i="23" s="1"/>
  <c r="CN13" i="23"/>
  <c r="AM15" i="23"/>
  <c r="BN15" i="23" s="1"/>
  <c r="CO15" i="23"/>
  <c r="D24" i="23"/>
  <c r="B24" i="23"/>
  <c r="AY15" i="23"/>
  <c r="BZ15" i="23" s="1"/>
  <c r="DA15" i="23"/>
  <c r="BN13" i="23"/>
  <c r="AG14" i="23"/>
  <c r="BH14" i="23" s="1"/>
  <c r="CI14" i="23" s="1"/>
  <c r="AN14" i="23"/>
  <c r="BO14" i="23" s="1"/>
  <c r="CP14" i="23" s="1"/>
  <c r="AO13" i="23"/>
  <c r="BP13" i="23" s="1"/>
  <c r="CQ13" i="23"/>
  <c r="CF15" i="23"/>
  <c r="AD15" i="23"/>
  <c r="BE15" i="23" s="1"/>
  <c r="DC15" i="23"/>
  <c r="BA15" i="23"/>
  <c r="CB15" i="23" s="1"/>
  <c r="AH12" i="23"/>
  <c r="BI12" i="23" s="1"/>
  <c r="AF12" i="23"/>
  <c r="BG12" i="23" s="1"/>
  <c r="CM13" i="23"/>
  <c r="AK13" i="23"/>
  <c r="BL13" i="23" s="1"/>
  <c r="CI13" i="23"/>
  <c r="AG13" i="23"/>
  <c r="BH13" i="23" s="1"/>
  <c r="CY12" i="23"/>
  <c r="AW12" i="23"/>
  <c r="BX12" i="23" s="1"/>
  <c r="AH14" i="23"/>
  <c r="BI14" i="23" s="1"/>
  <c r="CJ14" i="23" s="1"/>
  <c r="DB14" i="23"/>
  <c r="AZ14" i="23"/>
  <c r="CA14" i="23" s="1"/>
  <c r="CG15" i="23"/>
  <c r="AE15" i="23"/>
  <c r="BF15" i="23" s="1"/>
  <c r="CK15" i="23"/>
  <c r="AI15" i="23"/>
  <c r="BJ15" i="23" s="1"/>
  <c r="BD11" i="23"/>
  <c r="AC11" i="23"/>
  <c r="D23" i="23"/>
  <c r="D25" i="23" s="1"/>
  <c r="B23" i="23"/>
  <c r="AN13" i="23"/>
  <c r="BO13" i="23" s="1"/>
  <c r="CP13" i="23"/>
  <c r="CZ12" i="23"/>
  <c r="AX12" i="23"/>
  <c r="BY12" i="23" s="1"/>
  <c r="CT12" i="23"/>
  <c r="AR12" i="23"/>
  <c r="BS12" i="23" s="1"/>
  <c r="AX13" i="23"/>
  <c r="BY13" i="23" s="1"/>
  <c r="CZ13" i="23"/>
  <c r="CV15" i="23"/>
  <c r="AT15" i="23"/>
  <c r="BU15" i="23" s="1"/>
  <c r="AI14" i="23"/>
  <c r="BJ14" i="23" s="1"/>
  <c r="CK14" i="23" s="1"/>
  <c r="AO14" i="23"/>
  <c r="BP14" i="23" s="1"/>
  <c r="CQ14" i="23"/>
  <c r="CH15" i="23"/>
  <c r="AF15" i="23"/>
  <c r="BG15" i="23" s="1"/>
  <c r="CW15" i="23"/>
  <c r="AU15" i="23"/>
  <c r="BV15" i="23" s="1"/>
  <c r="B20" i="23"/>
  <c r="AK12" i="23"/>
  <c r="BL12" i="23" s="1"/>
  <c r="AI12" i="23"/>
  <c r="BJ12" i="23" s="1"/>
  <c r="AP12" i="23"/>
  <c r="BQ12" i="23" s="1"/>
  <c r="CR12" i="23"/>
  <c r="AM14" i="23"/>
  <c r="BN14" i="23" s="1"/>
  <c r="CO14" i="23"/>
  <c r="AE12" i="23"/>
  <c r="BF12" i="23" s="1"/>
  <c r="AJ14" i="23"/>
  <c r="BK14" i="23" s="1"/>
  <c r="CL14" i="23"/>
  <c r="BA14" i="23"/>
  <c r="CB14" i="23" s="1"/>
  <c r="DC14" i="23"/>
  <c r="CI15" i="23"/>
  <c r="AG15" i="23"/>
  <c r="BH15" i="23" s="1"/>
  <c r="AJ15" i="23"/>
  <c r="BK15" i="23" s="1"/>
  <c r="CL15" i="23"/>
  <c r="AL12" i="23"/>
  <c r="BM12" i="23" s="1"/>
  <c r="AY12" i="23"/>
  <c r="BZ12" i="23" s="1"/>
  <c r="DA12" i="23"/>
  <c r="CK13" i="23"/>
  <c r="AI13" i="23"/>
  <c r="BJ13" i="23" s="1"/>
  <c r="CX12" i="23"/>
  <c r="AV12" i="23"/>
  <c r="BW12" i="23" s="1"/>
  <c r="AC12" i="23"/>
  <c r="BD12" i="23"/>
  <c r="AP14" i="23"/>
  <c r="BQ14" i="23" s="1"/>
  <c r="CR14" i="23"/>
  <c r="AE14" i="23"/>
  <c r="BF14" i="23" s="1"/>
  <c r="CJ15" i="23"/>
  <c r="AH15" i="23"/>
  <c r="BI15" i="23" s="1"/>
  <c r="AV15" i="23"/>
  <c r="BW15" i="23" s="1"/>
  <c r="CX15" i="23"/>
  <c r="AM12" i="23"/>
  <c r="BN12" i="23" s="1"/>
  <c r="AJ12" i="23"/>
  <c r="BK12" i="23" s="1"/>
  <c r="CL13" i="23"/>
  <c r="AJ13" i="23"/>
  <c r="BK13" i="23" s="1"/>
  <c r="CT14" i="23"/>
  <c r="AR14" i="23"/>
  <c r="BS14" i="23" s="1"/>
  <c r="AK15" i="23"/>
  <c r="BL15" i="23" s="1"/>
  <c r="CM15" i="23"/>
  <c r="AN12" i="23"/>
  <c r="BO12" i="23" s="1"/>
  <c r="AZ12" i="23"/>
  <c r="CA12" i="23" s="1"/>
  <c r="DB12" i="23"/>
  <c r="CT13" i="23"/>
  <c r="AR13" i="23"/>
  <c r="BS13" i="23" s="1"/>
  <c r="AX14" i="23"/>
  <c r="BY14" i="23" s="1"/>
  <c r="CZ14" i="23"/>
  <c r="CS14" i="23"/>
  <c r="AQ14" i="23"/>
  <c r="BR14" i="23" s="1"/>
  <c r="B21" i="23"/>
  <c r="CU14" i="23"/>
  <c r="AS14" i="23"/>
  <c r="BT14" i="23" s="1"/>
  <c r="AK14" i="23"/>
  <c r="BL14" i="23" s="1"/>
  <c r="CM14" i="23" s="1"/>
  <c r="AD13" i="23"/>
  <c r="BE13" i="23" s="1"/>
  <c r="CF13" i="23"/>
  <c r="CR15" i="23"/>
  <c r="AP15" i="23"/>
  <c r="BQ15" i="23" s="1"/>
  <c r="AW15" i="23"/>
  <c r="BX15" i="23" s="1"/>
  <c r="CY15" i="23"/>
  <c r="BZ13" i="23"/>
  <c r="CU12" i="23"/>
  <c r="AS12" i="23"/>
  <c r="BT12" i="23" s="1"/>
  <c r="AO12" i="23"/>
  <c r="BP12" i="23" s="1"/>
  <c r="CY13" i="23"/>
  <c r="AW13" i="23"/>
  <c r="BX13" i="23" s="1"/>
  <c r="CU15" i="23"/>
  <c r="AS15" i="23"/>
  <c r="BT15" i="23" s="1"/>
  <c r="CP15" i="23"/>
  <c r="AN15" i="23"/>
  <c r="BO15" i="23" s="1"/>
  <c r="BI13" i="23"/>
  <c r="AQ13" i="23"/>
  <c r="BR13" i="23" s="1"/>
  <c r="CS13" i="23"/>
  <c r="CW14" i="23"/>
  <c r="AU14" i="23"/>
  <c r="BV14" i="23" s="1"/>
  <c r="CY14" i="23"/>
  <c r="AW14" i="23"/>
  <c r="BX14" i="23" s="1"/>
  <c r="CW13" i="23"/>
  <c r="AU13" i="23"/>
  <c r="BV13" i="23" s="1"/>
  <c r="CS15" i="23"/>
  <c r="AQ15" i="23"/>
  <c r="BR15" i="23" s="1"/>
  <c r="AL15" i="23"/>
  <c r="BM15" i="23" s="1"/>
  <c r="CN15" i="23"/>
  <c r="AZ13" i="23"/>
  <c r="CA13" i="23" s="1"/>
  <c r="DB13" i="23"/>
  <c r="CV12" i="23"/>
  <c r="AT12" i="23"/>
  <c r="BU12" i="23" s="1"/>
  <c r="BA12" i="23"/>
  <c r="CB12" i="23" s="1"/>
  <c r="DC12" i="23"/>
  <c r="CR13" i="23"/>
  <c r="AP13" i="23"/>
  <c r="BQ13" i="23" s="1"/>
  <c r="CV14" i="23"/>
  <c r="AT14" i="23"/>
  <c r="BU14" i="23" s="1"/>
  <c r="AL14" i="23"/>
  <c r="BM14" i="23" s="1"/>
  <c r="CN14" i="23" s="1"/>
  <c r="CT15" i="23"/>
  <c r="AR15" i="23"/>
  <c r="BS15" i="23" s="1"/>
  <c r="AX15" i="23"/>
  <c r="BY15" i="23" s="1"/>
  <c r="CZ15" i="23"/>
  <c r="CW12" i="23"/>
  <c r="AU12" i="23"/>
  <c r="BV12" i="23" s="1"/>
  <c r="AD12" i="23"/>
  <c r="BE12" i="23" s="1"/>
  <c r="AF13" i="23"/>
  <c r="BG13" i="23" s="1"/>
  <c r="CH13" i="23"/>
  <c r="E18" i="22"/>
  <c r="CO12" i="23" l="1"/>
  <c r="CL12" i="23"/>
  <c r="J6" i="23"/>
  <c r="CJ12" i="23"/>
  <c r="D33" i="23"/>
  <c r="D41" i="23" s="1"/>
  <c r="A49" i="23" s="1"/>
  <c r="F49" i="23" s="1"/>
  <c r="CM12" i="23"/>
  <c r="CE12" i="23"/>
  <c r="D31" i="23" s="1"/>
  <c r="D39" i="23" s="1"/>
  <c r="A47" i="23" s="1"/>
  <c r="F47" i="23" s="1"/>
  <c r="CI12" i="23"/>
  <c r="CH12" i="23"/>
  <c r="CG14" i="23"/>
  <c r="K6" i="23"/>
  <c r="CK12" i="23"/>
  <c r="CF12" i="23"/>
  <c r="CP12" i="23"/>
  <c r="CQ12" i="23"/>
  <c r="CN12" i="23"/>
  <c r="CG12" i="23"/>
  <c r="F18" i="22"/>
  <c r="G18" i="22" s="1"/>
  <c r="C3" i="23"/>
  <c r="G3" i="23" s="1"/>
  <c r="CE11" i="23" s="1"/>
  <c r="D30" i="23" s="1"/>
  <c r="E25" i="23"/>
  <c r="D42" i="23"/>
  <c r="A50" i="23" s="1"/>
  <c r="F50" i="23" s="1"/>
  <c r="C25" i="23"/>
  <c r="C29" i="23" s="1"/>
  <c r="J3" i="23"/>
  <c r="D32" i="23"/>
  <c r="D40" i="23" s="1"/>
  <c r="A48" i="23" s="1"/>
  <c r="F48" i="23" s="1"/>
  <c r="J5" i="23"/>
  <c r="J4" i="23"/>
  <c r="K5" i="23"/>
  <c r="C41" i="23" l="1"/>
  <c r="K3" i="23"/>
  <c r="C49" i="23"/>
  <c r="D49" i="23"/>
  <c r="E49" i="23" s="1"/>
  <c r="B49" i="23"/>
  <c r="C50" i="23"/>
  <c r="D50" i="23"/>
  <c r="E50" i="23" s="1"/>
  <c r="B50" i="23"/>
  <c r="D47" i="23"/>
  <c r="E47" i="23" s="1"/>
  <c r="D48" i="23"/>
  <c r="E48" i="23" s="1"/>
  <c r="C48" i="23"/>
  <c r="B48" i="23"/>
  <c r="E29" i="23"/>
  <c r="D38" i="23"/>
  <c r="A46" i="23" s="1"/>
  <c r="F46" i="23" s="1"/>
  <c r="A51" i="23" l="1"/>
  <c r="F51" i="23" s="1"/>
  <c r="F29" i="23"/>
  <c r="E37" i="23"/>
  <c r="B46" i="23"/>
  <c r="D46" i="23"/>
  <c r="E46" i="23" s="1"/>
  <c r="C46" i="23"/>
  <c r="E51" i="23" l="1"/>
  <c r="F37" i="23"/>
  <c r="C47" i="23"/>
  <c r="B47" i="23"/>
  <c r="D51" i="23" l="1"/>
  <c r="C51" i="23"/>
  <c r="B51" i="23"/>
  <c r="F19" i="23" l="1"/>
  <c r="F25" i="23" s="1"/>
  <c r="A55" i="23" s="1" a="1"/>
  <c r="A4" i="13" l="1"/>
  <c r="F4" i="13" s="1"/>
  <c r="A5" i="13"/>
  <c r="A2" i="13"/>
  <c r="A3" i="13"/>
  <c r="A55" i="23"/>
  <c r="D4" i="13" l="1"/>
  <c r="C4" i="13"/>
  <c r="E4" i="13"/>
  <c r="B4" i="13"/>
  <c r="F5" i="13"/>
  <c r="B5" i="13"/>
  <c r="C5" i="13"/>
  <c r="D5" i="13"/>
  <c r="E5" i="13"/>
  <c r="F2" i="13"/>
  <c r="B2" i="13"/>
  <c r="C2" i="13"/>
  <c r="D2" i="13"/>
  <c r="E2" i="13"/>
  <c r="F3" i="13"/>
  <c r="B3" i="13"/>
  <c r="C3" i="13"/>
  <c r="D3" i="13"/>
  <c r="E3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5E767AD9-9DDB-4F5E-90C3-56852AFB99E5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  <comment ref="D1" authorId="0" shapeId="0" xr:uid="{9E63817C-D716-46B2-8B09-42E151654BC8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<sst xmlns="http://schemas.openxmlformats.org/spreadsheetml/2006/main" count="352" uniqueCount="160">
  <si>
    <t>Name</t>
  </si>
  <si>
    <t>IsGL</t>
  </si>
  <si>
    <t>UserField</t>
  </si>
  <si>
    <t>AttributeName</t>
  </si>
  <si>
    <t>Reclassable</t>
  </si>
  <si>
    <t>Versionable</t>
  </si>
  <si>
    <t>dataType</t>
  </si>
  <si>
    <t>Nullable</t>
  </si>
  <si>
    <t>UserField1</t>
  </si>
  <si>
    <t>UserField2</t>
  </si>
  <si>
    <t>String</t>
  </si>
  <si>
    <t>UserField3</t>
  </si>
  <si>
    <t>Date</t>
  </si>
  <si>
    <t>UserField4</t>
  </si>
  <si>
    <t>UserField5</t>
  </si>
  <si>
    <t>UserField6</t>
  </si>
  <si>
    <t>UserField7</t>
  </si>
  <si>
    <t>UserField8</t>
  </si>
  <si>
    <t>Number</t>
  </si>
  <si>
    <t>UserField9</t>
  </si>
  <si>
    <t>UserField10</t>
  </si>
  <si>
    <t>Transaction Name</t>
  </si>
  <si>
    <t>Metric Name</t>
  </si>
  <si>
    <t>IDHJ-EGNY</t>
  </si>
  <si>
    <t>AccountSubType</t>
  </si>
  <si>
    <t>AccountType</t>
  </si>
  <si>
    <t>Clearing</t>
  </si>
  <si>
    <t>Balance Sheet</t>
  </si>
  <si>
    <t>Income Statement</t>
  </si>
  <si>
    <t>TransactionName</t>
  </si>
  <si>
    <t>SIGN</t>
  </si>
  <si>
    <t>EntryType</t>
  </si>
  <si>
    <t>accountSubType</t>
  </si>
  <si>
    <t>POSITIVE</t>
  </si>
  <si>
    <t>Debit</t>
  </si>
  <si>
    <t>Credit</t>
  </si>
  <si>
    <t>Account Name</t>
  </si>
  <si>
    <t>AccountNumber</t>
  </si>
  <si>
    <t>ExecutionDate</t>
  </si>
  <si>
    <t>Amount</t>
  </si>
  <si>
    <t>TransactionDate</t>
  </si>
  <si>
    <t>InstrumentId</t>
  </si>
  <si>
    <t>AttributeId</t>
  </si>
  <si>
    <t>Type</t>
  </si>
  <si>
    <t>EffectiveDate</t>
  </si>
  <si>
    <t>AttributeID</t>
  </si>
  <si>
    <t>Current</t>
  </si>
  <si>
    <t>MetricName</t>
  </si>
  <si>
    <t>Instrumentid</t>
  </si>
  <si>
    <t>AccountingPeriod</t>
  </si>
  <si>
    <t>BeginningBalance</t>
  </si>
  <si>
    <t>Activity</t>
  </si>
  <si>
    <t>EndingBalance</t>
  </si>
  <si>
    <t>InstrumentID</t>
  </si>
  <si>
    <t>Transactiontype</t>
  </si>
  <si>
    <t>AtrributeId</t>
  </si>
  <si>
    <t>INSTRUMENTID</t>
  </si>
  <si>
    <t>PostingDate</t>
  </si>
  <si>
    <t>Reportable</t>
  </si>
  <si>
    <t>Price</t>
  </si>
  <si>
    <t>Transactions</t>
  </si>
  <si>
    <t>Replayable</t>
  </si>
  <si>
    <t>Balances</t>
  </si>
  <si>
    <t>ReplayDate</t>
  </si>
  <si>
    <t>New</t>
  </si>
  <si>
    <t>Transaction</t>
  </si>
  <si>
    <t>ED</t>
  </si>
  <si>
    <t>PD</t>
  </si>
  <si>
    <t>LastExecutionDate</t>
  </si>
  <si>
    <t>Unbilled Charge</t>
  </si>
  <si>
    <t>Revenue</t>
  </si>
  <si>
    <t>Deferred Revenue</t>
  </si>
  <si>
    <t>Credit Note</t>
  </si>
  <si>
    <t>ORDER_DATE</t>
  </si>
  <si>
    <t>ITEM_ID</t>
  </si>
  <si>
    <t>PRODUCT_ID</t>
  </si>
  <si>
    <t>SALE_PRICE</t>
  </si>
  <si>
    <t>QUANTITY</t>
  </si>
  <si>
    <t>EXTENDED_SALEPRICE</t>
  </si>
  <si>
    <t>ITEM_STARTDATE</t>
  </si>
  <si>
    <t>ITEM_ENDDATE</t>
  </si>
  <si>
    <t>CURRENCY</t>
  </si>
  <si>
    <t>New Billing</t>
  </si>
  <si>
    <t>Billing</t>
  </si>
  <si>
    <t>Unbilled</t>
  </si>
  <si>
    <t>DR</t>
  </si>
  <si>
    <t>Quantity</t>
  </si>
  <si>
    <t>Extended Sales Price</t>
  </si>
  <si>
    <t>Startdate</t>
  </si>
  <si>
    <t>End Date</t>
  </si>
  <si>
    <t>Per Daye</t>
  </si>
  <si>
    <t>UnBilled Charge</t>
  </si>
  <si>
    <t>Unpaid</t>
  </si>
  <si>
    <t>Balance</t>
  </si>
  <si>
    <t>SO1</t>
  </si>
  <si>
    <t>USD</t>
  </si>
  <si>
    <t>Contra</t>
  </si>
  <si>
    <t>Contra Revenue</t>
  </si>
  <si>
    <t>ATTRIBUTE.ORDER_DATE</t>
  </si>
  <si>
    <t>ATTRIBUTE.ITEM_ID</t>
  </si>
  <si>
    <t>ATTRIBUTE.PRODUCT_ID</t>
  </si>
  <si>
    <t>ATTRIBUTE.SALE_PRICE</t>
  </si>
  <si>
    <t>ATTRIBUTE.QUANTITY</t>
  </si>
  <si>
    <t>ATTRIBUTE.EXTENDED_SALEPRICE</t>
  </si>
  <si>
    <t>ATTRIBUTE.ITEM_STARTDATE</t>
  </si>
  <si>
    <t>ATTRIBUTE.ITEM_ENDDATE</t>
  </si>
  <si>
    <t>ATTRIBUTE.CURRENCY</t>
  </si>
  <si>
    <t>Revenue Allocation</t>
  </si>
  <si>
    <t>Start Date</t>
  </si>
  <si>
    <t>ALLOCATED REVENUE</t>
  </si>
  <si>
    <t>Product ID</t>
  </si>
  <si>
    <t>Attribute Id</t>
  </si>
  <si>
    <t>Days</t>
  </si>
  <si>
    <t>Per Day Revenue</t>
  </si>
  <si>
    <t>BALANCES</t>
  </si>
  <si>
    <t>NEW ACTIVITY</t>
  </si>
  <si>
    <t>TRANSACTIONS</t>
  </si>
  <si>
    <t>FILTERED TRANSACTIONS</t>
  </si>
  <si>
    <t>ProductID</t>
  </si>
  <si>
    <t>Months</t>
  </si>
  <si>
    <t>Attributeid</t>
  </si>
  <si>
    <t>HEALTH CHECK</t>
  </si>
  <si>
    <t>EXECUTION DATE</t>
  </si>
  <si>
    <t>HELPER COLUMN</t>
  </si>
  <si>
    <t>DAYS</t>
  </si>
  <si>
    <t>REVENUE</t>
  </si>
  <si>
    <t>FFFF-AAAA</t>
  </si>
  <si>
    <t>ProductId</t>
  </si>
  <si>
    <t>ProductName</t>
  </si>
  <si>
    <t>Standalone Sellig Price Rule</t>
  </si>
  <si>
    <t>Revenue Recognition Method</t>
  </si>
  <si>
    <t>Discount</t>
  </si>
  <si>
    <t>SaaS Implementation</t>
  </si>
  <si>
    <t>SaaS Training</t>
  </si>
  <si>
    <t>SaaS Basic Subscription</t>
  </si>
  <si>
    <t>SaaS Premium Subscription</t>
  </si>
  <si>
    <t>USE SALES PRICE</t>
  </si>
  <si>
    <t>RATABLE</t>
  </si>
  <si>
    <t>POINT_IN_TIME</t>
  </si>
  <si>
    <t>PRODUCT CATALOG</t>
  </si>
  <si>
    <t>REVENUE ALLOCATION</t>
  </si>
  <si>
    <t>Sale Price</t>
  </si>
  <si>
    <t>AMOUNT</t>
  </si>
  <si>
    <t>SSP</t>
  </si>
  <si>
    <t>Ratio</t>
  </si>
  <si>
    <t>Allocation</t>
  </si>
  <si>
    <t>FFFF-BBBB</t>
  </si>
  <si>
    <t>Total</t>
  </si>
  <si>
    <t>Recognition Method</t>
  </si>
  <si>
    <t>Invoice</t>
  </si>
  <si>
    <t>Group</t>
  </si>
  <si>
    <t>Product</t>
  </si>
  <si>
    <t>NEW ACTIVITY + BALANCE</t>
  </si>
  <si>
    <t>ALL</t>
  </si>
  <si>
    <t>INVOICE</t>
  </si>
  <si>
    <t>Yes</t>
  </si>
  <si>
    <t>ATTRIBUTE.PRODUCT_NAME</t>
  </si>
  <si>
    <t>PRODUCT_NAME</t>
  </si>
  <si>
    <t>Credit note</t>
  </si>
  <si>
    <t>FFFF-CCC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</si>
</sst>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_);[Red]\(0.00\)"/>
    <numFmt numFmtId="166" formatCode="0.000"/>
    <numFmt numFmtId="167" formatCode="0.0000_);[Red]\(0.000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1"/>
    <xf numFmtId="14" fontId="0" fillId="0" borderId="0" xfId="0" applyNumberFormat="1"/>
    <xf numFmtId="0" fontId="2" fillId="0" borderId="1" xfId="1" applyFont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5" xfId="1" applyBorder="1"/>
    <xf numFmtId="0" fontId="6" fillId="0" borderId="5" xfId="1" applyFont="1" applyBorder="1"/>
    <xf numFmtId="0" fontId="1" fillId="0" borderId="0" xfId="0" applyFont="1"/>
    <xf numFmtId="0" fontId="0" fillId="0" borderId="0" xfId="0" quotePrefix="1"/>
    <xf numFmtId="0" fontId="2" fillId="2" borderId="0" xfId="1" applyFont="1" applyFill="1"/>
    <xf numFmtId="14" fontId="3" fillId="0" borderId="0" xfId="1" applyNumberFormat="1"/>
    <xf numFmtId="0" fontId="6" fillId="0" borderId="0" xfId="1" applyFont="1"/>
    <xf numFmtId="14" fontId="3" fillId="5" borderId="0" xfId="1" applyNumberFormat="1" applyFill="1"/>
    <xf numFmtId="0" fontId="6" fillId="5" borderId="0" xfId="1" applyFont="1" applyFill="1"/>
    <xf numFmtId="0" fontId="2" fillId="5" borderId="0" xfId="0" applyFont="1" applyFill="1"/>
    <xf numFmtId="0" fontId="2" fillId="6" borderId="0" xfId="1" applyFont="1" applyFill="1"/>
    <xf numFmtId="0" fontId="3" fillId="0" borderId="5" xfId="1" applyFill="1" applyBorder="1"/>
    <xf numFmtId="0" fontId="0" fillId="0" borderId="5" xfId="0" applyBorder="1"/>
    <xf numFmtId="14" fontId="3" fillId="0" borderId="9" xfId="1" applyNumberFormat="1" applyBorder="1"/>
    <xf numFmtId="0" fontId="3" fillId="0" borderId="9" xfId="1" applyBorder="1"/>
    <xf numFmtId="1" fontId="3" fillId="0" borderId="0" xfId="1" applyNumberFormat="1"/>
    <xf numFmtId="0" fontId="6" fillId="7" borderId="9" xfId="1" applyFont="1" applyFill="1" applyBorder="1"/>
    <xf numFmtId="0" fontId="1" fillId="5" borderId="0" xfId="0" applyFont="1" applyFill="1"/>
    <xf numFmtId="0" fontId="6" fillId="3" borderId="0" xfId="1" applyFont="1" applyFill="1"/>
    <xf numFmtId="14" fontId="3" fillId="0" borderId="5" xfId="1" applyNumberFormat="1" applyFill="1" applyBorder="1"/>
    <xf numFmtId="14" fontId="3" fillId="5" borderId="5" xfId="1" applyNumberFormat="1" applyFill="1" applyBorder="1"/>
    <xf numFmtId="14" fontId="0" fillId="0" borderId="5" xfId="0" applyNumberFormat="1" applyBorder="1"/>
    <xf numFmtId="165" fontId="0" fillId="0" borderId="5" xfId="0" applyNumberFormat="1" applyBorder="1"/>
    <xf numFmtId="14" fontId="0" fillId="3" borderId="5" xfId="0" applyNumberFormat="1" applyFill="1" applyBorder="1"/>
    <xf numFmtId="0" fontId="0" fillId="3" borderId="5" xfId="0" applyFill="1" applyBorder="1"/>
    <xf numFmtId="165" fontId="0" fillId="3" borderId="5" xfId="0" applyNumberFormat="1" applyFill="1" applyBorder="1"/>
    <xf numFmtId="40" fontId="0" fillId="0" borderId="0" xfId="0" applyNumberFormat="1"/>
    <xf numFmtId="40" fontId="0" fillId="5" borderId="0" xfId="0" applyNumberFormat="1" applyFill="1"/>
    <xf numFmtId="166" fontId="3" fillId="0" borderId="5" xfId="1" applyNumberFormat="1" applyFill="1" applyBorder="1"/>
    <xf numFmtId="166" fontId="3" fillId="0" borderId="5" xfId="1" applyNumberFormat="1" applyBorder="1"/>
    <xf numFmtId="0" fontId="2" fillId="5" borderId="0" xfId="1" applyFont="1" applyFill="1"/>
    <xf numFmtId="0" fontId="6" fillId="7" borderId="5" xfId="1" applyFont="1" applyFill="1" applyBorder="1"/>
    <xf numFmtId="164" fontId="3" fillId="0" borderId="9" xfId="1" applyNumberFormat="1" applyBorder="1"/>
    <xf numFmtId="165" fontId="0" fillId="0" borderId="0" xfId="0" applyNumberFormat="1"/>
    <xf numFmtId="0" fontId="0" fillId="0" borderId="0" xfId="0" applyBorder="1"/>
    <xf numFmtId="14" fontId="0" fillId="5" borderId="5" xfId="0" applyNumberFormat="1" applyFill="1" applyBorder="1"/>
    <xf numFmtId="0" fontId="0" fillId="5" borderId="5" xfId="0" applyFill="1" applyBorder="1"/>
    <xf numFmtId="167" fontId="0" fillId="5" borderId="5" xfId="0" applyNumberFormat="1" applyFill="1" applyBorder="1"/>
    <xf numFmtId="165" fontId="0" fillId="5" borderId="5" xfId="0" applyNumberFormat="1" applyFill="1" applyBorder="1"/>
    <xf numFmtId="167" fontId="0" fillId="0" borderId="0" xfId="0" applyNumberFormat="1"/>
    <xf numFmtId="2" fontId="3" fillId="0" borderId="0" xfId="1" applyNumberFormat="1"/>
    <xf numFmtId="14" fontId="0" fillId="0" borderId="0" xfId="0" applyNumberFormat="1" applyBorder="1"/>
    <xf numFmtId="2" fontId="0" fillId="0" borderId="5" xfId="0" applyNumberFormat="1" applyBorder="1"/>
    <xf numFmtId="0" fontId="0" fillId="8" borderId="0" xfId="0" applyFill="1"/>
    <xf numFmtId="0" fontId="0" fillId="3" borderId="10" xfId="0" applyFill="1" applyBorder="1"/>
    <xf numFmtId="165" fontId="0" fillId="3" borderId="10" xfId="0" applyNumberFormat="1" applyFill="1" applyBorder="1"/>
    <xf numFmtId="14" fontId="0" fillId="0" borderId="9" xfId="0" applyNumberFormat="1" applyBorder="1"/>
    <xf numFmtId="0" fontId="0" fillId="0" borderId="5" xfId="0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7" fillId="4" borderId="12" xfId="1" applyFont="1" applyFill="1" applyBorder="1" applyAlignment="1">
      <alignment horizontal="center"/>
    </xf>
    <xf numFmtId="0" fontId="7" fillId="4" borderId="13" xfId="1" applyFon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9" xfId="0" applyBorder="1"/>
    <xf numFmtId="0" fontId="2" fillId="3" borderId="0" xfId="1" applyFont="1" applyFill="1"/>
    <xf numFmtId="0" fontId="3" fillId="0" borderId="0" xfId="1" applyBorder="1"/>
    <xf numFmtId="14" fontId="3" fillId="0" borderId="0" xfId="1" applyNumberFormat="1" applyBorder="1"/>
    <xf numFmtId="0" fontId="1" fillId="0" borderId="5" xfId="0" applyFont="1" applyBorder="1"/>
    <xf numFmtId="0" fontId="1" fillId="9" borderId="5" xfId="0" applyFont="1" applyFill="1" applyBorder="1"/>
    <xf numFmtId="0" fontId="1" fillId="9" borderId="9" xfId="0" applyFont="1" applyFill="1" applyBorder="1"/>
    <xf numFmtId="40" fontId="0" fillId="0" borderId="5" xfId="0" applyNumberFormat="1" applyBorder="1"/>
    <xf numFmtId="40" fontId="0" fillId="10" borderId="5" xfId="0" applyNumberFormat="1" applyFill="1" applyBorder="1"/>
    <xf numFmtId="0" fontId="1" fillId="0" borderId="5" xfId="0" applyFont="1" applyBorder="1" applyAlignment="1">
      <alignment horizontal="center"/>
    </xf>
    <xf numFmtId="165" fontId="3" fillId="0" borderId="0" xfId="1" applyNumberFormat="1"/>
    <xf numFmtId="165" fontId="0" fillId="10" borderId="5" xfId="0" applyNumberFormat="1" applyFill="1" applyBorder="1"/>
    <xf numFmtId="0" fontId="0" fillId="0" borderId="5" xfId="0" applyFill="1" applyBorder="1"/>
    <xf numFmtId="0" fontId="7" fillId="4" borderId="6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0" fontId="7" fillId="4" borderId="15" xfId="1" applyFont="1" applyFill="1" applyBorder="1" applyAlignment="1">
      <alignment horizontal="center"/>
    </xf>
    <xf numFmtId="0" fontId="7" fillId="4" borderId="11" xfId="1" applyFont="1" applyFill="1" applyBorder="1" applyAlignment="1">
      <alignment horizontal="center"/>
    </xf>
    <xf numFmtId="0" fontId="1" fillId="10" borderId="5" xfId="0" applyFont="1" applyFill="1" applyBorder="1"/>
    <xf numFmtId="0" fontId="1" fillId="0" borderId="5" xfId="0" applyFont="1" applyBorder="1" applyAlignment="1">
      <alignment horizontal="center" vertical="center"/>
    </xf>
    <xf numFmtId="0" fontId="0" fillId="8" borderId="0" xfId="0" applyFill="1" applyBorder="1"/>
    <xf numFmtId="0" fontId="0" fillId="8" borderId="14" xfId="0" applyFill="1" applyBorder="1"/>
    <xf numFmtId="0" fontId="7" fillId="4" borderId="16" xfId="1" applyFont="1" applyFill="1" applyBorder="1" applyAlignment="1">
      <alignment horizontal="center"/>
    </xf>
    <xf numFmtId="0" fontId="7" fillId="4" borderId="17" xfId="1" applyFont="1" applyFill="1" applyBorder="1" applyAlignment="1">
      <alignment horizontal="center"/>
    </xf>
    <xf numFmtId="0" fontId="7" fillId="4" borderId="18" xfId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2">
    <cellStyle name="Normal" xfId="0" builtinId="0"/>
    <cellStyle name="Normal 2" xfId="1" xr:uid="{03FC309D-8750-4D92-BD81-EB1A0A26F749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2955-0AD3-4D54-9B0A-BB6007DB3F4B}">
  <sheetPr>
    <tabColor rgb="FFFFFF00"/>
  </sheetPr>
  <dimension ref="A1:D5"/>
  <sheetViews>
    <sheetView workbookViewId="0">
      <selection activeCell="D4" sqref="D4:D5"/>
    </sheetView>
  </sheetViews>
  <sheetFormatPr defaultRowHeight="15" x14ac:dyDescent="0.25"/>
  <cols>
    <col min="1" max="1" width="45.28515625" customWidth="1"/>
    <col min="2" max="2" width="22.42578125" customWidth="1"/>
    <col min="3" max="3" width="24.140625" customWidth="1"/>
    <col min="4" max="4" width="16.5703125" customWidth="1"/>
  </cols>
  <sheetData>
    <row r="1" spans="1:4" x14ac:dyDescent="0.25">
      <c r="A1" s="1" t="s">
        <v>0</v>
      </c>
      <c r="B1" s="18" t="s">
        <v>58</v>
      </c>
      <c r="C1" s="1" t="s">
        <v>1</v>
      </c>
      <c r="D1" s="26" t="s">
        <v>61</v>
      </c>
    </row>
    <row r="2" spans="1:4" x14ac:dyDescent="0.25">
      <c r="A2" t="s">
        <v>69</v>
      </c>
      <c r="B2">
        <v>1</v>
      </c>
      <c r="C2">
        <v>1</v>
      </c>
      <c r="D2">
        <v>1</v>
      </c>
    </row>
    <row r="3" spans="1:4" x14ac:dyDescent="0.25">
      <c r="A3" t="s">
        <v>70</v>
      </c>
      <c r="B3">
        <v>1</v>
      </c>
      <c r="C3">
        <v>1</v>
      </c>
      <c r="D3">
        <v>1</v>
      </c>
    </row>
    <row r="4" spans="1:4" x14ac:dyDescent="0.25">
      <c r="A4" t="s">
        <v>82</v>
      </c>
      <c r="B4">
        <v>1</v>
      </c>
      <c r="C4">
        <v>1</v>
      </c>
      <c r="D4">
        <v>0</v>
      </c>
    </row>
    <row r="5" spans="1:4" x14ac:dyDescent="0.25">
      <c r="A5" s="3" t="s">
        <v>72</v>
      </c>
      <c r="B5" s="12">
        <v>1</v>
      </c>
      <c r="C5">
        <v>1</v>
      </c>
      <c r="D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1D06-15FC-4E31-98AC-A2A647CF848A}">
  <sheetPr>
    <tabColor rgb="FFFFFF00"/>
  </sheetPr>
  <dimension ref="A1:F11"/>
  <sheetViews>
    <sheetView zoomScale="120" zoomScaleNormal="120" workbookViewId="0">
      <selection activeCell="C11" sqref="C11"/>
    </sheetView>
  </sheetViews>
  <sheetFormatPr defaultColWidth="8.7109375" defaultRowHeight="15" x14ac:dyDescent="0.25"/>
  <cols>
    <col min="1" max="1" width="27.42578125" style="3" customWidth="1"/>
    <col min="2" max="2" width="33.5703125" style="3" customWidth="1"/>
    <col min="3" max="4" width="17" style="3" customWidth="1"/>
    <col min="5" max="5" width="8.7109375" style="3"/>
    <col min="6" max="6" width="10.5703125" style="3" customWidth="1"/>
    <col min="7" max="16384" width="8.7109375" style="3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25">
      <c r="A2" s="3" t="s">
        <v>8</v>
      </c>
      <c r="B2" t="s">
        <v>73</v>
      </c>
      <c r="C2" s="3">
        <v>0</v>
      </c>
      <c r="D2" s="3">
        <v>1</v>
      </c>
      <c r="E2" s="3" t="s">
        <v>12</v>
      </c>
      <c r="F2" s="3" t="s">
        <v>155</v>
      </c>
    </row>
    <row r="3" spans="1:6" x14ac:dyDescent="0.25">
      <c r="A3" s="3" t="s">
        <v>9</v>
      </c>
      <c r="B3" t="s">
        <v>74</v>
      </c>
      <c r="C3" s="3">
        <v>0</v>
      </c>
      <c r="D3" s="3">
        <v>1</v>
      </c>
      <c r="E3" s="3" t="s">
        <v>10</v>
      </c>
      <c r="F3" s="3" t="s">
        <v>155</v>
      </c>
    </row>
    <row r="4" spans="1:6" x14ac:dyDescent="0.25">
      <c r="A4" s="3" t="s">
        <v>11</v>
      </c>
      <c r="B4" t="s">
        <v>75</v>
      </c>
      <c r="C4" s="3">
        <v>0</v>
      </c>
      <c r="D4" s="3">
        <v>1</v>
      </c>
      <c r="E4" s="3" t="s">
        <v>10</v>
      </c>
      <c r="F4" s="3" t="s">
        <v>155</v>
      </c>
    </row>
    <row r="5" spans="1:6" x14ac:dyDescent="0.25">
      <c r="A5" s="3" t="s">
        <v>13</v>
      </c>
      <c r="B5" t="s">
        <v>76</v>
      </c>
      <c r="C5" s="3">
        <v>0</v>
      </c>
      <c r="D5" s="3">
        <v>1</v>
      </c>
      <c r="E5" s="3" t="s">
        <v>18</v>
      </c>
      <c r="F5" s="3" t="s">
        <v>155</v>
      </c>
    </row>
    <row r="6" spans="1:6" x14ac:dyDescent="0.25">
      <c r="A6" s="3" t="s">
        <v>14</v>
      </c>
      <c r="B6" t="s">
        <v>77</v>
      </c>
      <c r="C6" s="3">
        <v>0</v>
      </c>
      <c r="D6" s="3">
        <v>1</v>
      </c>
      <c r="E6" s="3" t="s">
        <v>18</v>
      </c>
      <c r="F6" s="3" t="s">
        <v>155</v>
      </c>
    </row>
    <row r="7" spans="1:6" x14ac:dyDescent="0.25">
      <c r="A7" s="3" t="s">
        <v>15</v>
      </c>
      <c r="B7" t="s">
        <v>78</v>
      </c>
      <c r="C7" s="3">
        <v>0</v>
      </c>
      <c r="D7" s="3">
        <v>1</v>
      </c>
      <c r="E7" s="3" t="s">
        <v>18</v>
      </c>
      <c r="F7" s="3" t="s">
        <v>155</v>
      </c>
    </row>
    <row r="8" spans="1:6" x14ac:dyDescent="0.25">
      <c r="A8" s="3" t="s">
        <v>16</v>
      </c>
      <c r="B8" t="s">
        <v>79</v>
      </c>
      <c r="C8" s="3">
        <v>0</v>
      </c>
      <c r="D8" s="3">
        <v>1</v>
      </c>
      <c r="E8" s="3" t="s">
        <v>12</v>
      </c>
      <c r="F8" s="3" t="s">
        <v>155</v>
      </c>
    </row>
    <row r="9" spans="1:6" x14ac:dyDescent="0.25">
      <c r="A9" s="3" t="s">
        <v>17</v>
      </c>
      <c r="B9" t="s">
        <v>80</v>
      </c>
      <c r="C9" s="3">
        <v>0</v>
      </c>
      <c r="D9" s="3">
        <v>1</v>
      </c>
      <c r="E9" s="3" t="s">
        <v>12</v>
      </c>
      <c r="F9" s="3" t="s">
        <v>155</v>
      </c>
    </row>
    <row r="10" spans="1:6" x14ac:dyDescent="0.25">
      <c r="A10" s="3" t="s">
        <v>19</v>
      </c>
      <c r="B10" t="s">
        <v>81</v>
      </c>
      <c r="C10" s="3">
        <v>0</v>
      </c>
      <c r="D10" s="3">
        <v>1</v>
      </c>
      <c r="E10" s="3" t="s">
        <v>10</v>
      </c>
      <c r="F10" s="3" t="s">
        <v>155</v>
      </c>
    </row>
    <row r="11" spans="1:6" x14ac:dyDescent="0.25">
      <c r="A11" s="3" t="s">
        <v>20</v>
      </c>
      <c r="B11" s="3" t="s">
        <v>157</v>
      </c>
      <c r="C11" s="3">
        <v>0</v>
      </c>
      <c r="D11" s="3">
        <v>1</v>
      </c>
      <c r="E11" s="3" t="s">
        <v>10</v>
      </c>
      <c r="F11" s="3" t="s">
        <v>155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64AC-D3BB-45EA-BE19-013C1DBD1C73}">
  <sheetPr>
    <tabColor rgb="FFFFFF00"/>
  </sheetPr>
  <dimension ref="A1:C9"/>
  <sheetViews>
    <sheetView zoomScale="120" zoomScaleNormal="120" workbookViewId="0">
      <selection activeCell="A22" sqref="A22"/>
    </sheetView>
  </sheetViews>
  <sheetFormatPr defaultColWidth="11.5703125" defaultRowHeight="15" x14ac:dyDescent="0.25"/>
  <cols>
    <col min="1" max="1" width="67.7109375" style="3" customWidth="1"/>
    <col min="2" max="2" width="24.7109375" style="3" customWidth="1"/>
    <col min="3" max="16384" width="11.5703125" style="3"/>
  </cols>
  <sheetData>
    <row r="1" spans="1:3" x14ac:dyDescent="0.25">
      <c r="A1" s="2" t="s">
        <v>21</v>
      </c>
      <c r="B1" s="2" t="s">
        <v>22</v>
      </c>
      <c r="C1" s="15" t="s">
        <v>58</v>
      </c>
    </row>
    <row r="2" spans="1:3" x14ac:dyDescent="0.25">
      <c r="A2" t="s">
        <v>70</v>
      </c>
      <c r="B2" s="3" t="s">
        <v>70</v>
      </c>
      <c r="C2" s="3">
        <v>1</v>
      </c>
    </row>
    <row r="3" spans="1:3" x14ac:dyDescent="0.25">
      <c r="A3" t="str">
        <f>Transactions!A4</f>
        <v>New Billing</v>
      </c>
      <c r="B3" s="3" t="s">
        <v>83</v>
      </c>
      <c r="C3" s="3">
        <v>1</v>
      </c>
    </row>
    <row r="4" spans="1:3" x14ac:dyDescent="0.25">
      <c r="A4" t="str">
        <f>Transactions!A5</f>
        <v>Credit Note</v>
      </c>
      <c r="B4" s="3" t="s">
        <v>83</v>
      </c>
      <c r="C4" s="3">
        <v>1</v>
      </c>
    </row>
    <row r="5" spans="1:3" x14ac:dyDescent="0.25">
      <c r="A5" t="str">
        <f>Transactions!A2</f>
        <v>Unbilled Charge</v>
      </c>
      <c r="B5" s="3" t="s">
        <v>84</v>
      </c>
      <c r="C5" s="3">
        <v>1</v>
      </c>
    </row>
    <row r="6" spans="1:3" x14ac:dyDescent="0.25">
      <c r="A6" t="str">
        <f>A2</f>
        <v>Revenue</v>
      </c>
      <c r="B6" s="3" t="s">
        <v>71</v>
      </c>
      <c r="C6" s="3">
        <v>1</v>
      </c>
    </row>
    <row r="7" spans="1:3" x14ac:dyDescent="0.25">
      <c r="A7" t="str">
        <f>A3</f>
        <v>New Billing</v>
      </c>
      <c r="B7" s="3" t="s">
        <v>71</v>
      </c>
      <c r="C7" s="3">
        <v>1</v>
      </c>
    </row>
    <row r="8" spans="1:3" x14ac:dyDescent="0.25">
      <c r="A8" t="str">
        <f>A4</f>
        <v>Credit Note</v>
      </c>
      <c r="B8" s="3" t="s">
        <v>71</v>
      </c>
      <c r="C8" s="3">
        <v>1</v>
      </c>
    </row>
    <row r="9" spans="1:3" x14ac:dyDescent="0.25">
      <c r="A9" t="str">
        <f>A5</f>
        <v>Unbilled Charge</v>
      </c>
      <c r="B9" s="3" t="s">
        <v>71</v>
      </c>
      <c r="C9" s="3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9493-36C0-49A6-ABDC-55BD72A055EA}">
  <sheetPr>
    <tabColor rgb="FFFFFF00"/>
  </sheetPr>
  <dimension ref="A1:B5"/>
  <sheetViews>
    <sheetView zoomScale="120" zoomScaleNormal="120" workbookViewId="0">
      <selection activeCell="A4" sqref="A4"/>
    </sheetView>
  </sheetViews>
  <sheetFormatPr defaultColWidth="11.5703125" defaultRowHeight="15" x14ac:dyDescent="0.25"/>
  <cols>
    <col min="1" max="1" width="39.5703125" style="3" customWidth="1"/>
    <col min="2" max="2" width="20" style="3" customWidth="1"/>
    <col min="3" max="16384" width="11.5703125" style="3"/>
  </cols>
  <sheetData>
    <row r="1" spans="1:2" x14ac:dyDescent="0.25">
      <c r="A1" s="2" t="s">
        <v>24</v>
      </c>
      <c r="B1" s="2" t="s">
        <v>25</v>
      </c>
    </row>
    <row r="2" spans="1:2" x14ac:dyDescent="0.25">
      <c r="A2" s="3" t="s">
        <v>69</v>
      </c>
      <c r="B2" s="3" t="s">
        <v>27</v>
      </c>
    </row>
    <row r="3" spans="1:2" x14ac:dyDescent="0.25">
      <c r="A3" s="3" t="s">
        <v>70</v>
      </c>
      <c r="B3" s="3" t="s">
        <v>28</v>
      </c>
    </row>
    <row r="4" spans="1:2" x14ac:dyDescent="0.25">
      <c r="A4" s="3" t="s">
        <v>71</v>
      </c>
      <c r="B4" s="3" t="s">
        <v>27</v>
      </c>
    </row>
    <row r="5" spans="1:2" x14ac:dyDescent="0.25">
      <c r="A5" s="3" t="s">
        <v>97</v>
      </c>
      <c r="B5" s="3" t="s">
        <v>26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471C-CBE7-4F9B-B40E-99FAF3A06859}">
  <sheetPr>
    <tabColor rgb="FFFFFF00"/>
  </sheetPr>
  <dimension ref="A1:D9"/>
  <sheetViews>
    <sheetView zoomScale="120" zoomScaleNormal="120" workbookViewId="0"/>
  </sheetViews>
  <sheetFormatPr defaultColWidth="11.5703125" defaultRowHeight="15" x14ac:dyDescent="0.25"/>
  <cols>
    <col min="1" max="1" width="67.7109375" style="3" customWidth="1"/>
    <col min="2" max="2" width="11.5703125" style="3"/>
    <col min="3" max="3" width="10.42578125" style="3" customWidth="1"/>
    <col min="4" max="4" width="44.28515625" style="3" customWidth="1"/>
    <col min="5" max="16384" width="11.5703125" style="3"/>
  </cols>
  <sheetData>
    <row r="1" spans="1:4" x14ac:dyDescent="0.25">
      <c r="A1" s="5" t="s">
        <v>29</v>
      </c>
      <c r="B1" s="6" t="s">
        <v>30</v>
      </c>
      <c r="C1" s="7" t="s">
        <v>31</v>
      </c>
      <c r="D1" s="8" t="s">
        <v>32</v>
      </c>
    </row>
    <row r="2" spans="1:4" x14ac:dyDescent="0.25">
      <c r="A2" s="3" t="s">
        <v>70</v>
      </c>
      <c r="B2" s="9" t="s">
        <v>33</v>
      </c>
      <c r="C2" s="9" t="s">
        <v>34</v>
      </c>
      <c r="D2" s="3" t="s">
        <v>70</v>
      </c>
    </row>
    <row r="3" spans="1:4" x14ac:dyDescent="0.25">
      <c r="A3" s="3" t="s">
        <v>70</v>
      </c>
      <c r="B3" s="9" t="s">
        <v>33</v>
      </c>
      <c r="C3" s="9" t="s">
        <v>35</v>
      </c>
      <c r="D3" s="3" t="s">
        <v>71</v>
      </c>
    </row>
    <row r="4" spans="1:4" x14ac:dyDescent="0.25">
      <c r="A4" t="s">
        <v>69</v>
      </c>
      <c r="B4" s="9" t="s">
        <v>33</v>
      </c>
      <c r="C4" s="9" t="s">
        <v>34</v>
      </c>
      <c r="D4" t="s">
        <v>69</v>
      </c>
    </row>
    <row r="5" spans="1:4" x14ac:dyDescent="0.25">
      <c r="A5" t="s">
        <v>69</v>
      </c>
      <c r="B5" s="9" t="s">
        <v>33</v>
      </c>
      <c r="C5" s="9" t="s">
        <v>35</v>
      </c>
      <c r="D5" s="3" t="s">
        <v>71</v>
      </c>
    </row>
    <row r="6" spans="1:4" x14ac:dyDescent="0.25">
      <c r="A6" t="s">
        <v>82</v>
      </c>
      <c r="B6" s="9" t="s">
        <v>33</v>
      </c>
      <c r="C6" s="9" t="s">
        <v>34</v>
      </c>
      <c r="D6" s="3" t="s">
        <v>97</v>
      </c>
    </row>
    <row r="7" spans="1:4" x14ac:dyDescent="0.25">
      <c r="A7" t="s">
        <v>82</v>
      </c>
      <c r="B7" s="9" t="s">
        <v>33</v>
      </c>
      <c r="C7" s="9" t="s">
        <v>35</v>
      </c>
      <c r="D7" s="3" t="s">
        <v>71</v>
      </c>
    </row>
    <row r="8" spans="1:4" x14ac:dyDescent="0.25">
      <c r="A8" s="3" t="s">
        <v>72</v>
      </c>
      <c r="B8" s="9" t="s">
        <v>33</v>
      </c>
      <c r="C8" s="9" t="s">
        <v>34</v>
      </c>
      <c r="D8" s="3" t="s">
        <v>97</v>
      </c>
    </row>
    <row r="9" spans="1:4" x14ac:dyDescent="0.25">
      <c r="A9" s="3" t="s">
        <v>72</v>
      </c>
      <c r="B9" s="9" t="s">
        <v>33</v>
      </c>
      <c r="C9" s="9" t="s">
        <v>35</v>
      </c>
      <c r="D9" s="3" t="s">
        <v>71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4B41-FEFE-428C-AF78-D1F8DE977AE0}">
  <sheetPr>
    <tabColor rgb="FFFFFF00"/>
  </sheetPr>
  <dimension ref="A1:D5"/>
  <sheetViews>
    <sheetView zoomScale="120" zoomScaleNormal="120" workbookViewId="0">
      <selection activeCell="A5" sqref="A5"/>
    </sheetView>
  </sheetViews>
  <sheetFormatPr defaultColWidth="11.5703125" defaultRowHeight="15" x14ac:dyDescent="0.25"/>
  <cols>
    <col min="1" max="1" width="43.42578125" style="3" customWidth="1"/>
    <col min="2" max="2" width="16" style="3" customWidth="1"/>
    <col min="3" max="3" width="39.5703125" style="3" customWidth="1"/>
    <col min="4" max="4" width="13.7109375" style="3" customWidth="1"/>
    <col min="5" max="16384" width="11.5703125" style="3"/>
  </cols>
  <sheetData>
    <row r="1" spans="1:4" x14ac:dyDescent="0.25">
      <c r="A1" s="10" t="s">
        <v>36</v>
      </c>
      <c r="B1" s="10" t="s">
        <v>37</v>
      </c>
      <c r="C1" s="10" t="s">
        <v>24</v>
      </c>
      <c r="D1" s="11"/>
    </row>
    <row r="2" spans="1:4" x14ac:dyDescent="0.25">
      <c r="A2" s="3" t="s">
        <v>69</v>
      </c>
      <c r="B2" s="9">
        <v>1000</v>
      </c>
      <c r="C2" s="3" t="s">
        <v>69</v>
      </c>
      <c r="D2"/>
    </row>
    <row r="3" spans="1:4" x14ac:dyDescent="0.25">
      <c r="A3" s="3" t="s">
        <v>70</v>
      </c>
      <c r="B3" s="9">
        <v>2000</v>
      </c>
      <c r="C3" s="3" t="s">
        <v>70</v>
      </c>
      <c r="D3"/>
    </row>
    <row r="4" spans="1:4" x14ac:dyDescent="0.25">
      <c r="A4" s="3" t="s">
        <v>71</v>
      </c>
      <c r="B4" s="9">
        <v>3000</v>
      </c>
      <c r="C4" s="3" t="s">
        <v>71</v>
      </c>
      <c r="D4"/>
    </row>
    <row r="5" spans="1:4" x14ac:dyDescent="0.25">
      <c r="A5" s="3" t="s">
        <v>97</v>
      </c>
      <c r="B5" s="9">
        <v>4000</v>
      </c>
      <c r="C5" s="3" t="s">
        <v>97</v>
      </c>
      <c r="D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6C0C-C3DA-49BB-8D6B-DE91F014532B}">
  <sheetPr>
    <tabColor rgb="FFFFC000"/>
  </sheetPr>
  <dimension ref="A1:P5"/>
  <sheetViews>
    <sheetView zoomScale="120" zoomScaleNormal="120" workbookViewId="0">
      <selection activeCell="L3" sqref="L3"/>
    </sheetView>
  </sheetViews>
  <sheetFormatPr defaultColWidth="11.5703125" defaultRowHeight="15" x14ac:dyDescent="0.25"/>
  <cols>
    <col min="1" max="1" width="12" style="3" bestFit="1" customWidth="1"/>
    <col min="2" max="2" width="13.140625" style="3" bestFit="1" customWidth="1"/>
    <col min="3" max="3" width="11" style="3" bestFit="1" customWidth="1"/>
    <col min="4" max="4" width="15.42578125" style="3" bestFit="1" customWidth="1"/>
    <col min="5" max="5" width="16" style="3" bestFit="1" customWidth="1"/>
    <col min="6" max="6" width="15.5703125" style="3" bestFit="1" customWidth="1"/>
    <col min="7" max="7" width="12.5703125" style="3" bestFit="1" customWidth="1"/>
    <col min="8" max="8" width="15.5703125" style="3" bestFit="1" customWidth="1"/>
    <col min="9" max="9" width="16.7109375" style="3" bestFit="1" customWidth="1"/>
    <col min="10" max="10" width="32.7109375" style="3" bestFit="1" customWidth="1"/>
    <col min="11" max="11" width="14.42578125" style="3" bestFit="1" customWidth="1"/>
    <col min="12" max="12" width="27.42578125" style="3" bestFit="1" customWidth="1"/>
    <col min="13" max="13" width="15.140625" style="3" bestFit="1" customWidth="1"/>
    <col min="14" max="14" width="34.140625" style="3" bestFit="1" customWidth="1"/>
    <col min="15" max="15" width="27" style="3" bestFit="1" customWidth="1"/>
    <col min="16" max="16" width="28.5703125" style="3" bestFit="1" customWidth="1"/>
    <col min="17" max="16384" width="11.5703125" style="3"/>
  </cols>
  <sheetData>
    <row r="1" spans="1:16" x14ac:dyDescent="0.25">
      <c r="A1" s="17" t="s">
        <v>57</v>
      </c>
      <c r="B1" s="2" t="s">
        <v>44</v>
      </c>
      <c r="C1" s="2" t="s">
        <v>55</v>
      </c>
      <c r="D1" s="15" t="s">
        <v>56</v>
      </c>
      <c r="E1" s="27" t="s">
        <v>73</v>
      </c>
      <c r="F1" s="27" t="s">
        <v>74</v>
      </c>
      <c r="G1" s="27" t="s">
        <v>75</v>
      </c>
      <c r="H1" s="27" t="s">
        <v>76</v>
      </c>
      <c r="I1" s="27" t="s">
        <v>77</v>
      </c>
      <c r="J1" s="27" t="s">
        <v>78</v>
      </c>
      <c r="K1" s="27" t="s">
        <v>79</v>
      </c>
      <c r="L1" s="27" t="s">
        <v>80</v>
      </c>
      <c r="M1" s="27" t="s">
        <v>81</v>
      </c>
      <c r="N1" s="27" t="s">
        <v>157</v>
      </c>
      <c r="O1" s="14"/>
      <c r="P1" s="14"/>
    </row>
    <row r="2" spans="1:16" x14ac:dyDescent="0.25">
      <c r="A2" s="14">
        <v>44561</v>
      </c>
      <c r="B2" s="14">
        <v>44561</v>
      </c>
      <c r="C2" s="2">
        <v>0</v>
      </c>
      <c r="D2" s="15" t="s">
        <v>153</v>
      </c>
      <c r="E2" s="14"/>
      <c r="F2" s="3" t="s">
        <v>154</v>
      </c>
      <c r="G2" s="3">
        <v>6</v>
      </c>
      <c r="H2" s="49"/>
      <c r="I2" s="49"/>
      <c r="J2" s="49"/>
      <c r="K2" s="14"/>
      <c r="L2" s="14"/>
      <c r="M2" s="14" t="s">
        <v>95</v>
      </c>
      <c r="N2" s="63" t="s">
        <v>149</v>
      </c>
      <c r="O2" s="14"/>
      <c r="P2" s="14"/>
    </row>
    <row r="3" spans="1:16" x14ac:dyDescent="0.25">
      <c r="A3" s="16">
        <v>44592</v>
      </c>
      <c r="B3" s="14">
        <v>44576</v>
      </c>
      <c r="C3" s="3">
        <v>1</v>
      </c>
      <c r="D3" s="3" t="s">
        <v>94</v>
      </c>
      <c r="E3" s="14">
        <v>44576</v>
      </c>
      <c r="F3" s="3" t="s">
        <v>23</v>
      </c>
      <c r="G3" s="3">
        <v>1</v>
      </c>
      <c r="H3" s="49">
        <v>-200</v>
      </c>
      <c r="I3" s="49">
        <v>1</v>
      </c>
      <c r="J3" s="49">
        <f>H3*I3</f>
        <v>-200</v>
      </c>
      <c r="K3" s="14">
        <v>44576</v>
      </c>
      <c r="L3" s="14">
        <v>44576</v>
      </c>
      <c r="M3" s="14" t="s">
        <v>95</v>
      </c>
      <c r="N3" s="43" t="s">
        <v>131</v>
      </c>
      <c r="O3" s="14"/>
      <c r="P3" s="14"/>
    </row>
    <row r="4" spans="1:16" x14ac:dyDescent="0.25">
      <c r="A4" s="16">
        <v>44592</v>
      </c>
      <c r="B4" s="14">
        <v>44576</v>
      </c>
      <c r="C4" s="3">
        <v>2</v>
      </c>
      <c r="D4" s="3" t="s">
        <v>94</v>
      </c>
      <c r="E4" s="14">
        <v>44576</v>
      </c>
      <c r="F4" s="3" t="s">
        <v>126</v>
      </c>
      <c r="G4" s="3">
        <v>2</v>
      </c>
      <c r="H4" s="49">
        <v>100</v>
      </c>
      <c r="I4" s="49">
        <v>12</v>
      </c>
      <c r="J4" s="49">
        <f>H4*I4</f>
        <v>1200</v>
      </c>
      <c r="K4" s="14">
        <v>44576</v>
      </c>
      <c r="L4" s="14">
        <v>44941</v>
      </c>
      <c r="M4" s="14" t="s">
        <v>95</v>
      </c>
      <c r="N4" s="43" t="s">
        <v>134</v>
      </c>
    </row>
    <row r="5" spans="1:16" x14ac:dyDescent="0.25">
      <c r="A5" s="16">
        <v>44592</v>
      </c>
      <c r="B5" s="14">
        <v>44576</v>
      </c>
      <c r="C5" s="3">
        <v>3</v>
      </c>
      <c r="D5" s="3" t="s">
        <v>94</v>
      </c>
      <c r="E5" s="14">
        <v>44576</v>
      </c>
      <c r="F5" s="3" t="s">
        <v>146</v>
      </c>
      <c r="G5" s="3">
        <v>3</v>
      </c>
      <c r="H5" s="49">
        <v>300</v>
      </c>
      <c r="I5" s="49">
        <v>1</v>
      </c>
      <c r="J5" s="49">
        <f>H5*I5</f>
        <v>300</v>
      </c>
      <c r="K5" s="14">
        <v>44576</v>
      </c>
      <c r="L5" s="14">
        <v>44576</v>
      </c>
      <c r="M5" s="14" t="s">
        <v>95</v>
      </c>
      <c r="N5" s="43" t="s">
        <v>132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A84-1A48-4116-ACAE-C5BB1D008DB7}">
  <sheetPr>
    <tabColor rgb="FFFFC000"/>
  </sheetPr>
  <dimension ref="A1:F8"/>
  <sheetViews>
    <sheetView workbookViewId="0">
      <selection activeCell="D1" sqref="D1"/>
    </sheetView>
  </sheetViews>
  <sheetFormatPr defaultRowHeight="15" x14ac:dyDescent="0.25"/>
  <cols>
    <col min="1" max="1" width="10.5703125" style="3" bestFit="1" customWidth="1"/>
    <col min="2" max="2" width="15.42578125" style="3" bestFit="1" customWidth="1"/>
    <col min="3" max="3" width="12.5703125" style="3" bestFit="1" customWidth="1"/>
    <col min="4" max="4" width="16.5703125" style="3" bestFit="1" customWidth="1"/>
    <col min="5" max="5" width="11.28515625" style="3" bestFit="1" customWidth="1"/>
    <col min="6" max="6" width="10.85546875" style="3" bestFit="1" customWidth="1"/>
    <col min="7" max="16384" width="9.140625" style="3"/>
  </cols>
  <sheetData>
    <row r="1" spans="1:6" x14ac:dyDescent="0.25">
      <c r="A1" s="13" t="s">
        <v>29</v>
      </c>
      <c r="B1" s="39" t="s">
        <v>42</v>
      </c>
      <c r="C1" s="62" t="s">
        <v>57</v>
      </c>
      <c r="D1" s="62" t="s">
        <v>40</v>
      </c>
      <c r="E1" s="62" t="s">
        <v>41</v>
      </c>
      <c r="F1" s="62" t="s">
        <v>39</v>
      </c>
    </row>
    <row r="2" spans="1:6" x14ac:dyDescent="0.25">
      <c r="A2" s="29"/>
      <c r="B2" s="28"/>
      <c r="C2" s="20"/>
      <c r="D2" s="20"/>
      <c r="E2" s="37"/>
      <c r="F2" s="20"/>
    </row>
    <row r="3" spans="1:6" x14ac:dyDescent="0.25">
      <c r="A3" s="29"/>
      <c r="B3" s="28"/>
      <c r="C3" s="20"/>
      <c r="D3" s="20"/>
      <c r="E3" s="37"/>
      <c r="F3" s="20"/>
    </row>
    <row r="4" spans="1:6" x14ac:dyDescent="0.25">
      <c r="A4" s="29"/>
      <c r="B4" s="28"/>
      <c r="C4" s="20"/>
      <c r="D4" s="28"/>
      <c r="E4" s="37"/>
      <c r="F4" s="20"/>
    </row>
    <row r="5" spans="1:6" x14ac:dyDescent="0.25">
      <c r="A5" s="29"/>
      <c r="B5" s="28"/>
      <c r="C5" s="20"/>
      <c r="D5" s="28"/>
      <c r="E5" s="37"/>
      <c r="F5" s="20"/>
    </row>
    <row r="6" spans="1:6" x14ac:dyDescent="0.25">
      <c r="A6" s="29"/>
      <c r="B6" s="28"/>
      <c r="C6" s="20"/>
      <c r="D6" s="28"/>
      <c r="E6" s="37"/>
      <c r="F6" s="20"/>
    </row>
    <row r="7" spans="1:6" x14ac:dyDescent="0.25">
      <c r="A7" s="29"/>
      <c r="B7" s="28"/>
      <c r="C7" s="20"/>
      <c r="D7" s="9"/>
      <c r="E7" s="37"/>
      <c r="F7" s="20"/>
    </row>
    <row r="8" spans="1:6" x14ac:dyDescent="0.25">
      <c r="A8" s="29"/>
      <c r="B8" s="28"/>
      <c r="C8" s="20"/>
      <c r="D8" s="28"/>
      <c r="E8" s="38"/>
      <c r="F8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D640-D9B2-466B-892A-DA04368109C9}">
  <sheetPr>
    <tabColor rgb="FF92D050"/>
  </sheetPr>
  <dimension ref="A1:E2"/>
  <sheetViews>
    <sheetView zoomScaleNormal="100" workbookViewId="0">
      <selection activeCell="C39" sqref="C39"/>
    </sheetView>
  </sheetViews>
  <sheetFormatPr defaultColWidth="8.7109375" defaultRowHeight="15" x14ac:dyDescent="0.25"/>
  <cols>
    <col min="1" max="1" width="55.5703125" style="3" customWidth="1"/>
    <col min="2" max="2" width="32.140625" style="3" customWidth="1"/>
    <col min="3" max="3" width="41.42578125" style="3" customWidth="1"/>
    <col min="4" max="16384" width="8.7109375" style="3"/>
  </cols>
  <sheetData>
    <row r="1" spans="1:5" x14ac:dyDescent="0.25">
      <c r="A1" s="2" t="s">
        <v>38</v>
      </c>
      <c r="B1" s="15" t="s">
        <v>68</v>
      </c>
      <c r="C1" s="15" t="s">
        <v>63</v>
      </c>
    </row>
    <row r="2" spans="1:5" x14ac:dyDescent="0.25">
      <c r="A2" s="14">
        <v>44592</v>
      </c>
      <c r="B2" s="14"/>
      <c r="C2" s="14"/>
      <c r="E2" s="14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7F77-FD6D-44FD-AAA6-BADCCD71CAFF}">
  <sheetPr>
    <tabColor rgb="FF92D050"/>
  </sheetPr>
  <dimension ref="A1:G3"/>
  <sheetViews>
    <sheetView zoomScaleNormal="100" workbookViewId="0">
      <selection activeCell="C2" sqref="C2"/>
    </sheetView>
  </sheetViews>
  <sheetFormatPr defaultColWidth="8.7109375" defaultRowHeight="15" x14ac:dyDescent="0.25"/>
  <cols>
    <col min="1" max="2" width="35" style="3" customWidth="1"/>
    <col min="3" max="3" width="18.140625" style="3" customWidth="1"/>
    <col min="4" max="4" width="17" style="3" customWidth="1"/>
    <col min="5" max="5" width="14.28515625" style="3" customWidth="1"/>
    <col min="6" max="6" width="8.7109375" style="3"/>
    <col min="8" max="16384" width="8.7109375" style="3"/>
  </cols>
  <sheetData>
    <row r="1" spans="1:6" x14ac:dyDescent="0.25">
      <c r="A1" s="13" t="s">
        <v>29</v>
      </c>
      <c r="B1" s="39" t="s">
        <v>42</v>
      </c>
      <c r="C1" s="62" t="s">
        <v>57</v>
      </c>
      <c r="D1" s="62" t="s">
        <v>40</v>
      </c>
      <c r="E1" s="62" t="s">
        <v>41</v>
      </c>
      <c r="F1" s="62" t="s">
        <v>39</v>
      </c>
    </row>
    <row r="2" spans="1:6" x14ac:dyDescent="0.25">
      <c r="A2" s="63" t="s">
        <v>82</v>
      </c>
      <c r="B2" s="63">
        <v>0</v>
      </c>
      <c r="C2" s="64">
        <v>44592</v>
      </c>
      <c r="D2" s="64">
        <v>44576</v>
      </c>
      <c r="E2" s="63" t="s">
        <v>94</v>
      </c>
      <c r="F2" s="3">
        <v>1900</v>
      </c>
    </row>
    <row r="3" spans="1:6" x14ac:dyDescent="0.25">
      <c r="A3" s="63" t="s">
        <v>72</v>
      </c>
      <c r="B3" s="63">
        <v>0</v>
      </c>
      <c r="C3" s="64"/>
      <c r="D3" s="64"/>
      <c r="E3" s="63"/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E943-5E07-4006-8EA3-807BC901ED10}">
  <sheetPr>
    <tabColor rgb="FF92D050"/>
  </sheetPr>
  <dimension ref="A1:O6"/>
  <sheetViews>
    <sheetView zoomScaleNormal="100" workbookViewId="0">
      <selection activeCell="D2" sqref="D2"/>
    </sheetView>
  </sheetViews>
  <sheetFormatPr defaultColWidth="8.7109375" defaultRowHeight="15" x14ac:dyDescent="0.25"/>
  <cols>
    <col min="1" max="1" width="8.7109375" style="3"/>
    <col min="2" max="2" width="25.140625" style="3" customWidth="1"/>
    <col min="3" max="4" width="14.7109375" style="3" customWidth="1"/>
    <col min="5" max="5" width="23.7109375" style="3" customWidth="1"/>
    <col min="6" max="6" width="12.5703125" style="3" bestFit="1" customWidth="1"/>
    <col min="7" max="7" width="10.28515625" style="3" bestFit="1" customWidth="1"/>
    <col min="8" max="8" width="12.42578125" style="3" bestFit="1" customWidth="1"/>
    <col min="9" max="9" width="11.140625" style="3" bestFit="1" customWidth="1"/>
    <col min="10" max="10" width="10.28515625" style="3" bestFit="1" customWidth="1"/>
    <col min="11" max="11" width="20.5703125" style="3" bestFit="1" customWidth="1"/>
    <col min="12" max="12" width="16.5703125" style="3" bestFit="1" customWidth="1"/>
    <col min="13" max="13" width="14.85546875" style="3" bestFit="1" customWidth="1"/>
    <col min="14" max="14" width="10.5703125" style="3" bestFit="1" customWidth="1"/>
    <col min="15" max="15" width="16.28515625" style="3" bestFit="1" customWidth="1"/>
    <col min="16" max="16384" width="8.7109375" style="3"/>
  </cols>
  <sheetData>
    <row r="1" spans="1:15" x14ac:dyDescent="0.25">
      <c r="A1" s="13" t="s">
        <v>43</v>
      </c>
      <c r="B1" s="13" t="s">
        <v>57</v>
      </c>
      <c r="C1" s="13" t="s">
        <v>44</v>
      </c>
      <c r="D1" s="13" t="s">
        <v>41</v>
      </c>
      <c r="E1" s="13" t="s">
        <v>45</v>
      </c>
      <c r="F1" s="27" t="s">
        <v>98</v>
      </c>
      <c r="G1" s="27" t="s">
        <v>99</v>
      </c>
      <c r="H1" s="27" t="s">
        <v>100</v>
      </c>
      <c r="I1" s="27" t="s">
        <v>101</v>
      </c>
      <c r="J1" s="27" t="s">
        <v>102</v>
      </c>
      <c r="K1" s="27" t="s">
        <v>103</v>
      </c>
      <c r="L1" s="27" t="s">
        <v>104</v>
      </c>
      <c r="M1" s="27" t="s">
        <v>105</v>
      </c>
      <c r="N1" s="27" t="s">
        <v>106</v>
      </c>
      <c r="O1" s="27" t="s">
        <v>156</v>
      </c>
    </row>
    <row r="2" spans="1:15" x14ac:dyDescent="0.25">
      <c r="A2" s="3" t="s">
        <v>46</v>
      </c>
      <c r="B2" s="14">
        <v>44561</v>
      </c>
      <c r="C2" s="14">
        <v>44561</v>
      </c>
      <c r="D2" s="3" t="s">
        <v>153</v>
      </c>
      <c r="E2" s="3">
        <v>0</v>
      </c>
      <c r="F2" s="14"/>
      <c r="G2" s="3" t="s">
        <v>154</v>
      </c>
      <c r="H2" s="3">
        <v>0</v>
      </c>
      <c r="I2" s="49"/>
      <c r="J2" s="49"/>
      <c r="K2" s="49"/>
      <c r="L2" s="14"/>
      <c r="M2" s="14"/>
      <c r="N2" s="14" t="s">
        <v>95</v>
      </c>
      <c r="O2" s="3" t="s">
        <v>149</v>
      </c>
    </row>
    <row r="3" spans="1:15" x14ac:dyDescent="0.25">
      <c r="A3" s="3" t="s">
        <v>46</v>
      </c>
      <c r="B3" s="14">
        <v>44592</v>
      </c>
      <c r="C3" s="14">
        <v>44592</v>
      </c>
      <c r="D3" s="3" t="s">
        <v>94</v>
      </c>
      <c r="E3" s="3">
        <v>1</v>
      </c>
      <c r="F3" s="14">
        <v>44576</v>
      </c>
      <c r="G3" s="3" t="s">
        <v>23</v>
      </c>
      <c r="H3" s="3">
        <v>1</v>
      </c>
      <c r="I3" s="49">
        <v>-200</v>
      </c>
      <c r="J3" s="49">
        <v>1</v>
      </c>
      <c r="K3" s="49">
        <f>I3*J3</f>
        <v>-200</v>
      </c>
      <c r="L3" s="14">
        <v>44576</v>
      </c>
      <c r="M3" s="14">
        <v>44576</v>
      </c>
      <c r="N3" s="14" t="s">
        <v>95</v>
      </c>
      <c r="O3" s="21" t="s">
        <v>131</v>
      </c>
    </row>
    <row r="4" spans="1:15" x14ac:dyDescent="0.25">
      <c r="A4" s="3" t="s">
        <v>46</v>
      </c>
      <c r="B4" s="14">
        <v>44592</v>
      </c>
      <c r="C4" s="14">
        <v>44592</v>
      </c>
      <c r="D4" s="3" t="s">
        <v>94</v>
      </c>
      <c r="E4" s="3">
        <v>2</v>
      </c>
      <c r="F4" s="14">
        <v>44576</v>
      </c>
      <c r="G4" s="3" t="s">
        <v>126</v>
      </c>
      <c r="H4" s="3">
        <v>2</v>
      </c>
      <c r="I4" s="49">
        <v>100</v>
      </c>
      <c r="J4" s="49">
        <v>12</v>
      </c>
      <c r="K4" s="49">
        <f>I4*J4</f>
        <v>1200</v>
      </c>
      <c r="L4" s="14">
        <v>44576</v>
      </c>
      <c r="M4" s="14">
        <v>44941</v>
      </c>
      <c r="N4" s="14" t="s">
        <v>95</v>
      </c>
      <c r="O4" s="21" t="s">
        <v>134</v>
      </c>
    </row>
    <row r="5" spans="1:15" x14ac:dyDescent="0.25">
      <c r="A5" s="3" t="s">
        <v>46</v>
      </c>
      <c r="B5" s="14">
        <v>44592</v>
      </c>
      <c r="C5" s="14">
        <v>44592</v>
      </c>
      <c r="D5" s="3" t="s">
        <v>94</v>
      </c>
      <c r="E5" s="3">
        <v>3</v>
      </c>
      <c r="F5" s="14">
        <v>44576</v>
      </c>
      <c r="G5" s="3" t="s">
        <v>146</v>
      </c>
      <c r="H5" s="3">
        <v>3</v>
      </c>
      <c r="I5" s="49">
        <v>300</v>
      </c>
      <c r="J5" s="49">
        <v>1</v>
      </c>
      <c r="K5" s="49">
        <f>I5*J5</f>
        <v>300</v>
      </c>
      <c r="L5" s="14">
        <v>44576</v>
      </c>
      <c r="M5" s="14">
        <v>44576</v>
      </c>
      <c r="N5" s="14" t="s">
        <v>95</v>
      </c>
      <c r="O5" s="21" t="s">
        <v>132</v>
      </c>
    </row>
    <row r="6" spans="1:15" x14ac:dyDescent="0.25">
      <c r="A6" s="3" t="s">
        <v>46</v>
      </c>
      <c r="B6" s="14">
        <v>44592</v>
      </c>
      <c r="C6" s="14">
        <v>44592</v>
      </c>
      <c r="D6" s="3" t="s">
        <v>94</v>
      </c>
      <c r="E6" s="3">
        <v>4</v>
      </c>
      <c r="F6" s="14">
        <v>44576</v>
      </c>
      <c r="G6" s="3" t="s">
        <v>159</v>
      </c>
      <c r="H6" s="3">
        <v>5</v>
      </c>
      <c r="I6" s="49">
        <v>50</v>
      </c>
      <c r="J6" s="49">
        <v>12</v>
      </c>
      <c r="K6" s="49">
        <f>I6*J6</f>
        <v>600</v>
      </c>
      <c r="L6" s="14">
        <v>44576</v>
      </c>
      <c r="M6" s="14">
        <v>44941</v>
      </c>
      <c r="N6" s="14" t="s">
        <v>95</v>
      </c>
      <c r="O6" s="21" t="s">
        <v>135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9D94-5154-48AB-9676-FB9E669D81DD}">
  <sheetPr>
    <tabColor rgb="FF92D050"/>
  </sheetPr>
  <dimension ref="A1:H9"/>
  <sheetViews>
    <sheetView zoomScaleNormal="100" workbookViewId="0">
      <selection activeCell="H2" sqref="H2:H7"/>
    </sheetView>
  </sheetViews>
  <sheetFormatPr defaultColWidth="8.7109375" defaultRowHeight="15" x14ac:dyDescent="0.25"/>
  <cols>
    <col min="1" max="2" width="31.28515625" style="3" customWidth="1"/>
    <col min="3" max="3" width="23.42578125" style="3" customWidth="1"/>
    <col min="4" max="4" width="14.28515625" style="3" customWidth="1"/>
    <col min="5" max="5" width="18.5703125" style="3" customWidth="1"/>
    <col min="6" max="6" width="26.28515625" style="3" customWidth="1"/>
    <col min="7" max="7" width="16.85546875" style="3" customWidth="1"/>
    <col min="8" max="8" width="23.28515625" style="3" customWidth="1"/>
    <col min="9" max="16384" width="8.7109375" style="3"/>
  </cols>
  <sheetData>
    <row r="1" spans="1:8" x14ac:dyDescent="0.25">
      <c r="A1" s="13" t="s">
        <v>47</v>
      </c>
      <c r="B1" s="13" t="s">
        <v>120</v>
      </c>
      <c r="C1" s="19" t="s">
        <v>57</v>
      </c>
      <c r="D1" s="19" t="s">
        <v>48</v>
      </c>
      <c r="E1" s="19" t="s">
        <v>49</v>
      </c>
      <c r="F1" s="19" t="s">
        <v>50</v>
      </c>
      <c r="G1" s="19" t="s">
        <v>51</v>
      </c>
      <c r="H1" s="19" t="s">
        <v>52</v>
      </c>
    </row>
    <row r="2" spans="1:8" x14ac:dyDescent="0.25">
      <c r="A2" s="3" t="s">
        <v>83</v>
      </c>
      <c r="B2" s="3">
        <v>0</v>
      </c>
    </row>
    <row r="3" spans="1:8" x14ac:dyDescent="0.25">
      <c r="A3" s="3" t="s">
        <v>84</v>
      </c>
      <c r="B3" s="3">
        <v>0</v>
      </c>
    </row>
    <row r="4" spans="1:8" x14ac:dyDescent="0.25">
      <c r="A4" s="3" t="s">
        <v>71</v>
      </c>
      <c r="B4" s="3">
        <v>0</v>
      </c>
    </row>
    <row r="5" spans="1:8" x14ac:dyDescent="0.25">
      <c r="A5" s="3" t="s">
        <v>70</v>
      </c>
      <c r="B5" s="3">
        <v>1</v>
      </c>
    </row>
    <row r="6" spans="1:8" x14ac:dyDescent="0.25">
      <c r="A6" s="3" t="s">
        <v>70</v>
      </c>
      <c r="B6" s="3">
        <v>2</v>
      </c>
    </row>
    <row r="7" spans="1:8" x14ac:dyDescent="0.25">
      <c r="A7" s="3" t="s">
        <v>70</v>
      </c>
      <c r="B7" s="3">
        <v>3</v>
      </c>
    </row>
    <row r="8" spans="1:8" x14ac:dyDescent="0.25">
      <c r="A8" s="3" t="s">
        <v>70</v>
      </c>
      <c r="B8" s="3">
        <v>4</v>
      </c>
    </row>
    <row r="9" spans="1:8" x14ac:dyDescent="0.25">
      <c r="A9" s="3" t="s">
        <v>70</v>
      </c>
      <c r="B9" s="3">
        <v>5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F81C-C18E-406B-B099-60B01F921F2F}">
  <sheetPr>
    <tabColor rgb="FFFFFF00"/>
  </sheetPr>
  <dimension ref="A1:G18"/>
  <sheetViews>
    <sheetView workbookViewId="0">
      <selection activeCell="F14" sqref="F14"/>
    </sheetView>
  </sheetViews>
  <sheetFormatPr defaultRowHeight="15" x14ac:dyDescent="0.25"/>
  <cols>
    <col min="1" max="1" width="9.5703125" bestFit="1" customWidth="1"/>
    <col min="2" max="2" width="25.5703125" bestFit="1" customWidth="1"/>
    <col min="3" max="3" width="26.140625" bestFit="1" customWidth="1"/>
    <col min="4" max="4" width="27.85546875" bestFit="1" customWidth="1"/>
    <col min="6" max="6" width="21.7109375" customWidth="1"/>
  </cols>
  <sheetData>
    <row r="1" spans="1:6" ht="21.75" thickBot="1" x14ac:dyDescent="0.4">
      <c r="A1" s="74" t="s">
        <v>139</v>
      </c>
      <c r="B1" s="75"/>
      <c r="C1" s="75"/>
      <c r="D1" s="75"/>
      <c r="E1" s="76"/>
    </row>
    <row r="2" spans="1:6" x14ac:dyDescent="0.25">
      <c r="A2" s="67" t="s">
        <v>127</v>
      </c>
      <c r="B2" s="67" t="s">
        <v>128</v>
      </c>
      <c r="C2" s="67" t="s">
        <v>129</v>
      </c>
      <c r="D2" s="67" t="s">
        <v>130</v>
      </c>
      <c r="E2" s="67" t="s">
        <v>39</v>
      </c>
    </row>
    <row r="3" spans="1:6" x14ac:dyDescent="0.25">
      <c r="A3" s="21">
        <v>1</v>
      </c>
      <c r="B3" s="21" t="s">
        <v>131</v>
      </c>
      <c r="C3" s="21" t="s">
        <v>142</v>
      </c>
      <c r="D3" s="21" t="s">
        <v>138</v>
      </c>
      <c r="E3" s="21">
        <v>0</v>
      </c>
    </row>
    <row r="4" spans="1:6" x14ac:dyDescent="0.25">
      <c r="A4" s="21">
        <v>2</v>
      </c>
      <c r="B4" s="21" t="s">
        <v>134</v>
      </c>
      <c r="C4" s="21" t="s">
        <v>136</v>
      </c>
      <c r="D4" s="21" t="s">
        <v>137</v>
      </c>
      <c r="E4" s="21"/>
    </row>
    <row r="5" spans="1:6" x14ac:dyDescent="0.25">
      <c r="A5" s="21">
        <v>3</v>
      </c>
      <c r="B5" s="21" t="s">
        <v>132</v>
      </c>
      <c r="C5" s="21" t="s">
        <v>136</v>
      </c>
      <c r="D5" s="21" t="s">
        <v>138</v>
      </c>
      <c r="E5" s="21"/>
    </row>
    <row r="6" spans="1:6" x14ac:dyDescent="0.25">
      <c r="A6" s="21">
        <v>4</v>
      </c>
      <c r="B6" s="21" t="s">
        <v>133</v>
      </c>
      <c r="C6" s="21" t="s">
        <v>136</v>
      </c>
      <c r="D6" s="21" t="s">
        <v>138</v>
      </c>
      <c r="E6" s="21"/>
    </row>
    <row r="7" spans="1:6" x14ac:dyDescent="0.25">
      <c r="A7" s="21">
        <v>5</v>
      </c>
      <c r="B7" s="21" t="s">
        <v>135</v>
      </c>
      <c r="C7" s="21" t="s">
        <v>136</v>
      </c>
      <c r="D7" s="21" t="s">
        <v>137</v>
      </c>
      <c r="E7" s="21"/>
    </row>
    <row r="8" spans="1:6" x14ac:dyDescent="0.25">
      <c r="A8" s="73">
        <v>0</v>
      </c>
      <c r="B8" s="73" t="s">
        <v>149</v>
      </c>
      <c r="C8" s="21"/>
      <c r="D8" s="21"/>
      <c r="E8" s="21"/>
    </row>
    <row r="10" spans="1:6" ht="15.75" thickBot="1" x14ac:dyDescent="0.3"/>
    <row r="11" spans="1:6" ht="21.75" thickBot="1" x14ac:dyDescent="0.4">
      <c r="A11" s="74" t="s">
        <v>140</v>
      </c>
      <c r="B11" s="75"/>
      <c r="C11" s="77"/>
      <c r="D11" s="77"/>
      <c r="E11" s="77"/>
      <c r="F11" s="78"/>
    </row>
    <row r="12" spans="1:6" x14ac:dyDescent="0.25">
      <c r="A12" s="67" t="s">
        <v>127</v>
      </c>
      <c r="B12" s="67" t="s">
        <v>128</v>
      </c>
      <c r="C12" s="66" t="s">
        <v>141</v>
      </c>
      <c r="D12" s="66" t="s">
        <v>143</v>
      </c>
      <c r="E12" s="66" t="s">
        <v>144</v>
      </c>
      <c r="F12" s="66" t="s">
        <v>145</v>
      </c>
    </row>
    <row r="13" spans="1:6" x14ac:dyDescent="0.25">
      <c r="A13" s="21">
        <f>IF(i_InstrumentAttribute!H3="","",i_InstrumentAttribute!H3)</f>
        <v>1</v>
      </c>
      <c r="B13" s="21" t="str">
        <f>IFERROR(VLOOKUP(A13,A3:$B$7,2,FALSE),"")</f>
        <v>Discount</v>
      </c>
      <c r="C13" s="68">
        <f>IF(i_InstrumentAttribute!I3="","",i_InstrumentAttribute!J3*i_InstrumentAttribute!I3)</f>
        <v>-200</v>
      </c>
      <c r="D13" s="68">
        <f>IFERROR(IF(VLOOKUP(B13,$B$3:$C$7,2,FALSE)="USE SALES PRICE",C13,VLOOKUP(B13,$B$3:$E$7,4,FALSE)),"")</f>
        <v>0</v>
      </c>
      <c r="E13" s="68">
        <f>IFERROR(D13/$D$18,"")</f>
        <v>0</v>
      </c>
      <c r="F13" s="68">
        <f>IFERROR(E13*$C$18,"")</f>
        <v>0</v>
      </c>
    </row>
    <row r="14" spans="1:6" x14ac:dyDescent="0.25">
      <c r="A14" s="21">
        <f>IF(i_InstrumentAttribute!H4="","",i_InstrumentAttribute!H4)</f>
        <v>2</v>
      </c>
      <c r="B14" s="21" t="str">
        <f>IFERROR(VLOOKUP(A14,A4:$B$7,2,FALSE),"")</f>
        <v>SaaS Basic Subscription</v>
      </c>
      <c r="C14" s="68">
        <f>IF(i_InstrumentAttribute!I4="","",i_InstrumentAttribute!J4*i_InstrumentAttribute!I4)</f>
        <v>1200</v>
      </c>
      <c r="D14" s="68">
        <f t="shared" ref="D14:D17" si="0">IFERROR(IF(VLOOKUP(B14,$B$3:$C$7,2,FALSE)="USE SALES PRICE",C14,VLOOKUP(B14,$B$3:$E$7,4,FALSE)),"")</f>
        <v>1200</v>
      </c>
      <c r="E14" s="68">
        <f t="shared" ref="E14:E17" si="1">IFERROR(D14/$D$18,"")</f>
        <v>0.5714285714285714</v>
      </c>
      <c r="F14" s="68">
        <f t="shared" ref="F14:F17" si="2">IFERROR(E14*$C$18,"")</f>
        <v>1085.7142857142856</v>
      </c>
    </row>
    <row r="15" spans="1:6" x14ac:dyDescent="0.25">
      <c r="A15" s="21">
        <f>IF(i_InstrumentAttribute!H5="","",i_InstrumentAttribute!H5)</f>
        <v>3</v>
      </c>
      <c r="B15" s="21" t="str">
        <f>IFERROR(VLOOKUP(A15,A5:$B$7,2,FALSE),"")</f>
        <v>SaaS Implementation</v>
      </c>
      <c r="C15" s="68">
        <f>IF(i_InstrumentAttribute!I5="","",i_InstrumentAttribute!J5*i_InstrumentAttribute!I5)</f>
        <v>300</v>
      </c>
      <c r="D15" s="68">
        <f t="shared" si="0"/>
        <v>300</v>
      </c>
      <c r="E15" s="68">
        <f t="shared" si="1"/>
        <v>0.14285714285714285</v>
      </c>
      <c r="F15" s="68">
        <f t="shared" si="2"/>
        <v>271.42857142857139</v>
      </c>
    </row>
    <row r="16" spans="1:6" x14ac:dyDescent="0.25">
      <c r="A16" s="21">
        <f>IF(i_InstrumentAttribute!H6="","",i_InstrumentAttribute!H6)</f>
        <v>5</v>
      </c>
      <c r="B16" s="21" t="str">
        <f>IFERROR(VLOOKUP(A16,A6:$B$7,2,FALSE),"")</f>
        <v>SaaS Premium Subscription</v>
      </c>
      <c r="C16" s="68">
        <f>IF(i_InstrumentAttribute!I6="","",i_InstrumentAttribute!J6*i_InstrumentAttribute!I6)</f>
        <v>600</v>
      </c>
      <c r="D16" s="68">
        <f t="shared" si="0"/>
        <v>600</v>
      </c>
      <c r="E16" s="68">
        <f t="shared" si="1"/>
        <v>0.2857142857142857</v>
      </c>
      <c r="F16" s="68">
        <f t="shared" si="2"/>
        <v>542.85714285714278</v>
      </c>
    </row>
    <row r="17" spans="1:7" x14ac:dyDescent="0.25">
      <c r="A17" s="21" t="str">
        <f>IF(i_InstrumentAttribute!H7="","",i_InstrumentAttribute!H7)</f>
        <v/>
      </c>
      <c r="B17" s="21" t="str">
        <f>IFERROR(VLOOKUP(A17,A7:$B$7,2,FALSE),"")</f>
        <v/>
      </c>
      <c r="C17" s="68" t="str">
        <f>IF(i_InstrumentAttribute!I7="","",i_InstrumentAttribute!J7*i_InstrumentAttribute!I7)</f>
        <v/>
      </c>
      <c r="D17" s="68" t="str">
        <f t="shared" si="0"/>
        <v/>
      </c>
      <c r="E17" s="68" t="str">
        <f t="shared" si="1"/>
        <v/>
      </c>
      <c r="F17" s="68" t="str">
        <f t="shared" si="2"/>
        <v/>
      </c>
    </row>
    <row r="18" spans="1:7" x14ac:dyDescent="0.25">
      <c r="A18" s="79" t="s">
        <v>147</v>
      </c>
      <c r="B18" s="79"/>
      <c r="C18" s="69">
        <f>SUM(C13:C17)</f>
        <v>1900</v>
      </c>
      <c r="D18" s="69">
        <f>SUM(D13:D17)</f>
        <v>2100</v>
      </c>
      <c r="E18" s="69">
        <f>SUM(E13:E17)</f>
        <v>0.99999999999999989</v>
      </c>
      <c r="F18" s="69">
        <f>SUM(F13:F17)</f>
        <v>1899.9999999999995</v>
      </c>
      <c r="G18" s="35" t="b">
        <f>F18=C18</f>
        <v>1</v>
      </c>
    </row>
  </sheetData>
  <mergeCells count="3">
    <mergeCell ref="A1:E1"/>
    <mergeCell ref="A11:F11"/>
    <mergeCell ref="A18:B18"/>
  </mergeCells>
  <conditionalFormatting sqref="G18">
    <cfRule type="cellIs" dxfId="1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C0AD-7DAD-4173-9FB3-B369D818366C}">
  <sheetPr>
    <tabColor rgb="FFFFFF00"/>
  </sheetPr>
  <dimension ref="A1:DD72"/>
  <sheetViews>
    <sheetView tabSelected="1" zoomScale="96" workbookViewId="0">
      <selection activeCell="I18" sqref="I18"/>
    </sheetView>
  </sheetViews>
  <sheetFormatPr defaultRowHeight="15" x14ac:dyDescent="0.25"/>
  <cols>
    <col min="1" max="1" width="11.7109375" bestFit="1" customWidth="1"/>
    <col min="2" max="2" width="15.7109375" bestFit="1" customWidth="1"/>
    <col min="3" max="3" width="18.5703125" bestFit="1" customWidth="1"/>
    <col min="4" max="4" width="15.5703125" bestFit="1" customWidth="1"/>
    <col min="5" max="5" width="9.85546875" bestFit="1" customWidth="1"/>
    <col min="6" max="6" width="17.5703125" bestFit="1" customWidth="1"/>
    <col min="7" max="7" width="16.140625" bestFit="1" customWidth="1"/>
    <col min="8" max="8" width="13" bestFit="1" customWidth="1"/>
    <col min="9" max="9" width="28.5703125" customWidth="1"/>
    <col min="10" max="10" width="9.85546875" bestFit="1" customWidth="1"/>
    <col min="11" max="11" width="22.5703125" customWidth="1"/>
    <col min="12" max="12" width="29.85546875" customWidth="1"/>
    <col min="13" max="13" width="10.7109375" bestFit="1" customWidth="1"/>
    <col min="14" max="14" width="9.7109375" bestFit="1" customWidth="1"/>
    <col min="15" max="26" width="3" bestFit="1" customWidth="1"/>
    <col min="27" max="27" width="4.85546875" customWidth="1"/>
    <col min="28" max="28" width="23.140625" bestFit="1" customWidth="1"/>
    <col min="29" max="37" width="9.7109375" bestFit="1" customWidth="1"/>
    <col min="38" max="40" width="10.7109375" bestFit="1" customWidth="1"/>
    <col min="41" max="41" width="9.7109375" bestFit="1" customWidth="1"/>
    <col min="42" max="53" width="3" bestFit="1" customWidth="1"/>
    <col min="55" max="55" width="23.140625" bestFit="1" customWidth="1"/>
    <col min="56" max="56" width="16.140625" customWidth="1"/>
    <col min="57" max="80" width="3" bestFit="1" customWidth="1"/>
    <col min="82" max="82" width="13" bestFit="1" customWidth="1"/>
    <col min="83" max="95" width="12" bestFit="1" customWidth="1"/>
    <col min="96" max="107" width="3" bestFit="1" customWidth="1"/>
  </cols>
  <sheetData>
    <row r="1" spans="1:108" ht="21.75" thickBot="1" x14ac:dyDescent="0.4">
      <c r="A1" s="83" t="s">
        <v>109</v>
      </c>
      <c r="B1" s="84"/>
      <c r="C1" s="84"/>
      <c r="D1" s="84"/>
      <c r="E1" s="84"/>
      <c r="F1" s="84"/>
      <c r="G1" s="84"/>
      <c r="H1" s="84"/>
      <c r="I1" s="85"/>
      <c r="J1" s="75" t="s">
        <v>121</v>
      </c>
      <c r="K1" s="76"/>
      <c r="L1" s="58" t="s">
        <v>122</v>
      </c>
      <c r="AA1" s="81"/>
      <c r="BB1" s="81"/>
      <c r="CC1" s="81"/>
      <c r="DD1" s="81"/>
    </row>
    <row r="2" spans="1:108" x14ac:dyDescent="0.25">
      <c r="A2" s="25" t="s">
        <v>110</v>
      </c>
      <c r="B2" s="25" t="s">
        <v>111</v>
      </c>
      <c r="C2" s="25" t="s">
        <v>107</v>
      </c>
      <c r="D2" s="25" t="s">
        <v>108</v>
      </c>
      <c r="E2" s="25" t="s">
        <v>89</v>
      </c>
      <c r="F2" s="25" t="s">
        <v>112</v>
      </c>
      <c r="G2" s="25" t="s">
        <v>113</v>
      </c>
      <c r="H2" s="25" t="s">
        <v>53</v>
      </c>
      <c r="I2" s="25" t="s">
        <v>148</v>
      </c>
      <c r="J2" s="57" t="s">
        <v>112</v>
      </c>
      <c r="K2" s="57" t="s">
        <v>70</v>
      </c>
      <c r="L2" s="61"/>
      <c r="AA2" s="81"/>
      <c r="BB2" s="81"/>
      <c r="CC2" s="81"/>
      <c r="DD2" s="81"/>
    </row>
    <row r="3" spans="1:108" x14ac:dyDescent="0.25">
      <c r="A3" s="21">
        <f>IF(i_InstrumentAttribute!H3="","",i_InstrumentAttribute!H3)</f>
        <v>1</v>
      </c>
      <c r="B3" s="21">
        <f>IF($A3="","",i_InstrumentAttribute!E3)</f>
        <v>1</v>
      </c>
      <c r="C3" s="51">
        <f>IF($A3="","",ProductCatalog_Allocation_Calc!F13)</f>
        <v>0</v>
      </c>
      <c r="D3" s="30">
        <f>IF($A3="","",i_InstrumentAttribute!L3)</f>
        <v>44576</v>
      </c>
      <c r="E3" s="30">
        <f>IF($A3="","",i_InstrumentAttribute!M3)</f>
        <v>44576</v>
      </c>
      <c r="F3" s="21">
        <f>IF($A3="","",IF(E3-D3=0,0,E3-D3))</f>
        <v>0</v>
      </c>
      <c r="G3" s="68">
        <f>IFERROR(IF($A3="","",C3/F3),C3)</f>
        <v>0</v>
      </c>
      <c r="H3" s="21" t="str">
        <f>IF($A3="","",i_InstrumentAttribute!D3)</f>
        <v>SO1</v>
      </c>
      <c r="I3" s="21" t="str">
        <f>IF($A3="","",VLOOKUP(A3,ProductCatalog_Allocation_Calc!$A$3:$D$7,4,FALSE))</f>
        <v>POINT_IN_TIME</v>
      </c>
      <c r="J3" s="56" t="str">
        <f>IF(A3="","",IF(SUM(BD11:CB11)-$F3=0,"Pass","Fail"))</f>
        <v>Pass</v>
      </c>
      <c r="K3" s="56" t="str">
        <f>IF(A3="","",IF(ROUND(SUM(CE11:DC11),4)-$C3=0,"Pass","Fail"))</f>
        <v>Pass</v>
      </c>
      <c r="L3" s="60">
        <f>i_ExecutionDate!A2</f>
        <v>44592</v>
      </c>
      <c r="AA3" s="81"/>
      <c r="BB3" s="81"/>
      <c r="CC3" s="81"/>
      <c r="DD3" s="81"/>
    </row>
    <row r="4" spans="1:108" x14ac:dyDescent="0.25">
      <c r="A4" s="21">
        <f>IF(i_InstrumentAttribute!H4="","",i_InstrumentAttribute!H4)</f>
        <v>2</v>
      </c>
      <c r="B4" s="21">
        <f>IF($A4="","",i_InstrumentAttribute!E4)</f>
        <v>2</v>
      </c>
      <c r="C4" s="51">
        <f>IF($A4="","",ProductCatalog_Allocation_Calc!F14)</f>
        <v>1085.7142857142856</v>
      </c>
      <c r="D4" s="30">
        <f>IF($A4="","",i_InstrumentAttribute!L4)</f>
        <v>44576</v>
      </c>
      <c r="E4" s="30">
        <f>IF($A4="","",i_InstrumentAttribute!M4)</f>
        <v>44941</v>
      </c>
      <c r="F4" s="21">
        <f>IF($A4="","",IF(E4-D4=0,0,E4-D4))</f>
        <v>365</v>
      </c>
      <c r="G4" s="68">
        <f>IFERROR(IF($A4="","",C4/F4),C4)</f>
        <v>2.9745596868884534</v>
      </c>
      <c r="H4" s="21" t="str">
        <f>IF($A4="","",i_InstrumentAttribute!D4)</f>
        <v>SO1</v>
      </c>
      <c r="I4" s="21" t="str">
        <f>IF($A4="","",VLOOKUP(A4,ProductCatalog_Allocation_Calc!$A$3:$D$7,4,FALSE))</f>
        <v>RATABLE</v>
      </c>
      <c r="J4" s="56" t="str">
        <f>IF(A4="","",IF(SUM(BD12:CB12)-$F4=0,"Pass","Fail"))</f>
        <v>Pass</v>
      </c>
      <c r="K4" s="56" t="str">
        <f>IF(A4="","",IF(ROUND(SUM(CE12:DC12),4)-$C4=0,"Pass","Fail"))</f>
        <v>Fail</v>
      </c>
      <c r="L4" s="21"/>
      <c r="AA4" s="81"/>
      <c r="BB4" s="81"/>
      <c r="CC4" s="81"/>
      <c r="DD4" s="81"/>
    </row>
    <row r="5" spans="1:108" x14ac:dyDescent="0.25">
      <c r="A5" s="21">
        <f>IF(i_InstrumentAttribute!H5="","",i_InstrumentAttribute!H5)</f>
        <v>3</v>
      </c>
      <c r="B5" s="21">
        <f>IF($A5="","",i_InstrumentAttribute!E5)</f>
        <v>3</v>
      </c>
      <c r="C5" s="51">
        <f>IF($A5="","",ProductCatalog_Allocation_Calc!F15)</f>
        <v>271.42857142857139</v>
      </c>
      <c r="D5" s="30">
        <f>IF($A5="","",i_InstrumentAttribute!L5)</f>
        <v>44576</v>
      </c>
      <c r="E5" s="30">
        <f>IF($A5="","",i_InstrumentAttribute!M5)</f>
        <v>44576</v>
      </c>
      <c r="F5" s="21">
        <f>IF($A5="","",IF(E5-D5=0,0,E5-D5))</f>
        <v>0</v>
      </c>
      <c r="G5" s="68">
        <f>IFERROR(IF($A5="","",C5/F5),C5)</f>
        <v>271.42857142857139</v>
      </c>
      <c r="H5" s="21" t="str">
        <f>IF($A5="","",i_InstrumentAttribute!D5)</f>
        <v>SO1</v>
      </c>
      <c r="I5" s="21" t="str">
        <f>IF($A5="","",VLOOKUP(A5,ProductCatalog_Allocation_Calc!$A$3:$D$7,4,FALSE))</f>
        <v>POINT_IN_TIME</v>
      </c>
      <c r="J5" s="56" t="str">
        <f>IF(A5="","",IF(SUM(BD13:CB13)-$F5=0,"Pass","Fail"))</f>
        <v>Pass</v>
      </c>
      <c r="K5" s="56" t="str">
        <f>IF(A5="","",IF(ROUND(SUM(CE13:DC13),4)-$C5=0,"Pass","Fail"))</f>
        <v>Fail</v>
      </c>
      <c r="L5" s="21"/>
      <c r="AA5" s="81"/>
      <c r="BB5" s="81"/>
      <c r="CC5" s="81"/>
      <c r="DD5" s="81"/>
    </row>
    <row r="6" spans="1:108" x14ac:dyDescent="0.25">
      <c r="A6" s="21">
        <f>IF(i_InstrumentAttribute!H6="","",i_InstrumentAttribute!H6)</f>
        <v>5</v>
      </c>
      <c r="B6" s="21">
        <f>IF($A6="","",i_InstrumentAttribute!E6)</f>
        <v>4</v>
      </c>
      <c r="C6" s="51">
        <f>IF($A6="","",ProductCatalog_Allocation_Calc!F16)</f>
        <v>542.85714285714278</v>
      </c>
      <c r="D6" s="30">
        <f>IF($A6="","",i_InstrumentAttribute!L6)</f>
        <v>44576</v>
      </c>
      <c r="E6" s="30">
        <f>IF($A6="","",i_InstrumentAttribute!M6)</f>
        <v>44941</v>
      </c>
      <c r="F6" s="21">
        <f>IF($A6="","",IF(E6-D6=0,0,E6-D6))</f>
        <v>365</v>
      </c>
      <c r="G6" s="68">
        <f>IFERROR(IF($A6="","",C6/F6),C6)</f>
        <v>1.4872798434442267</v>
      </c>
      <c r="H6" s="21" t="str">
        <f>IF($A6="","",i_InstrumentAttribute!D6)</f>
        <v>SO1</v>
      </c>
      <c r="I6" s="21" t="str">
        <f>IF($A6="","",VLOOKUP(A6,ProductCatalog_Allocation_Calc!$A$3:$D$7,4,FALSE))</f>
        <v>RATABLE</v>
      </c>
      <c r="J6" s="56" t="str">
        <f>IF(A6="","",IF(SUM(BD14:CB14)-$F6=0,"Pass","Fail"))</f>
        <v>Pass</v>
      </c>
      <c r="K6" s="56" t="str">
        <f>IF(A6="","",IF(ROUND(SUM(CE14:DC14),4)-$C6=0,"Pass","Fail"))</f>
        <v>Fail</v>
      </c>
      <c r="L6" s="21"/>
      <c r="AA6" s="81"/>
      <c r="BB6" s="81"/>
      <c r="CC6" s="81"/>
      <c r="DD6" s="81"/>
    </row>
    <row r="7" spans="1:108" x14ac:dyDescent="0.25">
      <c r="A7" s="21" t="str">
        <f>IF(i_InstrumentAttribute!H7="","",i_InstrumentAttribute!H7)</f>
        <v/>
      </c>
      <c r="B7" s="21" t="str">
        <f>IF($A7="","",i_InstrumentAttribute!E7)</f>
        <v/>
      </c>
      <c r="C7" s="51" t="str">
        <f>IF($A7="","",ProductCatalog_Allocation_Calc!F17)</f>
        <v/>
      </c>
      <c r="D7" s="30" t="str">
        <f>IF($A7="","",i_InstrumentAttribute!L7)</f>
        <v/>
      </c>
      <c r="E7" s="30" t="str">
        <f>IF($A7="","",i_InstrumentAttribute!M7)</f>
        <v/>
      </c>
      <c r="F7" s="21" t="str">
        <f>IF($A7="","",IF(E7-D7=0,0,E7-D7))</f>
        <v/>
      </c>
      <c r="G7" s="68" t="str">
        <f>IFERROR(IF($A7="","",C7/F7),C7)</f>
        <v/>
      </c>
      <c r="H7" s="21" t="str">
        <f>IF($A7="","",i_InstrumentAttribute!D7)</f>
        <v/>
      </c>
      <c r="I7" s="21" t="str">
        <f>IF($A7="","",VLOOKUP(A7,ProductCatalog_Allocation_Calc!$A$3:$D$7,4,FALSE))</f>
        <v/>
      </c>
      <c r="J7" s="56" t="str">
        <f>IF(A7="","",IF(SUM(BD15:CB15)-$F7=0,"Pass","Fail"))</f>
        <v/>
      </c>
      <c r="K7" s="56" t="str">
        <f>IF(A7="","",IF(ROUND(SUM(CE15:DC15),4)-$C7=0,"Pass","Fail"))</f>
        <v/>
      </c>
      <c r="L7" s="21"/>
      <c r="AA7" s="81"/>
      <c r="BB7" s="81"/>
      <c r="CC7" s="81"/>
      <c r="DD7" s="81"/>
    </row>
    <row r="8" spans="1:108" ht="15.75" thickBot="1" x14ac:dyDescent="0.3">
      <c r="A8" s="43"/>
      <c r="B8" s="43"/>
      <c r="C8" s="43"/>
      <c r="D8" s="43"/>
      <c r="E8" s="43"/>
      <c r="F8" s="43"/>
      <c r="G8" s="43"/>
      <c r="H8" s="43"/>
      <c r="AA8" s="81"/>
      <c r="BB8" s="81"/>
      <c r="CC8" s="81"/>
      <c r="DD8" s="81"/>
    </row>
    <row r="9" spans="1:108" ht="21.75" thickBot="1" x14ac:dyDescent="0.4">
      <c r="A9" s="58" t="s">
        <v>119</v>
      </c>
      <c r="B9" s="11"/>
      <c r="AA9" s="81"/>
      <c r="AB9" s="59" t="s">
        <v>123</v>
      </c>
      <c r="BB9" s="81"/>
      <c r="BC9" s="58" t="s">
        <v>124</v>
      </c>
      <c r="CC9" s="81"/>
      <c r="CD9" s="58" t="s">
        <v>125</v>
      </c>
      <c r="DD9" s="81"/>
    </row>
    <row r="10" spans="1:108" x14ac:dyDescent="0.25">
      <c r="A10" s="40" t="s">
        <v>45</v>
      </c>
      <c r="B10" s="40">
        <v>0</v>
      </c>
      <c r="C10" s="40">
        <v>1</v>
      </c>
      <c r="D10" s="40">
        <v>2</v>
      </c>
      <c r="E10" s="40">
        <v>3</v>
      </c>
      <c r="F10" s="40">
        <v>4</v>
      </c>
      <c r="G10" s="40">
        <v>5</v>
      </c>
      <c r="H10" s="40">
        <v>6</v>
      </c>
      <c r="I10" s="40">
        <v>7</v>
      </c>
      <c r="J10" s="40">
        <v>8</v>
      </c>
      <c r="K10" s="40">
        <v>9</v>
      </c>
      <c r="L10" s="40">
        <v>10</v>
      </c>
      <c r="M10" s="40">
        <v>11</v>
      </c>
      <c r="N10" s="40">
        <v>12</v>
      </c>
      <c r="O10" s="40">
        <v>13</v>
      </c>
      <c r="P10" s="40">
        <v>14</v>
      </c>
      <c r="Q10" s="40">
        <v>15</v>
      </c>
      <c r="R10" s="40">
        <v>16</v>
      </c>
      <c r="S10" s="40">
        <v>17</v>
      </c>
      <c r="T10" s="40">
        <v>18</v>
      </c>
      <c r="U10" s="40">
        <v>19</v>
      </c>
      <c r="V10" s="40">
        <v>20</v>
      </c>
      <c r="W10" s="40">
        <v>21</v>
      </c>
      <c r="X10" s="40">
        <v>22</v>
      </c>
      <c r="Y10" s="40">
        <v>23</v>
      </c>
      <c r="Z10" s="40">
        <v>24</v>
      </c>
      <c r="AA10" s="81"/>
      <c r="AB10" s="40" t="s">
        <v>118</v>
      </c>
      <c r="AC10" s="40">
        <v>0</v>
      </c>
      <c r="AD10" s="40">
        <v>1</v>
      </c>
      <c r="AE10" s="40">
        <v>2</v>
      </c>
      <c r="AF10" s="40">
        <v>3</v>
      </c>
      <c r="AG10" s="40">
        <v>4</v>
      </c>
      <c r="AH10" s="40">
        <v>5</v>
      </c>
      <c r="AI10" s="40">
        <v>6</v>
      </c>
      <c r="AJ10" s="40">
        <v>7</v>
      </c>
      <c r="AK10" s="40">
        <v>8</v>
      </c>
      <c r="AL10" s="40">
        <v>9</v>
      </c>
      <c r="AM10" s="40">
        <v>10</v>
      </c>
      <c r="AN10" s="40">
        <v>11</v>
      </c>
      <c r="AO10" s="40">
        <v>12</v>
      </c>
      <c r="AP10" s="40">
        <v>13</v>
      </c>
      <c r="AQ10" s="40">
        <v>14</v>
      </c>
      <c r="AR10" s="40">
        <v>15</v>
      </c>
      <c r="AS10" s="40">
        <v>16</v>
      </c>
      <c r="AT10" s="40">
        <v>17</v>
      </c>
      <c r="AU10" s="40">
        <v>18</v>
      </c>
      <c r="AV10" s="40">
        <v>19</v>
      </c>
      <c r="AW10" s="40">
        <v>20</v>
      </c>
      <c r="AX10" s="40">
        <v>21</v>
      </c>
      <c r="AY10" s="40">
        <v>22</v>
      </c>
      <c r="AZ10" s="40">
        <v>23</v>
      </c>
      <c r="BA10" s="40">
        <v>24</v>
      </c>
      <c r="BB10" s="81"/>
      <c r="BC10" s="40" t="s">
        <v>118</v>
      </c>
      <c r="BD10" s="40">
        <v>0</v>
      </c>
      <c r="BE10" s="40">
        <v>1</v>
      </c>
      <c r="BF10" s="40">
        <v>2</v>
      </c>
      <c r="BG10" s="40">
        <v>3</v>
      </c>
      <c r="BH10" s="40">
        <v>4</v>
      </c>
      <c r="BI10" s="40">
        <v>5</v>
      </c>
      <c r="BJ10" s="40">
        <v>6</v>
      </c>
      <c r="BK10" s="40">
        <v>7</v>
      </c>
      <c r="BL10" s="40">
        <v>8</v>
      </c>
      <c r="BM10" s="40">
        <v>9</v>
      </c>
      <c r="BN10" s="40">
        <v>10</v>
      </c>
      <c r="BO10" s="40">
        <v>11</v>
      </c>
      <c r="BP10" s="40">
        <v>12</v>
      </c>
      <c r="BQ10" s="40">
        <v>13</v>
      </c>
      <c r="BR10" s="40">
        <v>14</v>
      </c>
      <c r="BS10" s="40">
        <v>15</v>
      </c>
      <c r="BT10" s="40">
        <v>16</v>
      </c>
      <c r="BU10" s="40">
        <v>17</v>
      </c>
      <c r="BV10" s="40">
        <v>18</v>
      </c>
      <c r="BW10" s="40">
        <v>19</v>
      </c>
      <c r="BX10" s="40">
        <v>20</v>
      </c>
      <c r="BY10" s="40">
        <v>21</v>
      </c>
      <c r="BZ10" s="40">
        <v>22</v>
      </c>
      <c r="CA10" s="40">
        <v>23</v>
      </c>
      <c r="CB10" s="40">
        <v>24</v>
      </c>
      <c r="CC10" s="81"/>
      <c r="CD10" s="40" t="s">
        <v>118</v>
      </c>
      <c r="CE10" s="40">
        <v>0</v>
      </c>
      <c r="CF10" s="40">
        <v>1</v>
      </c>
      <c r="CG10" s="40">
        <v>2</v>
      </c>
      <c r="CH10" s="40">
        <v>3</v>
      </c>
      <c r="CI10" s="40">
        <v>4</v>
      </c>
      <c r="CJ10" s="40">
        <v>5</v>
      </c>
      <c r="CK10" s="40">
        <v>6</v>
      </c>
      <c r="CL10" s="40">
        <v>7</v>
      </c>
      <c r="CM10" s="40">
        <v>8</v>
      </c>
      <c r="CN10" s="40">
        <v>9</v>
      </c>
      <c r="CO10" s="40">
        <v>10</v>
      </c>
      <c r="CP10" s="40">
        <v>11</v>
      </c>
      <c r="CQ10" s="40">
        <v>12</v>
      </c>
      <c r="CR10" s="40">
        <v>13</v>
      </c>
      <c r="CS10" s="40">
        <v>14</v>
      </c>
      <c r="CT10" s="40">
        <v>15</v>
      </c>
      <c r="CU10" s="40">
        <v>16</v>
      </c>
      <c r="CV10" s="40">
        <v>17</v>
      </c>
      <c r="CW10" s="40">
        <v>18</v>
      </c>
      <c r="CX10" s="40">
        <v>19</v>
      </c>
      <c r="CY10" s="40">
        <v>20</v>
      </c>
      <c r="CZ10" s="40">
        <v>21</v>
      </c>
      <c r="DA10" s="40">
        <v>22</v>
      </c>
      <c r="DB10" s="40">
        <v>23</v>
      </c>
      <c r="DC10" s="40">
        <v>24</v>
      </c>
      <c r="DD10" s="81"/>
    </row>
    <row r="11" spans="1:108" x14ac:dyDescent="0.25">
      <c r="A11" s="21">
        <f>IF($B3="","",$B3)</f>
        <v>1</v>
      </c>
      <c r="B11" s="55">
        <f>IF(A11="","",IF(EOMONTH($D3,B$10)=EOMONTH($E3,0),$E3,IF(EOMONTH($D3,B$10)&gt;EOMONTH($E3,0),"",EOMONTH($D3,B$10))))</f>
        <v>44576</v>
      </c>
      <c r="C11" s="55" t="str">
        <f>IFERROR(IF(EOMONTH($D3,C$10)=EOMONTH($E3,0),$E3,IF(EOMONTH($D3,C$10)&gt;EOMONTH($E3,0),"",EOMONTH($D3,C$10))),"")</f>
        <v/>
      </c>
      <c r="D11" s="55" t="str">
        <f t="shared" ref="D11:Z15" si="0">IFERROR(IF(EOMONTH($D3,D$10)=EOMONTH($E3,0),$E3,IF(EOMONTH($D3,D$10)&gt;EOMONTH($E3,0),"",EOMONTH($D3,D$10))),"")</f>
        <v/>
      </c>
      <c r="E11" s="55" t="str">
        <f t="shared" si="0"/>
        <v/>
      </c>
      <c r="F11" s="55" t="str">
        <f t="shared" si="0"/>
        <v/>
      </c>
      <c r="G11" s="55" t="str">
        <f t="shared" si="0"/>
        <v/>
      </c>
      <c r="H11" s="55" t="str">
        <f t="shared" si="0"/>
        <v/>
      </c>
      <c r="I11" s="55" t="str">
        <f t="shared" si="0"/>
        <v/>
      </c>
      <c r="J11" s="55" t="str">
        <f t="shared" si="0"/>
        <v/>
      </c>
      <c r="K11" s="55" t="str">
        <f t="shared" si="0"/>
        <v/>
      </c>
      <c r="L11" s="55" t="str">
        <f t="shared" si="0"/>
        <v/>
      </c>
      <c r="M11" s="55" t="str">
        <f t="shared" si="0"/>
        <v/>
      </c>
      <c r="N11" s="55" t="str">
        <f t="shared" si="0"/>
        <v/>
      </c>
      <c r="O11" s="55" t="str">
        <f t="shared" si="0"/>
        <v/>
      </c>
      <c r="P11" s="55" t="str">
        <f t="shared" si="0"/>
        <v/>
      </c>
      <c r="Q11" s="55" t="str">
        <f t="shared" si="0"/>
        <v/>
      </c>
      <c r="R11" s="55" t="str">
        <f t="shared" si="0"/>
        <v/>
      </c>
      <c r="S11" s="55" t="str">
        <f t="shared" si="0"/>
        <v/>
      </c>
      <c r="T11" s="55" t="str">
        <f t="shared" si="0"/>
        <v/>
      </c>
      <c r="U11" s="55" t="str">
        <f t="shared" si="0"/>
        <v/>
      </c>
      <c r="V11" s="55" t="str">
        <f t="shared" si="0"/>
        <v/>
      </c>
      <c r="W11" s="55" t="str">
        <f t="shared" si="0"/>
        <v/>
      </c>
      <c r="X11" s="55" t="str">
        <f t="shared" si="0"/>
        <v/>
      </c>
      <c r="Y11" s="55" t="str">
        <f t="shared" si="0"/>
        <v/>
      </c>
      <c r="Z11" s="55" t="str">
        <f t="shared" si="0"/>
        <v/>
      </c>
      <c r="AA11" s="81"/>
      <c r="AB11" s="21">
        <f>IF($A3="","",$A3)</f>
        <v>1</v>
      </c>
      <c r="AC11" s="30">
        <f t="shared" ref="AC11:AL15" si="1">IF($L$3&gt;=B11,$L$3,B11)</f>
        <v>44592</v>
      </c>
      <c r="AD11" s="30" t="str">
        <f t="shared" si="1"/>
        <v/>
      </c>
      <c r="AE11" s="30" t="str">
        <f t="shared" si="1"/>
        <v/>
      </c>
      <c r="AF11" s="30" t="str">
        <f t="shared" si="1"/>
        <v/>
      </c>
      <c r="AG11" s="30" t="str">
        <f t="shared" si="1"/>
        <v/>
      </c>
      <c r="AH11" s="30" t="str">
        <f t="shared" si="1"/>
        <v/>
      </c>
      <c r="AI11" s="30" t="str">
        <f t="shared" si="1"/>
        <v/>
      </c>
      <c r="AJ11" s="30" t="str">
        <f t="shared" si="1"/>
        <v/>
      </c>
      <c r="AK11" s="30" t="str">
        <f t="shared" si="1"/>
        <v/>
      </c>
      <c r="AL11" s="30" t="str">
        <f t="shared" si="1"/>
        <v/>
      </c>
      <c r="AM11" s="30" t="str">
        <f t="shared" ref="AM11:AV15" si="2">IF($L$3&gt;=L11,$L$3,L11)</f>
        <v/>
      </c>
      <c r="AN11" s="30" t="str">
        <f t="shared" si="2"/>
        <v/>
      </c>
      <c r="AO11" s="30" t="str">
        <f t="shared" si="2"/>
        <v/>
      </c>
      <c r="AP11" s="30" t="str">
        <f t="shared" si="2"/>
        <v/>
      </c>
      <c r="AQ11" s="30" t="str">
        <f t="shared" si="2"/>
        <v/>
      </c>
      <c r="AR11" s="30" t="str">
        <f t="shared" si="2"/>
        <v/>
      </c>
      <c r="AS11" s="30" t="str">
        <f t="shared" si="2"/>
        <v/>
      </c>
      <c r="AT11" s="30" t="str">
        <f t="shared" si="2"/>
        <v/>
      </c>
      <c r="AU11" s="30" t="str">
        <f t="shared" si="2"/>
        <v/>
      </c>
      <c r="AV11" s="30" t="str">
        <f t="shared" si="2"/>
        <v/>
      </c>
      <c r="AW11" s="30" t="str">
        <f t="shared" ref="AW11:BA15" si="3">IF($L$3&gt;=V11,$L$3,V11)</f>
        <v/>
      </c>
      <c r="AX11" s="30" t="str">
        <f t="shared" si="3"/>
        <v/>
      </c>
      <c r="AY11" s="30" t="str">
        <f t="shared" si="3"/>
        <v/>
      </c>
      <c r="AZ11" s="30" t="str">
        <f t="shared" si="3"/>
        <v/>
      </c>
      <c r="BA11" s="30" t="str">
        <f t="shared" si="3"/>
        <v/>
      </c>
      <c r="BB11" s="81"/>
      <c r="BC11" s="21">
        <f>IF($A3="","",$A3)</f>
        <v>1</v>
      </c>
      <c r="BD11" s="21">
        <f>IFERROR(IF(BD$10=0,B11-$D3,IF(AC11=$E3,(B11-A11),B11-A11)),"")</f>
        <v>0</v>
      </c>
      <c r="BE11" s="21" t="str">
        <f t="shared" ref="BE11:CB15" si="4">IFERROR(IF(BE$10=0,C11-$D3,IF(AD11=$E3,(C11-B11),C11-B11)),"")</f>
        <v/>
      </c>
      <c r="BF11" s="21" t="str">
        <f t="shared" si="4"/>
        <v/>
      </c>
      <c r="BG11" s="21" t="str">
        <f t="shared" si="4"/>
        <v/>
      </c>
      <c r="BH11" s="21" t="str">
        <f t="shared" si="4"/>
        <v/>
      </c>
      <c r="BI11" s="21" t="str">
        <f t="shared" si="4"/>
        <v/>
      </c>
      <c r="BJ11" s="21" t="str">
        <f t="shared" si="4"/>
        <v/>
      </c>
      <c r="BK11" s="21" t="str">
        <f t="shared" si="4"/>
        <v/>
      </c>
      <c r="BL11" s="21" t="str">
        <f t="shared" si="4"/>
        <v/>
      </c>
      <c r="BM11" s="21" t="str">
        <f t="shared" si="4"/>
        <v/>
      </c>
      <c r="BN11" s="21" t="str">
        <f t="shared" si="4"/>
        <v/>
      </c>
      <c r="BO11" s="21" t="str">
        <f t="shared" si="4"/>
        <v/>
      </c>
      <c r="BP11" s="21" t="str">
        <f t="shared" si="4"/>
        <v/>
      </c>
      <c r="BQ11" s="21" t="str">
        <f t="shared" si="4"/>
        <v/>
      </c>
      <c r="BR11" s="21" t="str">
        <f t="shared" si="4"/>
        <v/>
      </c>
      <c r="BS11" s="21" t="str">
        <f t="shared" si="4"/>
        <v/>
      </c>
      <c r="BT11" s="21" t="str">
        <f t="shared" si="4"/>
        <v/>
      </c>
      <c r="BU11" s="21" t="str">
        <f t="shared" si="4"/>
        <v/>
      </c>
      <c r="BV11" s="21" t="str">
        <f t="shared" si="4"/>
        <v/>
      </c>
      <c r="BW11" s="21" t="str">
        <f t="shared" si="4"/>
        <v/>
      </c>
      <c r="BX11" s="21" t="str">
        <f t="shared" si="4"/>
        <v/>
      </c>
      <c r="BY11" s="21" t="str">
        <f t="shared" si="4"/>
        <v/>
      </c>
      <c r="BZ11" s="21" t="str">
        <f t="shared" si="4"/>
        <v/>
      </c>
      <c r="CA11" s="21" t="str">
        <f t="shared" si="4"/>
        <v/>
      </c>
      <c r="CB11" s="21" t="str">
        <f t="shared" si="4"/>
        <v/>
      </c>
      <c r="CC11" s="81"/>
      <c r="CD11" s="31">
        <f>IF($A3="","",$A3)</f>
        <v>1</v>
      </c>
      <c r="CE11" s="31">
        <f>IFERROR(IF(B11="","",IF(AND(CE$10=0,I3="POINT_IN_TIME"),$G3,$G3*BD11)),"")</f>
        <v>0</v>
      </c>
      <c r="CF11" s="31" t="str">
        <f t="shared" ref="CF11:DC15" si="5">IFERROR(IF(C11="","",$G3*BE11),"")</f>
        <v/>
      </c>
      <c r="CG11" s="31" t="str">
        <f t="shared" si="5"/>
        <v/>
      </c>
      <c r="CH11" s="31" t="str">
        <f t="shared" si="5"/>
        <v/>
      </c>
      <c r="CI11" s="31" t="str">
        <f t="shared" si="5"/>
        <v/>
      </c>
      <c r="CJ11" s="31" t="str">
        <f t="shared" si="5"/>
        <v/>
      </c>
      <c r="CK11" s="31" t="str">
        <f t="shared" si="5"/>
        <v/>
      </c>
      <c r="CL11" s="31" t="str">
        <f t="shared" si="5"/>
        <v/>
      </c>
      <c r="CM11" s="31" t="str">
        <f t="shared" si="5"/>
        <v/>
      </c>
      <c r="CN11" s="31" t="str">
        <f t="shared" si="5"/>
        <v/>
      </c>
      <c r="CO11" s="31" t="str">
        <f t="shared" si="5"/>
        <v/>
      </c>
      <c r="CP11" s="31" t="str">
        <f t="shared" si="5"/>
        <v/>
      </c>
      <c r="CQ11" s="31" t="str">
        <f t="shared" si="5"/>
        <v/>
      </c>
      <c r="CR11" s="31" t="str">
        <f t="shared" si="5"/>
        <v/>
      </c>
      <c r="CS11" s="31" t="str">
        <f t="shared" si="5"/>
        <v/>
      </c>
      <c r="CT11" s="31" t="str">
        <f t="shared" si="5"/>
        <v/>
      </c>
      <c r="CU11" s="31" t="str">
        <f t="shared" si="5"/>
        <v/>
      </c>
      <c r="CV11" s="31" t="str">
        <f t="shared" si="5"/>
        <v/>
      </c>
      <c r="CW11" s="31" t="str">
        <f t="shared" si="5"/>
        <v/>
      </c>
      <c r="CX11" s="31" t="str">
        <f t="shared" si="5"/>
        <v/>
      </c>
      <c r="CY11" s="31" t="str">
        <f t="shared" si="5"/>
        <v/>
      </c>
      <c r="CZ11" s="31" t="str">
        <f t="shared" si="5"/>
        <v/>
      </c>
      <c r="DA11" s="31" t="str">
        <f t="shared" si="5"/>
        <v/>
      </c>
      <c r="DB11" s="31" t="str">
        <f t="shared" si="5"/>
        <v/>
      </c>
      <c r="DC11" s="31" t="str">
        <f t="shared" si="5"/>
        <v/>
      </c>
      <c r="DD11" s="81"/>
    </row>
    <row r="12" spans="1:108" x14ac:dyDescent="0.25">
      <c r="A12" s="21">
        <f>IF($B4="","",$B4)</f>
        <v>2</v>
      </c>
      <c r="B12" s="55">
        <f>IF(A12="","",IF(EOMONTH($D4,B$10)=EOMONTH($E4,0),$E4,IF(EOMONTH($D4,B$10)&gt;EOMONTH($E4,0),"",EOMONTH($D4,B$10))))</f>
        <v>44592</v>
      </c>
      <c r="C12" s="55">
        <f>IFERROR(IF(EOMONTH($D4,C$10)=EOMONTH($E4,0),$E4,IF(EOMONTH($D4,C$10)&gt;EOMONTH($E4,0),"",EOMONTH($D4,C$10))),"")</f>
        <v>44620</v>
      </c>
      <c r="D12" s="55">
        <f t="shared" si="0"/>
        <v>44651</v>
      </c>
      <c r="E12" s="55">
        <f t="shared" si="0"/>
        <v>44681</v>
      </c>
      <c r="F12" s="55">
        <f t="shared" si="0"/>
        <v>44712</v>
      </c>
      <c r="G12" s="55">
        <f t="shared" si="0"/>
        <v>44742</v>
      </c>
      <c r="H12" s="55">
        <f t="shared" si="0"/>
        <v>44773</v>
      </c>
      <c r="I12" s="55">
        <f t="shared" si="0"/>
        <v>44804</v>
      </c>
      <c r="J12" s="55">
        <f t="shared" si="0"/>
        <v>44834</v>
      </c>
      <c r="K12" s="55">
        <f t="shared" si="0"/>
        <v>44865</v>
      </c>
      <c r="L12" s="55">
        <f t="shared" si="0"/>
        <v>44895</v>
      </c>
      <c r="M12" s="55">
        <f t="shared" si="0"/>
        <v>44926</v>
      </c>
      <c r="N12" s="55">
        <f t="shared" si="0"/>
        <v>44941</v>
      </c>
      <c r="O12" s="55" t="str">
        <f t="shared" si="0"/>
        <v/>
      </c>
      <c r="P12" s="55" t="str">
        <f t="shared" si="0"/>
        <v/>
      </c>
      <c r="Q12" s="55" t="str">
        <f t="shared" si="0"/>
        <v/>
      </c>
      <c r="R12" s="55" t="str">
        <f t="shared" si="0"/>
        <v/>
      </c>
      <c r="S12" s="55" t="str">
        <f t="shared" si="0"/>
        <v/>
      </c>
      <c r="T12" s="55" t="str">
        <f t="shared" si="0"/>
        <v/>
      </c>
      <c r="U12" s="55" t="str">
        <f t="shared" si="0"/>
        <v/>
      </c>
      <c r="V12" s="55" t="str">
        <f t="shared" si="0"/>
        <v/>
      </c>
      <c r="W12" s="55" t="str">
        <f t="shared" si="0"/>
        <v/>
      </c>
      <c r="X12" s="55" t="str">
        <f t="shared" si="0"/>
        <v/>
      </c>
      <c r="Y12" s="55" t="str">
        <f t="shared" si="0"/>
        <v/>
      </c>
      <c r="Z12" s="55" t="str">
        <f t="shared" si="0"/>
        <v/>
      </c>
      <c r="AA12" s="81"/>
      <c r="AB12" s="21">
        <f t="shared" ref="AB12:AB15" si="6">IF($A4="","",$A4)</f>
        <v>2</v>
      </c>
      <c r="AC12" s="30">
        <f t="shared" si="1"/>
        <v>44592</v>
      </c>
      <c r="AD12" s="30">
        <f t="shared" si="1"/>
        <v>44620</v>
      </c>
      <c r="AE12" s="30">
        <f t="shared" si="1"/>
        <v>44651</v>
      </c>
      <c r="AF12" s="30">
        <f t="shared" si="1"/>
        <v>44681</v>
      </c>
      <c r="AG12" s="30">
        <f t="shared" si="1"/>
        <v>44712</v>
      </c>
      <c r="AH12" s="30">
        <f t="shared" si="1"/>
        <v>44742</v>
      </c>
      <c r="AI12" s="30">
        <f t="shared" si="1"/>
        <v>44773</v>
      </c>
      <c r="AJ12" s="30">
        <f t="shared" si="1"/>
        <v>44804</v>
      </c>
      <c r="AK12" s="30">
        <f t="shared" si="1"/>
        <v>44834</v>
      </c>
      <c r="AL12" s="30">
        <f t="shared" si="1"/>
        <v>44865</v>
      </c>
      <c r="AM12" s="30">
        <f t="shared" si="2"/>
        <v>44895</v>
      </c>
      <c r="AN12" s="30">
        <f t="shared" si="2"/>
        <v>44926</v>
      </c>
      <c r="AO12" s="30">
        <f t="shared" si="2"/>
        <v>44941</v>
      </c>
      <c r="AP12" s="30" t="str">
        <f t="shared" si="2"/>
        <v/>
      </c>
      <c r="AQ12" s="30" t="str">
        <f t="shared" si="2"/>
        <v/>
      </c>
      <c r="AR12" s="30" t="str">
        <f t="shared" si="2"/>
        <v/>
      </c>
      <c r="AS12" s="30" t="str">
        <f t="shared" si="2"/>
        <v/>
      </c>
      <c r="AT12" s="30" t="str">
        <f t="shared" si="2"/>
        <v/>
      </c>
      <c r="AU12" s="30" t="str">
        <f t="shared" si="2"/>
        <v/>
      </c>
      <c r="AV12" s="30" t="str">
        <f t="shared" si="2"/>
        <v/>
      </c>
      <c r="AW12" s="30" t="str">
        <f t="shared" si="3"/>
        <v/>
      </c>
      <c r="AX12" s="30" t="str">
        <f t="shared" si="3"/>
        <v/>
      </c>
      <c r="AY12" s="30" t="str">
        <f t="shared" si="3"/>
        <v/>
      </c>
      <c r="AZ12" s="30" t="str">
        <f t="shared" si="3"/>
        <v/>
      </c>
      <c r="BA12" s="30" t="str">
        <f t="shared" si="3"/>
        <v/>
      </c>
      <c r="BB12" s="81"/>
      <c r="BC12" s="21">
        <f t="shared" ref="BC12:BC15" si="7">IF($A4="","",$A4)</f>
        <v>2</v>
      </c>
      <c r="BD12" s="21">
        <f>IFERROR(IF(BD$10=0,B12-$D4,IF(AC12=$E4,(B12-A12),B12-A12)),"")</f>
        <v>16</v>
      </c>
      <c r="BE12" s="21">
        <f t="shared" si="4"/>
        <v>28</v>
      </c>
      <c r="BF12" s="21">
        <f t="shared" si="4"/>
        <v>31</v>
      </c>
      <c r="BG12" s="21">
        <f t="shared" si="4"/>
        <v>30</v>
      </c>
      <c r="BH12" s="21">
        <f t="shared" si="4"/>
        <v>31</v>
      </c>
      <c r="BI12" s="21">
        <f t="shared" si="4"/>
        <v>30</v>
      </c>
      <c r="BJ12" s="21">
        <f t="shared" si="4"/>
        <v>31</v>
      </c>
      <c r="BK12" s="21">
        <f t="shared" si="4"/>
        <v>31</v>
      </c>
      <c r="BL12" s="21">
        <f t="shared" si="4"/>
        <v>30</v>
      </c>
      <c r="BM12" s="21">
        <f t="shared" si="4"/>
        <v>31</v>
      </c>
      <c r="BN12" s="21">
        <f t="shared" si="4"/>
        <v>30</v>
      </c>
      <c r="BO12" s="21">
        <f t="shared" si="4"/>
        <v>31</v>
      </c>
      <c r="BP12" s="21">
        <f t="shared" si="4"/>
        <v>15</v>
      </c>
      <c r="BQ12" s="21" t="str">
        <f t="shared" si="4"/>
        <v/>
      </c>
      <c r="BR12" s="21" t="str">
        <f t="shared" si="4"/>
        <v/>
      </c>
      <c r="BS12" s="21" t="str">
        <f t="shared" si="4"/>
        <v/>
      </c>
      <c r="BT12" s="21" t="str">
        <f t="shared" si="4"/>
        <v/>
      </c>
      <c r="BU12" s="21" t="str">
        <f t="shared" si="4"/>
        <v/>
      </c>
      <c r="BV12" s="21" t="str">
        <f t="shared" si="4"/>
        <v/>
      </c>
      <c r="BW12" s="21" t="str">
        <f t="shared" si="4"/>
        <v/>
      </c>
      <c r="BX12" s="21" t="str">
        <f t="shared" si="4"/>
        <v/>
      </c>
      <c r="BY12" s="21" t="str">
        <f t="shared" si="4"/>
        <v/>
      </c>
      <c r="BZ12" s="21" t="str">
        <f t="shared" si="4"/>
        <v/>
      </c>
      <c r="CA12" s="21" t="str">
        <f t="shared" si="4"/>
        <v/>
      </c>
      <c r="CB12" s="21" t="str">
        <f t="shared" si="4"/>
        <v/>
      </c>
      <c r="CC12" s="81"/>
      <c r="CD12" s="31">
        <f t="shared" ref="CD12:CD15" si="8">IF($A4="","",$A4)</f>
        <v>2</v>
      </c>
      <c r="CE12" s="31">
        <f>IFERROR(IF(B12="","",IF(AND(CE$10=0,I4="POINT_IN_TIME"),$G4,$G4*BD12)),"")</f>
        <v>47.592954990215254</v>
      </c>
      <c r="CF12" s="31">
        <f t="shared" si="5"/>
        <v>83.28767123287669</v>
      </c>
      <c r="CG12" s="31">
        <f t="shared" si="5"/>
        <v>92.211350293542054</v>
      </c>
      <c r="CH12" s="31">
        <f t="shared" si="5"/>
        <v>89.236790606653599</v>
      </c>
      <c r="CI12" s="31">
        <f t="shared" si="5"/>
        <v>92.211350293542054</v>
      </c>
      <c r="CJ12" s="31">
        <f t="shared" si="5"/>
        <v>89.236790606653599</v>
      </c>
      <c r="CK12" s="31">
        <f t="shared" si="5"/>
        <v>92.211350293542054</v>
      </c>
      <c r="CL12" s="31">
        <f t="shared" si="5"/>
        <v>92.211350293542054</v>
      </c>
      <c r="CM12" s="31">
        <f t="shared" si="5"/>
        <v>89.236790606653599</v>
      </c>
      <c r="CN12" s="31">
        <f t="shared" si="5"/>
        <v>92.211350293542054</v>
      </c>
      <c r="CO12" s="31">
        <f t="shared" si="5"/>
        <v>89.236790606653599</v>
      </c>
      <c r="CP12" s="31">
        <f t="shared" si="5"/>
        <v>92.211350293542054</v>
      </c>
      <c r="CQ12" s="31">
        <f t="shared" si="5"/>
        <v>44.6183953033268</v>
      </c>
      <c r="CR12" s="31" t="str">
        <f t="shared" si="5"/>
        <v/>
      </c>
      <c r="CS12" s="31" t="str">
        <f t="shared" si="5"/>
        <v/>
      </c>
      <c r="CT12" s="31" t="str">
        <f t="shared" si="5"/>
        <v/>
      </c>
      <c r="CU12" s="31" t="str">
        <f t="shared" si="5"/>
        <v/>
      </c>
      <c r="CV12" s="31" t="str">
        <f t="shared" si="5"/>
        <v/>
      </c>
      <c r="CW12" s="31" t="str">
        <f t="shared" si="5"/>
        <v/>
      </c>
      <c r="CX12" s="31" t="str">
        <f t="shared" si="5"/>
        <v/>
      </c>
      <c r="CY12" s="31" t="str">
        <f t="shared" si="5"/>
        <v/>
      </c>
      <c r="CZ12" s="31" t="str">
        <f t="shared" si="5"/>
        <v/>
      </c>
      <c r="DA12" s="31" t="str">
        <f t="shared" si="5"/>
        <v/>
      </c>
      <c r="DB12" s="31" t="str">
        <f t="shared" si="5"/>
        <v/>
      </c>
      <c r="DC12" s="31" t="str">
        <f t="shared" si="5"/>
        <v/>
      </c>
      <c r="DD12" s="81"/>
    </row>
    <row r="13" spans="1:108" x14ac:dyDescent="0.25">
      <c r="A13" s="21">
        <f t="shared" ref="A13:A15" si="9">IF($A5="","",$A5)</f>
        <v>3</v>
      </c>
      <c r="B13" s="55">
        <f>IF(A13="","",IF(EOMONTH($D5,B$10)=EOMONTH($E5,0),$E5,IF(EOMONTH($D5,B$10)&gt;EOMONTH($E5,0),"",EOMONTH($D5,B$10))))</f>
        <v>44576</v>
      </c>
      <c r="C13" s="55" t="str">
        <f>IFERROR(IF(EOMONTH($D5,C$10)=EOMONTH($E5,0),$E5,IF(EOMONTH($D5,C$10)&gt;EOMONTH($E5,0),"",EOMONTH($D5,C$10))),"")</f>
        <v/>
      </c>
      <c r="D13" s="55" t="str">
        <f t="shared" si="0"/>
        <v/>
      </c>
      <c r="E13" s="55" t="str">
        <f t="shared" si="0"/>
        <v/>
      </c>
      <c r="F13" s="55" t="str">
        <f t="shared" si="0"/>
        <v/>
      </c>
      <c r="G13" s="55" t="str">
        <f t="shared" si="0"/>
        <v/>
      </c>
      <c r="H13" s="55" t="str">
        <f t="shared" si="0"/>
        <v/>
      </c>
      <c r="I13" s="55" t="str">
        <f t="shared" si="0"/>
        <v/>
      </c>
      <c r="J13" s="55" t="str">
        <f t="shared" si="0"/>
        <v/>
      </c>
      <c r="K13" s="55" t="str">
        <f t="shared" si="0"/>
        <v/>
      </c>
      <c r="L13" s="55" t="str">
        <f t="shared" si="0"/>
        <v/>
      </c>
      <c r="M13" s="55" t="str">
        <f t="shared" si="0"/>
        <v/>
      </c>
      <c r="N13" s="55" t="str">
        <f t="shared" si="0"/>
        <v/>
      </c>
      <c r="O13" s="55" t="str">
        <f t="shared" si="0"/>
        <v/>
      </c>
      <c r="P13" s="55" t="str">
        <f t="shared" si="0"/>
        <v/>
      </c>
      <c r="Q13" s="55" t="str">
        <f t="shared" si="0"/>
        <v/>
      </c>
      <c r="R13" s="55" t="str">
        <f t="shared" si="0"/>
        <v/>
      </c>
      <c r="S13" s="55" t="str">
        <f t="shared" si="0"/>
        <v/>
      </c>
      <c r="T13" s="55" t="str">
        <f t="shared" si="0"/>
        <v/>
      </c>
      <c r="U13" s="55" t="str">
        <f t="shared" si="0"/>
        <v/>
      </c>
      <c r="V13" s="55" t="str">
        <f t="shared" si="0"/>
        <v/>
      </c>
      <c r="W13" s="55" t="str">
        <f t="shared" si="0"/>
        <v/>
      </c>
      <c r="X13" s="55" t="str">
        <f t="shared" si="0"/>
        <v/>
      </c>
      <c r="Y13" s="55" t="str">
        <f t="shared" si="0"/>
        <v/>
      </c>
      <c r="Z13" s="55" t="str">
        <f t="shared" si="0"/>
        <v/>
      </c>
      <c r="AA13" s="81"/>
      <c r="AB13" s="21">
        <f t="shared" si="6"/>
        <v>3</v>
      </c>
      <c r="AC13" s="30">
        <f t="shared" si="1"/>
        <v>44592</v>
      </c>
      <c r="AD13" s="30" t="str">
        <f t="shared" si="1"/>
        <v/>
      </c>
      <c r="AE13" s="30" t="str">
        <f t="shared" si="1"/>
        <v/>
      </c>
      <c r="AF13" s="30" t="str">
        <f t="shared" si="1"/>
        <v/>
      </c>
      <c r="AG13" s="30" t="str">
        <f t="shared" si="1"/>
        <v/>
      </c>
      <c r="AH13" s="30" t="str">
        <f t="shared" si="1"/>
        <v/>
      </c>
      <c r="AI13" s="30" t="str">
        <f t="shared" si="1"/>
        <v/>
      </c>
      <c r="AJ13" s="30" t="str">
        <f t="shared" si="1"/>
        <v/>
      </c>
      <c r="AK13" s="30" t="str">
        <f t="shared" si="1"/>
        <v/>
      </c>
      <c r="AL13" s="30" t="str">
        <f t="shared" si="1"/>
        <v/>
      </c>
      <c r="AM13" s="30" t="str">
        <f t="shared" si="2"/>
        <v/>
      </c>
      <c r="AN13" s="30" t="str">
        <f t="shared" si="2"/>
        <v/>
      </c>
      <c r="AO13" s="30" t="str">
        <f t="shared" si="2"/>
        <v/>
      </c>
      <c r="AP13" s="30" t="str">
        <f t="shared" si="2"/>
        <v/>
      </c>
      <c r="AQ13" s="30" t="str">
        <f t="shared" si="2"/>
        <v/>
      </c>
      <c r="AR13" s="30" t="str">
        <f t="shared" si="2"/>
        <v/>
      </c>
      <c r="AS13" s="30" t="str">
        <f t="shared" si="2"/>
        <v/>
      </c>
      <c r="AT13" s="30" t="str">
        <f t="shared" si="2"/>
        <v/>
      </c>
      <c r="AU13" s="30" t="str">
        <f t="shared" si="2"/>
        <v/>
      </c>
      <c r="AV13" s="30" t="str">
        <f t="shared" si="2"/>
        <v/>
      </c>
      <c r="AW13" s="30" t="str">
        <f t="shared" si="3"/>
        <v/>
      </c>
      <c r="AX13" s="30" t="str">
        <f t="shared" si="3"/>
        <v/>
      </c>
      <c r="AY13" s="30" t="str">
        <f t="shared" si="3"/>
        <v/>
      </c>
      <c r="AZ13" s="30" t="str">
        <f t="shared" si="3"/>
        <v/>
      </c>
      <c r="BA13" s="30" t="str">
        <f t="shared" si="3"/>
        <v/>
      </c>
      <c r="BB13" s="81"/>
      <c r="BC13" s="21">
        <f t="shared" si="7"/>
        <v>3</v>
      </c>
      <c r="BD13" s="21">
        <f>IFERROR(IF(BD$10=0,B13-$D5,IF(AC13=$E5,(B13-A13),B13-A13)),"")</f>
        <v>0</v>
      </c>
      <c r="BE13" s="21" t="str">
        <f t="shared" si="4"/>
        <v/>
      </c>
      <c r="BF13" s="21" t="str">
        <f t="shared" si="4"/>
        <v/>
      </c>
      <c r="BG13" s="21" t="str">
        <f t="shared" si="4"/>
        <v/>
      </c>
      <c r="BH13" s="21" t="str">
        <f t="shared" si="4"/>
        <v/>
      </c>
      <c r="BI13" s="21" t="str">
        <f t="shared" si="4"/>
        <v/>
      </c>
      <c r="BJ13" s="21" t="str">
        <f t="shared" si="4"/>
        <v/>
      </c>
      <c r="BK13" s="21" t="str">
        <f t="shared" si="4"/>
        <v/>
      </c>
      <c r="BL13" s="21" t="str">
        <f t="shared" si="4"/>
        <v/>
      </c>
      <c r="BM13" s="21" t="str">
        <f t="shared" si="4"/>
        <v/>
      </c>
      <c r="BN13" s="21" t="str">
        <f t="shared" si="4"/>
        <v/>
      </c>
      <c r="BO13" s="21" t="str">
        <f t="shared" si="4"/>
        <v/>
      </c>
      <c r="BP13" s="21" t="str">
        <f t="shared" si="4"/>
        <v/>
      </c>
      <c r="BQ13" s="21" t="str">
        <f t="shared" si="4"/>
        <v/>
      </c>
      <c r="BR13" s="21" t="str">
        <f t="shared" si="4"/>
        <v/>
      </c>
      <c r="BS13" s="21" t="str">
        <f t="shared" si="4"/>
        <v/>
      </c>
      <c r="BT13" s="21" t="str">
        <f t="shared" si="4"/>
        <v/>
      </c>
      <c r="BU13" s="21" t="str">
        <f t="shared" si="4"/>
        <v/>
      </c>
      <c r="BV13" s="21" t="str">
        <f t="shared" si="4"/>
        <v/>
      </c>
      <c r="BW13" s="21" t="str">
        <f t="shared" si="4"/>
        <v/>
      </c>
      <c r="BX13" s="21" t="str">
        <f t="shared" si="4"/>
        <v/>
      </c>
      <c r="BY13" s="21" t="str">
        <f t="shared" si="4"/>
        <v/>
      </c>
      <c r="BZ13" s="21" t="str">
        <f t="shared" si="4"/>
        <v/>
      </c>
      <c r="CA13" s="21" t="str">
        <f t="shared" si="4"/>
        <v/>
      </c>
      <c r="CB13" s="21" t="str">
        <f t="shared" si="4"/>
        <v/>
      </c>
      <c r="CC13" s="81"/>
      <c r="CD13" s="31">
        <f t="shared" si="8"/>
        <v>3</v>
      </c>
      <c r="CE13" s="31">
        <f>IFERROR(IF(B13="","",IF(AND(CE$10=0,I5="POINT_IN_TIME"),$G5,$G5*BD13)),"")</f>
        <v>271.42857142857139</v>
      </c>
      <c r="CF13" s="31" t="str">
        <f t="shared" si="5"/>
        <v/>
      </c>
      <c r="CG13" s="31" t="str">
        <f t="shared" si="5"/>
        <v/>
      </c>
      <c r="CH13" s="31" t="str">
        <f t="shared" si="5"/>
        <v/>
      </c>
      <c r="CI13" s="31" t="str">
        <f t="shared" si="5"/>
        <v/>
      </c>
      <c r="CJ13" s="31" t="str">
        <f t="shared" si="5"/>
        <v/>
      </c>
      <c r="CK13" s="31" t="str">
        <f t="shared" si="5"/>
        <v/>
      </c>
      <c r="CL13" s="31" t="str">
        <f t="shared" si="5"/>
        <v/>
      </c>
      <c r="CM13" s="31" t="str">
        <f t="shared" si="5"/>
        <v/>
      </c>
      <c r="CN13" s="31" t="str">
        <f t="shared" si="5"/>
        <v/>
      </c>
      <c r="CO13" s="31" t="str">
        <f t="shared" si="5"/>
        <v/>
      </c>
      <c r="CP13" s="31" t="str">
        <f t="shared" si="5"/>
        <v/>
      </c>
      <c r="CQ13" s="31" t="str">
        <f t="shared" si="5"/>
        <v/>
      </c>
      <c r="CR13" s="31" t="str">
        <f t="shared" si="5"/>
        <v/>
      </c>
      <c r="CS13" s="31" t="str">
        <f t="shared" si="5"/>
        <v/>
      </c>
      <c r="CT13" s="31" t="str">
        <f t="shared" si="5"/>
        <v/>
      </c>
      <c r="CU13" s="31" t="str">
        <f t="shared" si="5"/>
        <v/>
      </c>
      <c r="CV13" s="31" t="str">
        <f t="shared" si="5"/>
        <v/>
      </c>
      <c r="CW13" s="31" t="str">
        <f t="shared" si="5"/>
        <v/>
      </c>
      <c r="CX13" s="31" t="str">
        <f t="shared" si="5"/>
        <v/>
      </c>
      <c r="CY13" s="31" t="str">
        <f t="shared" si="5"/>
        <v/>
      </c>
      <c r="CZ13" s="31" t="str">
        <f t="shared" si="5"/>
        <v/>
      </c>
      <c r="DA13" s="31" t="str">
        <f t="shared" si="5"/>
        <v/>
      </c>
      <c r="DB13" s="31" t="str">
        <f t="shared" si="5"/>
        <v/>
      </c>
      <c r="DC13" s="31" t="str">
        <f t="shared" si="5"/>
        <v/>
      </c>
      <c r="DD13" s="81"/>
    </row>
    <row r="14" spans="1:108" x14ac:dyDescent="0.25">
      <c r="A14" s="21">
        <f t="shared" si="9"/>
        <v>5</v>
      </c>
      <c r="B14" s="55">
        <f>IF(A14="","",IF(EOMONTH($D6,B$10)=EOMONTH($E6,0),$E6,IF(EOMONTH($D6,B$10)&gt;EOMONTH($E6,0),"",EOMONTH($D6,B$10))))</f>
        <v>44592</v>
      </c>
      <c r="C14" s="55">
        <f>IFERROR(IF(EOMONTH($D6,C$10)=EOMONTH($E6,0),$E6,IF(EOMONTH($D6,C$10)&gt;EOMONTH($E6,0),"",EOMONTH($D6,C$10))),"")</f>
        <v>44620</v>
      </c>
      <c r="D14" s="55">
        <f t="shared" si="0"/>
        <v>44651</v>
      </c>
      <c r="E14" s="55">
        <f t="shared" si="0"/>
        <v>44681</v>
      </c>
      <c r="F14" s="55">
        <f t="shared" si="0"/>
        <v>44712</v>
      </c>
      <c r="G14" s="55">
        <f t="shared" si="0"/>
        <v>44742</v>
      </c>
      <c r="H14" s="55">
        <f t="shared" si="0"/>
        <v>44773</v>
      </c>
      <c r="I14" s="55">
        <f t="shared" si="0"/>
        <v>44804</v>
      </c>
      <c r="J14" s="55">
        <f t="shared" si="0"/>
        <v>44834</v>
      </c>
      <c r="K14" s="55">
        <f t="shared" si="0"/>
        <v>44865</v>
      </c>
      <c r="L14" s="55">
        <f t="shared" si="0"/>
        <v>44895</v>
      </c>
      <c r="M14" s="55">
        <f t="shared" si="0"/>
        <v>44926</v>
      </c>
      <c r="N14" s="55">
        <f t="shared" si="0"/>
        <v>44941</v>
      </c>
      <c r="O14" s="55" t="str">
        <f t="shared" si="0"/>
        <v/>
      </c>
      <c r="P14" s="55" t="str">
        <f t="shared" si="0"/>
        <v/>
      </c>
      <c r="Q14" s="55" t="str">
        <f t="shared" si="0"/>
        <v/>
      </c>
      <c r="R14" s="55" t="str">
        <f t="shared" si="0"/>
        <v/>
      </c>
      <c r="S14" s="55" t="str">
        <f t="shared" si="0"/>
        <v/>
      </c>
      <c r="T14" s="55" t="str">
        <f t="shared" si="0"/>
        <v/>
      </c>
      <c r="U14" s="55" t="str">
        <f t="shared" si="0"/>
        <v/>
      </c>
      <c r="V14" s="55" t="str">
        <f t="shared" si="0"/>
        <v/>
      </c>
      <c r="W14" s="55" t="str">
        <f t="shared" si="0"/>
        <v/>
      </c>
      <c r="X14" s="55" t="str">
        <f t="shared" si="0"/>
        <v/>
      </c>
      <c r="Y14" s="55" t="str">
        <f t="shared" si="0"/>
        <v/>
      </c>
      <c r="Z14" s="55" t="str">
        <f t="shared" si="0"/>
        <v/>
      </c>
      <c r="AA14" s="81"/>
      <c r="AB14" s="21">
        <f t="shared" si="6"/>
        <v>5</v>
      </c>
      <c r="AC14" s="30">
        <f t="shared" si="1"/>
        <v>44592</v>
      </c>
      <c r="AD14" s="30">
        <f t="shared" si="1"/>
        <v>44620</v>
      </c>
      <c r="AE14" s="30">
        <f t="shared" si="1"/>
        <v>44651</v>
      </c>
      <c r="AF14" s="30">
        <f t="shared" si="1"/>
        <v>44681</v>
      </c>
      <c r="AG14" s="30">
        <f t="shared" si="1"/>
        <v>44712</v>
      </c>
      <c r="AH14" s="30">
        <f t="shared" si="1"/>
        <v>44742</v>
      </c>
      <c r="AI14" s="30">
        <f t="shared" si="1"/>
        <v>44773</v>
      </c>
      <c r="AJ14" s="30">
        <f t="shared" si="1"/>
        <v>44804</v>
      </c>
      <c r="AK14" s="30">
        <f t="shared" si="1"/>
        <v>44834</v>
      </c>
      <c r="AL14" s="30">
        <f t="shared" si="1"/>
        <v>44865</v>
      </c>
      <c r="AM14" s="30">
        <f t="shared" si="2"/>
        <v>44895</v>
      </c>
      <c r="AN14" s="30">
        <f t="shared" si="2"/>
        <v>44926</v>
      </c>
      <c r="AO14" s="30">
        <f t="shared" si="2"/>
        <v>44941</v>
      </c>
      <c r="AP14" s="30" t="str">
        <f t="shared" si="2"/>
        <v/>
      </c>
      <c r="AQ14" s="30" t="str">
        <f t="shared" si="2"/>
        <v/>
      </c>
      <c r="AR14" s="30" t="str">
        <f t="shared" si="2"/>
        <v/>
      </c>
      <c r="AS14" s="30" t="str">
        <f t="shared" si="2"/>
        <v/>
      </c>
      <c r="AT14" s="30" t="str">
        <f t="shared" si="2"/>
        <v/>
      </c>
      <c r="AU14" s="30" t="str">
        <f t="shared" si="2"/>
        <v/>
      </c>
      <c r="AV14" s="30" t="str">
        <f t="shared" si="2"/>
        <v/>
      </c>
      <c r="AW14" s="30" t="str">
        <f t="shared" si="3"/>
        <v/>
      </c>
      <c r="AX14" s="30" t="str">
        <f t="shared" si="3"/>
        <v/>
      </c>
      <c r="AY14" s="30" t="str">
        <f t="shared" si="3"/>
        <v/>
      </c>
      <c r="AZ14" s="30" t="str">
        <f t="shared" si="3"/>
        <v/>
      </c>
      <c r="BA14" s="30" t="str">
        <f t="shared" si="3"/>
        <v/>
      </c>
      <c r="BB14" s="81"/>
      <c r="BC14" s="21">
        <f t="shared" si="7"/>
        <v>5</v>
      </c>
      <c r="BD14" s="21">
        <f>IFERROR(IF(BD$10=0,B14-$D6,IF(AC14=$E6,(B14-A14),B14-A14)),"")</f>
        <v>16</v>
      </c>
      <c r="BE14" s="21">
        <f t="shared" si="4"/>
        <v>28</v>
      </c>
      <c r="BF14" s="21">
        <f t="shared" si="4"/>
        <v>31</v>
      </c>
      <c r="BG14" s="21">
        <f t="shared" si="4"/>
        <v>30</v>
      </c>
      <c r="BH14" s="21">
        <f t="shared" si="4"/>
        <v>31</v>
      </c>
      <c r="BI14" s="21">
        <f t="shared" si="4"/>
        <v>30</v>
      </c>
      <c r="BJ14" s="21">
        <f t="shared" si="4"/>
        <v>31</v>
      </c>
      <c r="BK14" s="21">
        <f t="shared" si="4"/>
        <v>31</v>
      </c>
      <c r="BL14" s="21">
        <f t="shared" si="4"/>
        <v>30</v>
      </c>
      <c r="BM14" s="21">
        <f t="shared" si="4"/>
        <v>31</v>
      </c>
      <c r="BN14" s="21">
        <f t="shared" si="4"/>
        <v>30</v>
      </c>
      <c r="BO14" s="21">
        <f t="shared" si="4"/>
        <v>31</v>
      </c>
      <c r="BP14" s="21">
        <f t="shared" si="4"/>
        <v>15</v>
      </c>
      <c r="BQ14" s="21" t="str">
        <f t="shared" si="4"/>
        <v/>
      </c>
      <c r="BR14" s="21" t="str">
        <f t="shared" si="4"/>
        <v/>
      </c>
      <c r="BS14" s="21" t="str">
        <f t="shared" si="4"/>
        <v/>
      </c>
      <c r="BT14" s="21" t="str">
        <f t="shared" si="4"/>
        <v/>
      </c>
      <c r="BU14" s="21" t="str">
        <f t="shared" si="4"/>
        <v/>
      </c>
      <c r="BV14" s="21" t="str">
        <f t="shared" si="4"/>
        <v/>
      </c>
      <c r="BW14" s="21" t="str">
        <f t="shared" si="4"/>
        <v/>
      </c>
      <c r="BX14" s="21" t="str">
        <f t="shared" si="4"/>
        <v/>
      </c>
      <c r="BY14" s="21" t="str">
        <f t="shared" si="4"/>
        <v/>
      </c>
      <c r="BZ14" s="21" t="str">
        <f t="shared" si="4"/>
        <v/>
      </c>
      <c r="CA14" s="21" t="str">
        <f t="shared" si="4"/>
        <v/>
      </c>
      <c r="CB14" s="21" t="str">
        <f t="shared" si="4"/>
        <v/>
      </c>
      <c r="CC14" s="81"/>
      <c r="CD14" s="31">
        <f t="shared" si="8"/>
        <v>5</v>
      </c>
      <c r="CE14" s="31">
        <f>IFERROR(IF(B14="","",$G6*BD14),"")</f>
        <v>23.796477495107627</v>
      </c>
      <c r="CF14" s="31">
        <f t="shared" si="5"/>
        <v>41.643835616438345</v>
      </c>
      <c r="CG14" s="31">
        <f t="shared" si="5"/>
        <v>46.105675146771027</v>
      </c>
      <c r="CH14" s="31">
        <f t="shared" si="5"/>
        <v>44.6183953033268</v>
      </c>
      <c r="CI14" s="31">
        <f t="shared" si="5"/>
        <v>46.105675146771027</v>
      </c>
      <c r="CJ14" s="31">
        <f t="shared" si="5"/>
        <v>44.6183953033268</v>
      </c>
      <c r="CK14" s="31">
        <f t="shared" si="5"/>
        <v>46.105675146771027</v>
      </c>
      <c r="CL14" s="31">
        <f t="shared" si="5"/>
        <v>46.105675146771027</v>
      </c>
      <c r="CM14" s="31">
        <f t="shared" si="5"/>
        <v>44.6183953033268</v>
      </c>
      <c r="CN14" s="31">
        <f t="shared" si="5"/>
        <v>46.105675146771027</v>
      </c>
      <c r="CO14" s="31">
        <f t="shared" si="5"/>
        <v>44.6183953033268</v>
      </c>
      <c r="CP14" s="31">
        <f t="shared" si="5"/>
        <v>46.105675146771027</v>
      </c>
      <c r="CQ14" s="31">
        <f t="shared" si="5"/>
        <v>22.3091976516634</v>
      </c>
      <c r="CR14" s="31" t="str">
        <f t="shared" si="5"/>
        <v/>
      </c>
      <c r="CS14" s="31" t="str">
        <f t="shared" si="5"/>
        <v/>
      </c>
      <c r="CT14" s="31" t="str">
        <f t="shared" si="5"/>
        <v/>
      </c>
      <c r="CU14" s="31" t="str">
        <f t="shared" si="5"/>
        <v/>
      </c>
      <c r="CV14" s="31" t="str">
        <f t="shared" si="5"/>
        <v/>
      </c>
      <c r="CW14" s="31" t="str">
        <f t="shared" si="5"/>
        <v/>
      </c>
      <c r="CX14" s="31" t="str">
        <f t="shared" si="5"/>
        <v/>
      </c>
      <c r="CY14" s="31" t="str">
        <f t="shared" si="5"/>
        <v/>
      </c>
      <c r="CZ14" s="31" t="str">
        <f t="shared" si="5"/>
        <v/>
      </c>
      <c r="DA14" s="31" t="str">
        <f t="shared" si="5"/>
        <v/>
      </c>
      <c r="DB14" s="31" t="str">
        <f t="shared" si="5"/>
        <v/>
      </c>
      <c r="DC14" s="31" t="str">
        <f t="shared" si="5"/>
        <v/>
      </c>
      <c r="DD14" s="81"/>
    </row>
    <row r="15" spans="1:108" ht="15.75" thickBot="1" x14ac:dyDescent="0.3">
      <c r="A15" s="21" t="str">
        <f t="shared" si="9"/>
        <v/>
      </c>
      <c r="B15" s="55" t="str">
        <f>IF(A15="","",IF(EOMONTH($D7,B$10)=EOMONTH($E7,0),$E7,IF(EOMONTH($D7,B$10)&gt;EOMONTH($E7,0),"",EOMONTH($D7,B$10))))</f>
        <v/>
      </c>
      <c r="C15" s="55" t="str">
        <f>IFERROR(IF(EOMONTH($D7,C$10)=EOMONTH($E7,0),$E7,IF(EOMONTH($D7,C$10)&gt;EOMONTH($E7,0),"",EOMONTH($D7,C$10))),"")</f>
        <v/>
      </c>
      <c r="D15" s="55" t="str">
        <f t="shared" si="0"/>
        <v/>
      </c>
      <c r="E15" s="55" t="str">
        <f t="shared" si="0"/>
        <v/>
      </c>
      <c r="F15" s="55" t="str">
        <f t="shared" si="0"/>
        <v/>
      </c>
      <c r="G15" s="55" t="str">
        <f t="shared" si="0"/>
        <v/>
      </c>
      <c r="H15" s="55" t="str">
        <f t="shared" si="0"/>
        <v/>
      </c>
      <c r="I15" s="55" t="str">
        <f t="shared" si="0"/>
        <v/>
      </c>
      <c r="J15" s="55" t="str">
        <f t="shared" si="0"/>
        <v/>
      </c>
      <c r="K15" s="55" t="str">
        <f t="shared" si="0"/>
        <v/>
      </c>
      <c r="L15" s="55" t="str">
        <f t="shared" si="0"/>
        <v/>
      </c>
      <c r="M15" s="55" t="str">
        <f t="shared" si="0"/>
        <v/>
      </c>
      <c r="N15" s="55" t="str">
        <f t="shared" si="0"/>
        <v/>
      </c>
      <c r="O15" s="55" t="str">
        <f t="shared" si="0"/>
        <v/>
      </c>
      <c r="P15" s="55" t="str">
        <f t="shared" si="0"/>
        <v/>
      </c>
      <c r="Q15" s="55" t="str">
        <f t="shared" si="0"/>
        <v/>
      </c>
      <c r="R15" s="55" t="str">
        <f t="shared" si="0"/>
        <v/>
      </c>
      <c r="S15" s="55" t="str">
        <f t="shared" si="0"/>
        <v/>
      </c>
      <c r="T15" s="55" t="str">
        <f t="shared" si="0"/>
        <v/>
      </c>
      <c r="U15" s="55" t="str">
        <f t="shared" si="0"/>
        <v/>
      </c>
      <c r="V15" s="55" t="str">
        <f t="shared" si="0"/>
        <v/>
      </c>
      <c r="W15" s="55" t="str">
        <f t="shared" si="0"/>
        <v/>
      </c>
      <c r="X15" s="55" t="str">
        <f t="shared" si="0"/>
        <v/>
      </c>
      <c r="Y15" s="55" t="str">
        <f t="shared" si="0"/>
        <v/>
      </c>
      <c r="Z15" s="55" t="str">
        <f t="shared" si="0"/>
        <v/>
      </c>
      <c r="AA15" s="82"/>
      <c r="AB15" s="21" t="str">
        <f t="shared" si="6"/>
        <v/>
      </c>
      <c r="AC15" s="30" t="str">
        <f t="shared" si="1"/>
        <v/>
      </c>
      <c r="AD15" s="30" t="str">
        <f t="shared" si="1"/>
        <v/>
      </c>
      <c r="AE15" s="30" t="str">
        <f t="shared" si="1"/>
        <v/>
      </c>
      <c r="AF15" s="30" t="str">
        <f t="shared" si="1"/>
        <v/>
      </c>
      <c r="AG15" s="30" t="str">
        <f t="shared" si="1"/>
        <v/>
      </c>
      <c r="AH15" s="30" t="str">
        <f t="shared" si="1"/>
        <v/>
      </c>
      <c r="AI15" s="30" t="str">
        <f t="shared" si="1"/>
        <v/>
      </c>
      <c r="AJ15" s="30" t="str">
        <f t="shared" si="1"/>
        <v/>
      </c>
      <c r="AK15" s="30" t="str">
        <f t="shared" si="1"/>
        <v/>
      </c>
      <c r="AL15" s="30" t="str">
        <f t="shared" si="1"/>
        <v/>
      </c>
      <c r="AM15" s="30" t="str">
        <f t="shared" si="2"/>
        <v/>
      </c>
      <c r="AN15" s="30" t="str">
        <f t="shared" si="2"/>
        <v/>
      </c>
      <c r="AO15" s="30" t="str">
        <f t="shared" si="2"/>
        <v/>
      </c>
      <c r="AP15" s="30" t="str">
        <f t="shared" si="2"/>
        <v/>
      </c>
      <c r="AQ15" s="30" t="str">
        <f t="shared" si="2"/>
        <v/>
      </c>
      <c r="AR15" s="30" t="str">
        <f t="shared" si="2"/>
        <v/>
      </c>
      <c r="AS15" s="30" t="str">
        <f t="shared" si="2"/>
        <v/>
      </c>
      <c r="AT15" s="30" t="str">
        <f t="shared" si="2"/>
        <v/>
      </c>
      <c r="AU15" s="30" t="str">
        <f t="shared" si="2"/>
        <v/>
      </c>
      <c r="AV15" s="30" t="str">
        <f t="shared" si="2"/>
        <v/>
      </c>
      <c r="AW15" s="30" t="str">
        <f t="shared" si="3"/>
        <v/>
      </c>
      <c r="AX15" s="30" t="str">
        <f t="shared" si="3"/>
        <v/>
      </c>
      <c r="AY15" s="30" t="str">
        <f t="shared" si="3"/>
        <v/>
      </c>
      <c r="AZ15" s="30" t="str">
        <f t="shared" si="3"/>
        <v/>
      </c>
      <c r="BA15" s="30" t="str">
        <f t="shared" si="3"/>
        <v/>
      </c>
      <c r="BB15" s="82"/>
      <c r="BC15" s="21" t="str">
        <f t="shared" si="7"/>
        <v/>
      </c>
      <c r="BD15" s="21" t="str">
        <f>IFERROR(IF(BD$10=0,B15-$D7,IF(AC15=$E7,(B15-A15),B15-A15)),"")</f>
        <v/>
      </c>
      <c r="BE15" s="21" t="str">
        <f t="shared" si="4"/>
        <v/>
      </c>
      <c r="BF15" s="21" t="str">
        <f t="shared" si="4"/>
        <v/>
      </c>
      <c r="BG15" s="21" t="str">
        <f t="shared" si="4"/>
        <v/>
      </c>
      <c r="BH15" s="21" t="str">
        <f t="shared" si="4"/>
        <v/>
      </c>
      <c r="BI15" s="21" t="str">
        <f t="shared" si="4"/>
        <v/>
      </c>
      <c r="BJ15" s="21" t="str">
        <f t="shared" si="4"/>
        <v/>
      </c>
      <c r="BK15" s="21" t="str">
        <f t="shared" si="4"/>
        <v/>
      </c>
      <c r="BL15" s="21" t="str">
        <f t="shared" si="4"/>
        <v/>
      </c>
      <c r="BM15" s="21" t="str">
        <f t="shared" si="4"/>
        <v/>
      </c>
      <c r="BN15" s="21" t="str">
        <f t="shared" si="4"/>
        <v/>
      </c>
      <c r="BO15" s="21" t="str">
        <f t="shared" si="4"/>
        <v/>
      </c>
      <c r="BP15" s="21" t="str">
        <f t="shared" si="4"/>
        <v/>
      </c>
      <c r="BQ15" s="21" t="str">
        <f t="shared" si="4"/>
        <v/>
      </c>
      <c r="BR15" s="21" t="str">
        <f t="shared" si="4"/>
        <v/>
      </c>
      <c r="BS15" s="21" t="str">
        <f t="shared" si="4"/>
        <v/>
      </c>
      <c r="BT15" s="21" t="str">
        <f t="shared" si="4"/>
        <v/>
      </c>
      <c r="BU15" s="21" t="str">
        <f t="shared" si="4"/>
        <v/>
      </c>
      <c r="BV15" s="21" t="str">
        <f t="shared" si="4"/>
        <v/>
      </c>
      <c r="BW15" s="21" t="str">
        <f t="shared" si="4"/>
        <v/>
      </c>
      <c r="BX15" s="21" t="str">
        <f t="shared" si="4"/>
        <v/>
      </c>
      <c r="BY15" s="21" t="str">
        <f t="shared" si="4"/>
        <v/>
      </c>
      <c r="BZ15" s="21" t="str">
        <f t="shared" si="4"/>
        <v/>
      </c>
      <c r="CA15" s="21" t="str">
        <f t="shared" si="4"/>
        <v/>
      </c>
      <c r="CB15" s="21" t="str">
        <f t="shared" si="4"/>
        <v/>
      </c>
      <c r="CC15" s="82"/>
      <c r="CD15" s="31" t="str">
        <f t="shared" si="8"/>
        <v/>
      </c>
      <c r="CE15" s="31" t="str">
        <f>IFERROR(IF(B15="","",$G7*BD15),"")</f>
        <v/>
      </c>
      <c r="CF15" s="31" t="str">
        <f t="shared" si="5"/>
        <v/>
      </c>
      <c r="CG15" s="31" t="str">
        <f t="shared" si="5"/>
        <v/>
      </c>
      <c r="CH15" s="31" t="str">
        <f t="shared" si="5"/>
        <v/>
      </c>
      <c r="CI15" s="31" t="str">
        <f t="shared" si="5"/>
        <v/>
      </c>
      <c r="CJ15" s="31" t="str">
        <f t="shared" si="5"/>
        <v/>
      </c>
      <c r="CK15" s="31" t="str">
        <f t="shared" si="5"/>
        <v/>
      </c>
      <c r="CL15" s="31" t="str">
        <f t="shared" si="5"/>
        <v/>
      </c>
      <c r="CM15" s="31" t="str">
        <f t="shared" si="5"/>
        <v/>
      </c>
      <c r="CN15" s="31" t="str">
        <f t="shared" si="5"/>
        <v/>
      </c>
      <c r="CO15" s="31" t="str">
        <f t="shared" si="5"/>
        <v/>
      </c>
      <c r="CP15" s="31" t="str">
        <f t="shared" si="5"/>
        <v/>
      </c>
      <c r="CQ15" s="31" t="str">
        <f t="shared" si="5"/>
        <v/>
      </c>
      <c r="CR15" s="31" t="str">
        <f t="shared" si="5"/>
        <v/>
      </c>
      <c r="CS15" s="31" t="str">
        <f t="shared" si="5"/>
        <v/>
      </c>
      <c r="CT15" s="31" t="str">
        <f t="shared" si="5"/>
        <v/>
      </c>
      <c r="CU15" s="31" t="str">
        <f t="shared" si="5"/>
        <v/>
      </c>
      <c r="CV15" s="31" t="str">
        <f t="shared" si="5"/>
        <v/>
      </c>
      <c r="CW15" s="31" t="str">
        <f t="shared" si="5"/>
        <v/>
      </c>
      <c r="CX15" s="31" t="str">
        <f t="shared" si="5"/>
        <v/>
      </c>
      <c r="CY15" s="31" t="str">
        <f t="shared" si="5"/>
        <v/>
      </c>
      <c r="CZ15" s="31" t="str">
        <f t="shared" si="5"/>
        <v/>
      </c>
      <c r="DA15" s="31" t="str">
        <f t="shared" si="5"/>
        <v/>
      </c>
      <c r="DB15" s="31" t="str">
        <f t="shared" si="5"/>
        <v/>
      </c>
      <c r="DC15" s="31" t="str">
        <f t="shared" si="5"/>
        <v/>
      </c>
      <c r="DD15" s="82"/>
    </row>
    <row r="16" spans="1:108" ht="16.5" thickTop="1" thickBot="1" x14ac:dyDescent="0.3"/>
    <row r="17" spans="1:8" ht="21.75" thickBot="1" x14ac:dyDescent="0.4">
      <c r="A17" s="74" t="s">
        <v>114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40" t="s">
        <v>45</v>
      </c>
      <c r="B18" s="25" t="s">
        <v>12</v>
      </c>
      <c r="C18" s="25" t="s">
        <v>83</v>
      </c>
      <c r="D18" s="25" t="s">
        <v>70</v>
      </c>
      <c r="E18" s="25" t="s">
        <v>84</v>
      </c>
      <c r="F18" s="25" t="s">
        <v>71</v>
      </c>
    </row>
    <row r="19" spans="1:8" x14ac:dyDescent="0.25">
      <c r="A19" s="56">
        <v>0</v>
      </c>
      <c r="B19" s="30">
        <f t="shared" ref="B19:B24" si="10">IF(A19="","",$L$3)</f>
        <v>44592</v>
      </c>
      <c r="C19" s="31">
        <f>IF(A19="","",i_Metric!$H2)</f>
        <v>0</v>
      </c>
      <c r="D19" s="31">
        <v>0</v>
      </c>
      <c r="E19" s="31">
        <f>IF(A19="","",i_Metric!$H3)</f>
        <v>0</v>
      </c>
      <c r="F19" s="31">
        <f>IF(A19="","",i_Metric!$H4)</f>
        <v>0</v>
      </c>
    </row>
    <row r="20" spans="1:8" x14ac:dyDescent="0.25">
      <c r="A20" s="21">
        <f>IF($B3="","",$B3)</f>
        <v>1</v>
      </c>
      <c r="B20" s="30">
        <f t="shared" si="10"/>
        <v>44592</v>
      </c>
      <c r="C20" s="31">
        <f>IF(A20="","",0)</f>
        <v>0</v>
      </c>
      <c r="D20" s="31">
        <f>IF(A20="","",i_Metric!$H5)</f>
        <v>0</v>
      </c>
      <c r="E20" s="31">
        <f>IF(A20="","",0)</f>
        <v>0</v>
      </c>
      <c r="F20" s="31">
        <f>IF(A20="","",0)</f>
        <v>0</v>
      </c>
    </row>
    <row r="21" spans="1:8" x14ac:dyDescent="0.25">
      <c r="A21" s="21">
        <f>IF($B4="","",$B4)</f>
        <v>2</v>
      </c>
      <c r="B21" s="30">
        <f t="shared" si="10"/>
        <v>44592</v>
      </c>
      <c r="C21" s="31">
        <f t="shared" ref="C21:C24" si="11">IF(A21="","",0)</f>
        <v>0</v>
      </c>
      <c r="D21" s="31">
        <f>IF(A21="","",i_Metric!$H6)</f>
        <v>0</v>
      </c>
      <c r="E21" s="31">
        <f t="shared" ref="E21:E24" si="12">IF(A21="","",0)</f>
        <v>0</v>
      </c>
      <c r="F21" s="31">
        <f t="shared" ref="F21:F24" si="13">IF(A21="","",0)</f>
        <v>0</v>
      </c>
    </row>
    <row r="22" spans="1:8" x14ac:dyDescent="0.25">
      <c r="A22" s="21">
        <f>IF($B5="","",$B5)</f>
        <v>3</v>
      </c>
      <c r="B22" s="30">
        <f t="shared" si="10"/>
        <v>44592</v>
      </c>
      <c r="C22" s="31">
        <f t="shared" si="11"/>
        <v>0</v>
      </c>
      <c r="D22" s="31">
        <f>IF(A22="","",i_Metric!$H7)</f>
        <v>0</v>
      </c>
      <c r="E22" s="31">
        <f t="shared" si="12"/>
        <v>0</v>
      </c>
      <c r="F22" s="31">
        <f t="shared" si="13"/>
        <v>0</v>
      </c>
    </row>
    <row r="23" spans="1:8" x14ac:dyDescent="0.25">
      <c r="A23" s="21">
        <f>IF($B6="","",$B6)</f>
        <v>4</v>
      </c>
      <c r="B23" s="30">
        <f t="shared" si="10"/>
        <v>44592</v>
      </c>
      <c r="C23" s="31">
        <f t="shared" si="11"/>
        <v>0</v>
      </c>
      <c r="D23" s="31">
        <f>IF(A23="","",i_Metric!$H8)</f>
        <v>0</v>
      </c>
      <c r="E23" s="31">
        <f t="shared" si="12"/>
        <v>0</v>
      </c>
      <c r="F23" s="31">
        <f t="shared" si="13"/>
        <v>0</v>
      </c>
    </row>
    <row r="24" spans="1:8" x14ac:dyDescent="0.25">
      <c r="A24" s="21" t="str">
        <f>IF($B7="","",$B7)</f>
        <v/>
      </c>
      <c r="B24" s="30" t="str">
        <f t="shared" si="10"/>
        <v/>
      </c>
      <c r="C24" s="31" t="str">
        <f t="shared" si="11"/>
        <v/>
      </c>
      <c r="D24" s="31" t="str">
        <f>IF(A24="","",i_Metric!$H9)</f>
        <v/>
      </c>
      <c r="E24" s="31" t="str">
        <f t="shared" si="12"/>
        <v/>
      </c>
      <c r="F24" s="31" t="str">
        <f t="shared" si="13"/>
        <v/>
      </c>
    </row>
    <row r="25" spans="1:8" x14ac:dyDescent="0.25">
      <c r="A25" s="65" t="s">
        <v>147</v>
      </c>
      <c r="B25" s="30"/>
      <c r="C25" s="31">
        <f>SUM(C19:C24)</f>
        <v>0</v>
      </c>
      <c r="D25" s="31">
        <f>SUM(D19:D24)</f>
        <v>0</v>
      </c>
      <c r="E25" s="31">
        <f>SUM(E19:E24)</f>
        <v>0</v>
      </c>
      <c r="F25" s="31">
        <f>SUM(F19:F24)</f>
        <v>0</v>
      </c>
    </row>
    <row r="26" spans="1:8" ht="15.75" thickBot="1" x14ac:dyDescent="0.3"/>
    <row r="27" spans="1:8" ht="21.75" thickBot="1" x14ac:dyDescent="0.4">
      <c r="A27" s="74" t="s">
        <v>152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40" t="s">
        <v>45</v>
      </c>
      <c r="B28" s="25" t="s">
        <v>12</v>
      </c>
      <c r="C28" s="25" t="s">
        <v>83</v>
      </c>
      <c r="D28" s="25" t="s">
        <v>70</v>
      </c>
      <c r="E28" s="25" t="s">
        <v>84</v>
      </c>
      <c r="F28" s="25" t="s">
        <v>71</v>
      </c>
    </row>
    <row r="29" spans="1:8" x14ac:dyDescent="0.25">
      <c r="A29" s="56">
        <v>0</v>
      </c>
      <c r="B29" s="30">
        <f t="shared" ref="B29:B34" si="14">IF(A29="","",$L$3)</f>
        <v>44592</v>
      </c>
      <c r="C29" s="31">
        <f>IF(B29="","",C25+C37)</f>
        <v>1900</v>
      </c>
      <c r="D29" s="31">
        <f>IF(B29="","",0)</f>
        <v>0</v>
      </c>
      <c r="E29" s="31">
        <f>IF(B29="","",IF(SUM(C29:D34)&gt;0,0,-SUM(C29:D34)))</f>
        <v>0</v>
      </c>
      <c r="F29" s="72">
        <f>IF(B29="","",SUM(C29:E34))</f>
        <v>1557.1819960861058</v>
      </c>
    </row>
    <row r="30" spans="1:8" x14ac:dyDescent="0.25">
      <c r="A30" s="21">
        <f>IF($B3="","",$B3)</f>
        <v>1</v>
      </c>
      <c r="B30" s="30">
        <f t="shared" si="14"/>
        <v>44592</v>
      </c>
      <c r="C30" s="31">
        <f>IF(A30="","",0)</f>
        <v>0</v>
      </c>
      <c r="D30" s="31">
        <f>IF(B30="","",-SUMIF($AC11:$BA11,$L$3,$CE11:$DC11))</f>
        <v>0</v>
      </c>
      <c r="E30" s="31">
        <f>IF(A30="","",0)</f>
        <v>0</v>
      </c>
      <c r="F30" s="31">
        <f>IF(A30="","",0)</f>
        <v>0</v>
      </c>
    </row>
    <row r="31" spans="1:8" x14ac:dyDescent="0.25">
      <c r="A31" s="21">
        <f>IF($B4="","",$B4)</f>
        <v>2</v>
      </c>
      <c r="B31" s="30">
        <f t="shared" si="14"/>
        <v>44592</v>
      </c>
      <c r="C31" s="31">
        <f t="shared" ref="C31:C34" si="15">IF(A31="","",0)</f>
        <v>0</v>
      </c>
      <c r="D31" s="31">
        <f>IF(B31="","",-SUMIF($AC12:$BA12,$L$3,$CE12:$DC12))</f>
        <v>-47.592954990215254</v>
      </c>
      <c r="E31" s="31">
        <f t="shared" ref="E31:E34" si="16">IF(A31="","",0)</f>
        <v>0</v>
      </c>
      <c r="F31" s="31">
        <f t="shared" ref="F31:F34" si="17">IF(A31="","",0)</f>
        <v>0</v>
      </c>
    </row>
    <row r="32" spans="1:8" x14ac:dyDescent="0.25">
      <c r="A32" s="21">
        <f>IF($B5="","",$B5)</f>
        <v>3</v>
      </c>
      <c r="B32" s="30">
        <f t="shared" si="14"/>
        <v>44592</v>
      </c>
      <c r="C32" s="31">
        <f t="shared" si="15"/>
        <v>0</v>
      </c>
      <c r="D32" s="31">
        <f>IF(B32="","",-SUMIF($AC13:$BA13,$L$3,$CE13:$DC13))</f>
        <v>-271.42857142857139</v>
      </c>
      <c r="E32" s="31">
        <f t="shared" si="16"/>
        <v>0</v>
      </c>
      <c r="F32" s="31">
        <f t="shared" si="17"/>
        <v>0</v>
      </c>
    </row>
    <row r="33" spans="1:9" x14ac:dyDescent="0.25">
      <c r="A33" s="21">
        <f>IF($B6="","",$B6)</f>
        <v>4</v>
      </c>
      <c r="B33" s="30">
        <f t="shared" si="14"/>
        <v>44592</v>
      </c>
      <c r="C33" s="31">
        <f t="shared" si="15"/>
        <v>0</v>
      </c>
      <c r="D33" s="31">
        <f>IF(B33="","",-SUMIF($AC14:$BA14,$L$3,$CE14:$DC14))</f>
        <v>-23.796477495107627</v>
      </c>
      <c r="E33" s="31">
        <f t="shared" si="16"/>
        <v>0</v>
      </c>
      <c r="F33" s="31">
        <f t="shared" si="17"/>
        <v>0</v>
      </c>
    </row>
    <row r="34" spans="1:9" ht="15.75" thickBot="1" x14ac:dyDescent="0.3">
      <c r="A34" s="21" t="str">
        <f>IF($B7="","",$B7)</f>
        <v/>
      </c>
      <c r="B34" s="30" t="str">
        <f t="shared" si="14"/>
        <v/>
      </c>
      <c r="C34" s="31" t="str">
        <f t="shared" si="15"/>
        <v/>
      </c>
      <c r="D34" s="31" t="str">
        <f>IF(B34="","",-SUMIF($AC15:$BA15,$L$3,$CE15:$DC15))</f>
        <v/>
      </c>
      <c r="E34" s="31" t="str">
        <f t="shared" si="16"/>
        <v/>
      </c>
      <c r="F34" s="31" t="str">
        <f t="shared" si="17"/>
        <v/>
      </c>
    </row>
    <row r="35" spans="1:9" ht="21.75" thickBot="1" x14ac:dyDescent="0.4">
      <c r="A35" s="74" t="s">
        <v>115</v>
      </c>
      <c r="B35" s="75"/>
      <c r="C35" s="75"/>
      <c r="D35" s="75"/>
      <c r="E35" s="75"/>
      <c r="F35" s="75"/>
      <c r="G35" s="75"/>
      <c r="H35" s="76"/>
    </row>
    <row r="36" spans="1:9" ht="10.5" customHeight="1" x14ac:dyDescent="0.25">
      <c r="A36" s="52"/>
      <c r="B36" s="52"/>
      <c r="C36" s="52"/>
      <c r="D36" s="52"/>
      <c r="E36" s="52"/>
      <c r="F36" s="52"/>
      <c r="G36" s="52"/>
      <c r="H36" s="52"/>
    </row>
    <row r="37" spans="1:9" ht="30" customHeight="1" x14ac:dyDescent="0.25">
      <c r="A37" s="56">
        <v>0</v>
      </c>
      <c r="B37" s="30">
        <f t="shared" ref="B37:B42" si="18">IF(A37="","",$L$3)</f>
        <v>44592</v>
      </c>
      <c r="C37" s="31">
        <f>i_Transaction!F2+i_Transaction!F3</f>
        <v>1900</v>
      </c>
      <c r="D37" s="31">
        <f>IF(B37="","",0)</f>
        <v>0</v>
      </c>
      <c r="E37" s="31">
        <f>IF(B37="","",IF(SUM(C37:D42)&gt;0,0,-SUM(C37:D42)))</f>
        <v>0</v>
      </c>
      <c r="F37" s="72">
        <f>IF(B37="","",SUM(C37:E42))</f>
        <v>1557.1819960861058</v>
      </c>
      <c r="H37" s="42"/>
      <c r="I37" s="42"/>
    </row>
    <row r="38" spans="1:9" x14ac:dyDescent="0.25">
      <c r="A38" s="21">
        <f>IF($B3="","",$B3)</f>
        <v>1</v>
      </c>
      <c r="B38" s="30">
        <f t="shared" si="18"/>
        <v>44592</v>
      </c>
      <c r="C38" s="31">
        <f>IF(A38="","",0)</f>
        <v>0</v>
      </c>
      <c r="D38" s="31">
        <f>IF(B38="","",D30-D20)</f>
        <v>0</v>
      </c>
      <c r="E38" s="31">
        <f>IF(A38="","",0)</f>
        <v>0</v>
      </c>
      <c r="F38" s="31">
        <f>IF(A38="","",0)</f>
        <v>0</v>
      </c>
    </row>
    <row r="39" spans="1:9" x14ac:dyDescent="0.25">
      <c r="A39" s="21">
        <f>IF($B4="","",$B4)</f>
        <v>2</v>
      </c>
      <c r="B39" s="30">
        <f t="shared" si="18"/>
        <v>44592</v>
      </c>
      <c r="C39" s="31">
        <f>IF(A39="","",0)</f>
        <v>0</v>
      </c>
      <c r="D39" s="31">
        <f>IF(B39="","",D31-D21)</f>
        <v>-47.592954990215254</v>
      </c>
      <c r="E39" s="31">
        <f>IF(A39="","",0)</f>
        <v>0</v>
      </c>
      <c r="F39" s="31">
        <f>IF(A39="","",0)</f>
        <v>0</v>
      </c>
    </row>
    <row r="40" spans="1:9" x14ac:dyDescent="0.25">
      <c r="A40" s="21">
        <f>IF($B5="","",$B5)</f>
        <v>3</v>
      </c>
      <c r="B40" s="30">
        <f t="shared" si="18"/>
        <v>44592</v>
      </c>
      <c r="C40" s="31">
        <f>IF(A40="","",0)</f>
        <v>0</v>
      </c>
      <c r="D40" s="31">
        <f>IF(B40="","",D32-D22)</f>
        <v>-271.42857142857139</v>
      </c>
      <c r="E40" s="31">
        <f>IF(A40="","",0)</f>
        <v>0</v>
      </c>
      <c r="F40" s="31">
        <f>IF(A40="","",0)</f>
        <v>0</v>
      </c>
    </row>
    <row r="41" spans="1:9" x14ac:dyDescent="0.25">
      <c r="A41" s="21">
        <f>IF($B6="","",$B6)</f>
        <v>4</v>
      </c>
      <c r="B41" s="30">
        <f t="shared" si="18"/>
        <v>44592</v>
      </c>
      <c r="C41" s="31">
        <f>IF(B41="","",C33+$C$25)</f>
        <v>0</v>
      </c>
      <c r="D41" s="31">
        <f>IF(B41="","",D33-D23)</f>
        <v>-23.796477495107627</v>
      </c>
      <c r="E41" s="31">
        <f>IF(A41="","",0)</f>
        <v>0</v>
      </c>
      <c r="F41" s="31">
        <f>IF(A41="","",0)</f>
        <v>0</v>
      </c>
    </row>
    <row r="42" spans="1:9" x14ac:dyDescent="0.25">
      <c r="A42" s="21" t="str">
        <f>IF($B7="","",$B7)</f>
        <v/>
      </c>
      <c r="B42" s="30" t="str">
        <f t="shared" si="18"/>
        <v/>
      </c>
      <c r="C42" s="31" t="str">
        <f>IF(B42="","",C34+$C$25)</f>
        <v/>
      </c>
      <c r="D42" s="31" t="str">
        <f>IF(B42="","",D34-D24)</f>
        <v/>
      </c>
      <c r="E42" s="31" t="str">
        <f>IF(A42="","",0)</f>
        <v/>
      </c>
      <c r="F42" s="31" t="str">
        <f>IF(A42="","",0)</f>
        <v/>
      </c>
    </row>
    <row r="43" spans="1:9" ht="15.75" thickBot="1" x14ac:dyDescent="0.3">
      <c r="A43" s="43"/>
      <c r="B43" s="50"/>
      <c r="C43" s="43"/>
      <c r="D43" s="43"/>
      <c r="E43" s="43"/>
      <c r="F43" s="43"/>
    </row>
    <row r="44" spans="1:9" ht="21.75" thickBot="1" x14ac:dyDescent="0.4">
      <c r="A44" s="74" t="s">
        <v>116</v>
      </c>
      <c r="B44" s="75"/>
      <c r="C44" s="75"/>
      <c r="D44" s="75"/>
      <c r="E44" s="75"/>
      <c r="F44" s="75"/>
      <c r="G44" s="77"/>
      <c r="H44" s="76"/>
    </row>
    <row r="45" spans="1:9" x14ac:dyDescent="0.25">
      <c r="A45" s="25" t="s">
        <v>57</v>
      </c>
      <c r="B45" s="25" t="s">
        <v>40</v>
      </c>
      <c r="C45" s="25" t="s">
        <v>41</v>
      </c>
      <c r="D45" s="25" t="s">
        <v>54</v>
      </c>
      <c r="E45" s="25" t="s">
        <v>39</v>
      </c>
      <c r="F45" s="25" t="s">
        <v>42</v>
      </c>
      <c r="G45" s="40" t="s">
        <v>150</v>
      </c>
    </row>
    <row r="46" spans="1:9" x14ac:dyDescent="0.25">
      <c r="A46" s="30" t="str">
        <f>IF(D38=0,"",B38)</f>
        <v/>
      </c>
      <c r="B46" s="30" t="str">
        <f t="shared" ref="B46:B51" si="19">IF(A46="","",A46)</f>
        <v/>
      </c>
      <c r="C46" s="21" t="str">
        <f t="shared" ref="C46:C51" si="20">IF(A46="","",$H$3)</f>
        <v/>
      </c>
      <c r="D46" s="21" t="str">
        <f>IF(A46="","","Revenue")</f>
        <v/>
      </c>
      <c r="E46" s="31" t="str">
        <f>IF(D46="Revenue",D38,"")</f>
        <v/>
      </c>
      <c r="F46" s="21" t="str">
        <f t="shared" ref="F46:F50" si="21">IF(A46="","",A38)</f>
        <v/>
      </c>
      <c r="G46" s="80" t="s">
        <v>70</v>
      </c>
    </row>
    <row r="47" spans="1:9" x14ac:dyDescent="0.25">
      <c r="A47" s="30">
        <f>IF(D39=0,"",B39)</f>
        <v>44592</v>
      </c>
      <c r="B47" s="30">
        <f t="shared" si="19"/>
        <v>44592</v>
      </c>
      <c r="C47" s="21" t="str">
        <f t="shared" si="20"/>
        <v>SO1</v>
      </c>
      <c r="D47" s="21" t="str">
        <f>IF(A47="","","Revenue")</f>
        <v>Revenue</v>
      </c>
      <c r="E47" s="31">
        <f>IF(D47="Revenue",D39,"")</f>
        <v>-47.592954990215254</v>
      </c>
      <c r="F47" s="21">
        <f t="shared" si="21"/>
        <v>2</v>
      </c>
      <c r="G47" s="80"/>
    </row>
    <row r="48" spans="1:9" x14ac:dyDescent="0.25">
      <c r="A48" s="30">
        <f t="shared" ref="A48" si="22">IF(D40=0,"",B40)</f>
        <v>44592</v>
      </c>
      <c r="B48" s="30">
        <f t="shared" si="19"/>
        <v>44592</v>
      </c>
      <c r="C48" s="21" t="str">
        <f t="shared" si="20"/>
        <v>SO1</v>
      </c>
      <c r="D48" s="21" t="str">
        <f>IF(A48="","","Revenue")</f>
        <v>Revenue</v>
      </c>
      <c r="E48" s="31">
        <f>IF(D48="Revenue",D40,"")</f>
        <v>-271.42857142857139</v>
      </c>
      <c r="F48" s="21">
        <f t="shared" si="21"/>
        <v>3</v>
      </c>
      <c r="G48" s="80"/>
    </row>
    <row r="49" spans="1:7" x14ac:dyDescent="0.25">
      <c r="A49" s="30">
        <f t="shared" ref="A49:A50" si="23">IF(D41=0,"",B41)</f>
        <v>44592</v>
      </c>
      <c r="B49" s="30">
        <f t="shared" si="19"/>
        <v>44592</v>
      </c>
      <c r="C49" s="21" t="str">
        <f t="shared" si="20"/>
        <v>SO1</v>
      </c>
      <c r="D49" s="21" t="str">
        <f>IF(A49="","","Revenue")</f>
        <v>Revenue</v>
      </c>
      <c r="E49" s="31">
        <f>IF(D49="Revenue",D41,"")</f>
        <v>-23.796477495107627</v>
      </c>
      <c r="F49" s="21">
        <f t="shared" si="21"/>
        <v>4</v>
      </c>
      <c r="G49" s="80"/>
    </row>
    <row r="50" spans="1:7" x14ac:dyDescent="0.25">
      <c r="A50" s="30" t="str">
        <f t="shared" si="23"/>
        <v/>
      </c>
      <c r="B50" s="30" t="str">
        <f t="shared" si="19"/>
        <v/>
      </c>
      <c r="C50" s="21" t="str">
        <f t="shared" si="20"/>
        <v/>
      </c>
      <c r="D50" s="21" t="str">
        <f>IF(A50="","","Revenue")</f>
        <v/>
      </c>
      <c r="E50" s="31" t="str">
        <f>IF(D50="Revenue",D42,"")</f>
        <v/>
      </c>
      <c r="F50" s="21" t="str">
        <f t="shared" si="21"/>
        <v/>
      </c>
      <c r="G50" s="80"/>
    </row>
    <row r="51" spans="1:7" x14ac:dyDescent="0.25">
      <c r="A51" s="30" t="str">
        <f>IF(OR(E29&lt;&gt;0,E25&lt;&gt;0),L3,"")</f>
        <v/>
      </c>
      <c r="B51" s="30" t="str">
        <f t="shared" si="19"/>
        <v/>
      </c>
      <c r="C51" s="21" t="str">
        <f t="shared" si="20"/>
        <v/>
      </c>
      <c r="D51" s="21" t="str">
        <f>IF(A51="","","Unbilled Charge")</f>
        <v/>
      </c>
      <c r="E51" s="31" t="str">
        <f>IF(A51="","",E29-E25)</f>
        <v/>
      </c>
      <c r="F51" s="21" t="str">
        <f>IF(A51="","",A37)</f>
        <v/>
      </c>
      <c r="G51" s="70" t="s">
        <v>69</v>
      </c>
    </row>
    <row r="53" spans="1:7" ht="15.75" thickBot="1" x14ac:dyDescent="0.3"/>
    <row r="54" spans="1:7" ht="21.75" thickBot="1" x14ac:dyDescent="0.4">
      <c r="A54" s="74" t="s">
        <v>117</v>
      </c>
      <c r="B54" s="75"/>
      <c r="C54" s="75"/>
      <c r="D54" s="75"/>
      <c r="E54" s="75"/>
      <c r="F54" s="76"/>
    </row>
    <row r="55" spans="1:7" x14ac:dyDescent="0.25">
      <c r="A55" s="22" t="str" cm="1">
        <f t="array" ref="A55:F58">_xlfn._xlws.FILTER(A45:F51, (A45:A51&lt;&gt;"")*(B45:B51&lt;&gt;"")*(C45:C51&lt;&gt;"")*(D45:D51&lt;&gt;"")*(E45:E51&lt;&gt;"")*(F45:F51&lt;&gt;""), "No data")</f>
        <v>PostingDate</v>
      </c>
      <c r="B55" s="22" t="str">
        <v>TransactionDate</v>
      </c>
      <c r="C55" s="23" t="str">
        <v>InstrumentId</v>
      </c>
      <c r="D55" s="23" t="str">
        <v>Transactiontype</v>
      </c>
      <c r="E55" s="41" t="str">
        <v>Amount</v>
      </c>
      <c r="F55" s="23" t="str">
        <v>AttributeId</v>
      </c>
    </row>
    <row r="56" spans="1:7" x14ac:dyDescent="0.25">
      <c r="A56" s="4">
        <v>44592</v>
      </c>
      <c r="B56" s="4">
        <v>44592</v>
      </c>
      <c r="C56" t="str">
        <v>SO1</v>
      </c>
      <c r="D56" t="str">
        <v>Revenue</v>
      </c>
      <c r="E56">
        <v>-47.592954990215254</v>
      </c>
      <c r="F56">
        <v>2</v>
      </c>
    </row>
    <row r="57" spans="1:7" x14ac:dyDescent="0.25">
      <c r="A57" s="4">
        <v>44592</v>
      </c>
      <c r="B57" s="4">
        <v>44592</v>
      </c>
      <c r="C57" t="str">
        <v>SO1</v>
      </c>
      <c r="D57" t="str">
        <v>Revenue</v>
      </c>
      <c r="E57">
        <v>-271.42857142857139</v>
      </c>
      <c r="F57">
        <v>3</v>
      </c>
    </row>
    <row r="58" spans="1:7" x14ac:dyDescent="0.25">
      <c r="A58" s="4">
        <v>44592</v>
      </c>
      <c r="B58" s="4">
        <v>44592</v>
      </c>
      <c r="C58" t="str">
        <v>SO1</v>
      </c>
      <c r="D58" t="str">
        <v>Revenue</v>
      </c>
      <c r="E58">
        <v>-23.796477495107627</v>
      </c>
      <c r="F58">
        <v>4</v>
      </c>
    </row>
    <row r="59" spans="1:7" x14ac:dyDescent="0.25">
      <c r="A59" s="4"/>
      <c r="B59" s="4"/>
    </row>
    <row r="60" spans="1:7" x14ac:dyDescent="0.25">
      <c r="A60" s="4"/>
      <c r="B60" s="4"/>
    </row>
    <row r="61" spans="1:7" x14ac:dyDescent="0.25">
      <c r="A61" s="4"/>
      <c r="B61" s="4"/>
    </row>
    <row r="62" spans="1:7" x14ac:dyDescent="0.25">
      <c r="A62" s="4"/>
      <c r="B62" s="4"/>
    </row>
    <row r="63" spans="1:7" x14ac:dyDescent="0.25">
      <c r="A63" s="4"/>
      <c r="B63" s="4"/>
    </row>
    <row r="64" spans="1:7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</sheetData>
  <mergeCells count="12">
    <mergeCell ref="DD1:DD15"/>
    <mergeCell ref="A1:I1"/>
    <mergeCell ref="J1:K1"/>
    <mergeCell ref="AA1:AA15"/>
    <mergeCell ref="BB1:BB15"/>
    <mergeCell ref="CC1:CC15"/>
    <mergeCell ref="A17:H17"/>
    <mergeCell ref="A27:H27"/>
    <mergeCell ref="A44:H44"/>
    <mergeCell ref="A54:F54"/>
    <mergeCell ref="G46:G50"/>
    <mergeCell ref="A35:H35"/>
  </mergeCells>
  <conditionalFormatting sqref="J3:K7">
    <cfRule type="cellIs" dxfId="0" priority="1" operator="equal">
      <formula>"Pass"</formula>
    </cfRule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724B-343D-49BB-AAF8-5475C2D97911}">
  <sheetPr>
    <tabColor rgb="FF00B0F0"/>
  </sheetPr>
  <dimension ref="A1:AI63"/>
  <sheetViews>
    <sheetView workbookViewId="0">
      <selection activeCell="I18" sqref="I18"/>
    </sheetView>
  </sheetViews>
  <sheetFormatPr defaultRowHeight="15" x14ac:dyDescent="0.25"/>
  <cols>
    <col min="1" max="2" width="9.7109375" bestFit="1" customWidth="1"/>
    <col min="3" max="3" width="17.5703125" bestFit="1" customWidth="1"/>
    <col min="4" max="4" width="24.85546875" customWidth="1"/>
    <col min="5" max="5" width="19.5703125" customWidth="1"/>
    <col min="8" max="8" width="10.85546875" bestFit="1" customWidth="1"/>
    <col min="9" max="9" width="9.28515625" bestFit="1" customWidth="1"/>
    <col min="11" max="11" width="25.140625" customWidth="1"/>
    <col min="13" max="13" width="19.42578125" customWidth="1"/>
    <col min="14" max="14" width="25.5703125" customWidth="1"/>
    <col min="15" max="15" width="9.7109375" bestFit="1" customWidth="1"/>
    <col min="17" max="17" width="25.7109375" customWidth="1"/>
    <col min="18" max="18" width="21" customWidth="1"/>
    <col min="19" max="19" width="23" customWidth="1"/>
    <col min="20" max="20" width="20.28515625" customWidth="1"/>
    <col min="21" max="21" width="18.42578125" customWidth="1"/>
    <col min="25" max="25" width="21.7109375" customWidth="1"/>
    <col min="29" max="29" width="9.7109375" bestFit="1" customWidth="1"/>
    <col min="30" max="30" width="12.28515625" bestFit="1" customWidth="1"/>
    <col min="31" max="31" width="12.7109375" bestFit="1" customWidth="1"/>
    <col min="32" max="32" width="11.140625" bestFit="1" customWidth="1"/>
    <col min="33" max="33" width="8.85546875" bestFit="1" customWidth="1"/>
    <col min="34" max="34" width="15.140625" bestFit="1" customWidth="1"/>
    <col min="35" max="35" width="15.5703125" bestFit="1" customWidth="1"/>
  </cols>
  <sheetData>
    <row r="1" spans="1:35" x14ac:dyDescent="0.25">
      <c r="L1">
        <v>1</v>
      </c>
      <c r="M1">
        <v>0</v>
      </c>
      <c r="R1">
        <v>125</v>
      </c>
      <c r="S1">
        <f>R1*Q3</f>
        <v>1500</v>
      </c>
    </row>
    <row r="2" spans="1:35" x14ac:dyDescent="0.25">
      <c r="L2">
        <v>2</v>
      </c>
      <c r="M2">
        <v>1040</v>
      </c>
      <c r="N2">
        <f>M2/365</f>
        <v>2.8493150684931505</v>
      </c>
      <c r="P2">
        <v>1</v>
      </c>
      <c r="Q2" t="s">
        <v>86</v>
      </c>
      <c r="R2" t="s">
        <v>59</v>
      </c>
      <c r="S2" t="s">
        <v>87</v>
      </c>
      <c r="T2" t="s">
        <v>88</v>
      </c>
      <c r="U2" t="s">
        <v>89</v>
      </c>
      <c r="W2" t="s">
        <v>90</v>
      </c>
    </row>
    <row r="3" spans="1:35" ht="15.75" thickBot="1" x14ac:dyDescent="0.3">
      <c r="L3">
        <v>3</v>
      </c>
      <c r="M3">
        <v>260</v>
      </c>
      <c r="Q3">
        <v>12</v>
      </c>
      <c r="R3">
        <v>100</v>
      </c>
      <c r="S3">
        <f>Q3*R3</f>
        <v>1200</v>
      </c>
      <c r="T3" s="4">
        <v>44576</v>
      </c>
      <c r="U3" s="4">
        <v>44941</v>
      </c>
      <c r="V3">
        <f>U3-T3</f>
        <v>365</v>
      </c>
      <c r="W3">
        <f>S3/V3</f>
        <v>3.2876712328767121</v>
      </c>
      <c r="X3" t="s">
        <v>92</v>
      </c>
      <c r="Y3">
        <f>ROUND(S1/V3,4)</f>
        <v>4.1096000000000004</v>
      </c>
    </row>
    <row r="4" spans="1:35" ht="15.75" thickBot="1" x14ac:dyDescent="0.3">
      <c r="A4" s="86" t="s">
        <v>60</v>
      </c>
      <c r="B4" s="87"/>
      <c r="C4" s="87"/>
      <c r="D4" s="87"/>
      <c r="E4" s="88"/>
      <c r="H4" s="86" t="s">
        <v>62</v>
      </c>
      <c r="I4" s="88"/>
    </row>
    <row r="5" spans="1:35" x14ac:dyDescent="0.25">
      <c r="A5" s="11" t="s">
        <v>67</v>
      </c>
      <c r="B5" s="11" t="s">
        <v>66</v>
      </c>
      <c r="C5" s="11" t="s">
        <v>65</v>
      </c>
      <c r="D5" s="11" t="s">
        <v>39</v>
      </c>
      <c r="E5" s="11" t="s">
        <v>31</v>
      </c>
      <c r="F5" s="11" t="s">
        <v>151</v>
      </c>
      <c r="G5" s="11"/>
      <c r="H5" s="11" t="s">
        <v>83</v>
      </c>
      <c r="I5" s="11" t="s">
        <v>70</v>
      </c>
      <c r="J5" s="11" t="s">
        <v>84</v>
      </c>
      <c r="K5" s="11" t="s">
        <v>85</v>
      </c>
      <c r="M5" s="11"/>
      <c r="N5" s="11"/>
      <c r="O5" s="11"/>
      <c r="P5" s="11"/>
      <c r="R5" s="11" t="s">
        <v>96</v>
      </c>
      <c r="S5" s="11" t="s">
        <v>70</v>
      </c>
      <c r="T5" s="11" t="s">
        <v>69</v>
      </c>
      <c r="U5" s="11" t="s">
        <v>71</v>
      </c>
    </row>
    <row r="6" spans="1:35" x14ac:dyDescent="0.25">
      <c r="A6" s="30"/>
      <c r="B6" s="30"/>
      <c r="C6" s="21"/>
      <c r="D6" s="31">
        <f>-D7</f>
        <v>45.589041095890408</v>
      </c>
      <c r="E6" s="21"/>
      <c r="F6">
        <v>0</v>
      </c>
      <c r="H6" s="35"/>
      <c r="I6" s="35"/>
      <c r="J6" s="42"/>
      <c r="M6" s="4"/>
      <c r="O6" s="42"/>
    </row>
    <row r="7" spans="1:35" x14ac:dyDescent="0.25">
      <c r="A7" s="30">
        <v>44592</v>
      </c>
      <c r="B7" s="30">
        <f>A7</f>
        <v>44592</v>
      </c>
      <c r="C7" s="21" t="s">
        <v>70</v>
      </c>
      <c r="D7" s="31">
        <f>-N2*16</f>
        <v>-45.589041095890408</v>
      </c>
      <c r="E7" s="21" t="s">
        <v>64</v>
      </c>
      <c r="F7">
        <v>2</v>
      </c>
      <c r="H7" s="35"/>
      <c r="I7" s="35"/>
      <c r="J7" s="42"/>
      <c r="K7" s="35"/>
      <c r="M7" s="4"/>
      <c r="P7" s="42"/>
      <c r="AD7" t="s">
        <v>93</v>
      </c>
      <c r="AE7" t="s">
        <v>93</v>
      </c>
      <c r="AF7" t="s">
        <v>51</v>
      </c>
      <c r="AG7" t="s">
        <v>51</v>
      </c>
      <c r="AH7" t="s">
        <v>93</v>
      </c>
      <c r="AI7" t="s">
        <v>93</v>
      </c>
    </row>
    <row r="8" spans="1:35" x14ac:dyDescent="0.25">
      <c r="A8" s="30">
        <v>44592</v>
      </c>
      <c r="B8" s="30">
        <v>44592</v>
      </c>
      <c r="C8" s="21" t="s">
        <v>70</v>
      </c>
      <c r="D8" s="31">
        <f>-M3</f>
        <v>-260</v>
      </c>
      <c r="E8" s="21" t="s">
        <v>64</v>
      </c>
      <c r="F8">
        <v>3</v>
      </c>
      <c r="H8" s="35"/>
      <c r="I8" s="35"/>
      <c r="J8" s="42"/>
      <c r="K8" s="35"/>
    </row>
    <row r="9" spans="1:35" x14ac:dyDescent="0.25">
      <c r="A9" s="30">
        <v>44592</v>
      </c>
      <c r="B9" s="30">
        <v>44592</v>
      </c>
      <c r="C9" s="21" t="s">
        <v>82</v>
      </c>
      <c r="D9" s="31">
        <v>1300</v>
      </c>
      <c r="E9" s="21" t="s">
        <v>64</v>
      </c>
      <c r="F9">
        <v>0</v>
      </c>
      <c r="H9" s="35">
        <f>D9</f>
        <v>1300</v>
      </c>
      <c r="I9" s="35">
        <f>SUM(D7:D8)</f>
        <v>-305.58904109589042</v>
      </c>
      <c r="J9" s="42"/>
      <c r="K9" s="35">
        <f>SUM(H9:J9)</f>
        <v>994.41095890410952</v>
      </c>
      <c r="M9" s="4"/>
      <c r="O9" s="42"/>
      <c r="P9" s="42"/>
      <c r="AC9" s="4"/>
    </row>
    <row r="10" spans="1:35" x14ac:dyDescent="0.25">
      <c r="A10" s="30">
        <v>44620</v>
      </c>
      <c r="B10" s="30">
        <v>44620</v>
      </c>
      <c r="C10" s="21" t="s">
        <v>70</v>
      </c>
      <c r="D10" s="31">
        <f>-N2*28</f>
        <v>-79.780821917808211</v>
      </c>
      <c r="E10" s="21" t="s">
        <v>64</v>
      </c>
      <c r="F10">
        <v>2</v>
      </c>
      <c r="M10" s="4"/>
      <c r="O10" s="42"/>
      <c r="P10" s="42"/>
      <c r="R10">
        <v>0</v>
      </c>
      <c r="S10" s="42">
        <f>P7</f>
        <v>0</v>
      </c>
      <c r="T10" s="42">
        <f>O9</f>
        <v>0</v>
      </c>
      <c r="U10" s="42">
        <f>O6+P10</f>
        <v>0</v>
      </c>
      <c r="AC10" s="4"/>
    </row>
    <row r="11" spans="1:35" x14ac:dyDescent="0.25">
      <c r="A11" s="30">
        <v>44620</v>
      </c>
      <c r="B11" s="30">
        <v>44620</v>
      </c>
      <c r="C11" s="21" t="s">
        <v>158</v>
      </c>
      <c r="D11" s="31">
        <v>-1300</v>
      </c>
      <c r="E11" s="21" t="s">
        <v>64</v>
      </c>
      <c r="F11">
        <v>0</v>
      </c>
      <c r="H11" s="35">
        <f>D11+D9</f>
        <v>0</v>
      </c>
      <c r="I11" s="36">
        <f>D7+D8+D10</f>
        <v>-385.36986301369865</v>
      </c>
      <c r="J11" s="42">
        <f>J9+D12</f>
        <v>339.78082191780823</v>
      </c>
      <c r="K11" s="35">
        <f>SUM(H11:J11)</f>
        <v>-45.589041095890423</v>
      </c>
      <c r="L11">
        <v>24.630136986301402</v>
      </c>
      <c r="O11" s="42"/>
      <c r="P11" s="42"/>
      <c r="AC11" s="4"/>
    </row>
    <row r="12" spans="1:35" x14ac:dyDescent="0.25">
      <c r="A12" s="30">
        <v>44620</v>
      </c>
      <c r="B12" s="30">
        <v>44620</v>
      </c>
      <c r="C12" s="21" t="s">
        <v>91</v>
      </c>
      <c r="D12" s="31">
        <v>339.78082191780823</v>
      </c>
      <c r="E12" s="21"/>
      <c r="H12" s="35"/>
      <c r="I12" s="35"/>
      <c r="J12" s="42"/>
      <c r="K12" s="35"/>
      <c r="M12" s="50"/>
      <c r="O12" s="42"/>
      <c r="P12" s="42"/>
    </row>
    <row r="13" spans="1:35" x14ac:dyDescent="0.25">
      <c r="A13" s="30"/>
      <c r="B13" s="30"/>
      <c r="C13" s="21"/>
      <c r="D13" s="31"/>
      <c r="E13" s="21"/>
      <c r="H13" s="35"/>
      <c r="I13" s="35"/>
      <c r="J13" s="42"/>
      <c r="K13" s="35"/>
      <c r="M13" s="50"/>
      <c r="O13" s="42"/>
      <c r="P13" s="42"/>
    </row>
    <row r="14" spans="1:35" x14ac:dyDescent="0.25">
      <c r="A14" s="30"/>
      <c r="B14" s="30"/>
      <c r="C14" s="21"/>
      <c r="D14" s="31"/>
      <c r="E14" s="21"/>
      <c r="H14" s="35"/>
      <c r="I14" s="35"/>
      <c r="J14" s="42"/>
      <c r="K14" s="35"/>
      <c r="L14" s="35"/>
      <c r="M14" s="43"/>
      <c r="O14" s="42"/>
      <c r="P14" s="42"/>
    </row>
    <row r="15" spans="1:35" x14ac:dyDescent="0.25">
      <c r="A15" s="44"/>
      <c r="B15" s="44"/>
      <c r="C15" s="45"/>
      <c r="D15" s="46"/>
      <c r="E15" s="45"/>
      <c r="H15" s="35"/>
      <c r="I15" s="35"/>
      <c r="M15" s="50"/>
      <c r="O15" s="42"/>
      <c r="P15" s="42"/>
    </row>
    <row r="16" spans="1:35" x14ac:dyDescent="0.25">
      <c r="A16" s="44"/>
      <c r="B16" s="44"/>
      <c r="C16" s="45"/>
      <c r="D16" s="47"/>
      <c r="E16" s="45"/>
      <c r="H16" s="35"/>
      <c r="I16" s="35"/>
      <c r="M16" s="50"/>
      <c r="O16" s="42"/>
      <c r="P16" s="42"/>
      <c r="R16">
        <f>R10</f>
        <v>0</v>
      </c>
      <c r="S16" s="42">
        <f>S10+P13</f>
        <v>0</v>
      </c>
      <c r="T16" s="42">
        <f>T10+O15</f>
        <v>0</v>
      </c>
      <c r="U16" s="42">
        <f>U10</f>
        <v>0</v>
      </c>
    </row>
    <row r="17" spans="1:21" x14ac:dyDescent="0.25">
      <c r="A17" s="44"/>
      <c r="B17" s="44"/>
      <c r="C17" s="45"/>
      <c r="D17" s="47"/>
      <c r="E17" s="45"/>
      <c r="H17" s="35"/>
      <c r="I17" s="35"/>
      <c r="O17" s="42"/>
      <c r="P17" s="42"/>
    </row>
    <row r="18" spans="1:21" x14ac:dyDescent="0.25">
      <c r="A18" s="44"/>
      <c r="B18" s="44"/>
      <c r="C18" s="45"/>
      <c r="D18" s="47"/>
      <c r="E18" s="45"/>
      <c r="H18" s="35"/>
      <c r="I18" s="35"/>
      <c r="M18" s="50"/>
      <c r="O18" s="42"/>
      <c r="P18" s="42"/>
    </row>
    <row r="19" spans="1:21" x14ac:dyDescent="0.25">
      <c r="A19" s="44"/>
      <c r="B19" s="44"/>
      <c r="C19" s="45"/>
      <c r="D19" s="47"/>
      <c r="E19" s="45"/>
      <c r="H19" s="35"/>
      <c r="I19" s="35"/>
      <c r="M19" s="50"/>
      <c r="O19" s="42"/>
      <c r="P19" s="42"/>
      <c r="R19" s="42"/>
      <c r="S19" s="42"/>
      <c r="T19" s="42"/>
      <c r="U19" s="42"/>
    </row>
    <row r="20" spans="1:21" x14ac:dyDescent="0.25">
      <c r="A20" s="44"/>
      <c r="B20" s="44"/>
      <c r="C20" s="45"/>
      <c r="D20" s="47"/>
      <c r="E20" s="45"/>
      <c r="H20" s="35"/>
      <c r="I20" s="35"/>
      <c r="M20" s="43"/>
      <c r="O20" s="42"/>
      <c r="P20" s="42"/>
    </row>
    <row r="21" spans="1:21" x14ac:dyDescent="0.25">
      <c r="A21" s="44"/>
      <c r="B21" s="44"/>
      <c r="C21" s="45"/>
      <c r="D21" s="47"/>
      <c r="E21" s="45"/>
      <c r="H21" s="35"/>
      <c r="I21" s="35"/>
      <c r="M21" s="50"/>
      <c r="O21" s="42"/>
      <c r="P21" s="42"/>
    </row>
    <row r="22" spans="1:21" x14ac:dyDescent="0.25">
      <c r="A22" s="44"/>
      <c r="B22" s="44"/>
      <c r="C22" s="45"/>
      <c r="D22" s="47"/>
      <c r="E22" s="45"/>
      <c r="H22" s="35"/>
      <c r="I22" s="35"/>
      <c r="M22" s="50"/>
      <c r="O22" s="42"/>
      <c r="P22" s="42"/>
    </row>
    <row r="23" spans="1:21" x14ac:dyDescent="0.25">
      <c r="A23" s="44"/>
      <c r="B23" s="44"/>
      <c r="C23" s="45"/>
      <c r="D23" s="47"/>
      <c r="E23" s="45"/>
      <c r="H23" s="35"/>
      <c r="I23" s="35"/>
      <c r="J23" s="48"/>
      <c r="K23" s="35"/>
      <c r="M23" s="43"/>
      <c r="O23" s="42"/>
      <c r="P23" s="42"/>
    </row>
    <row r="24" spans="1:21" x14ac:dyDescent="0.25">
      <c r="A24" s="32"/>
      <c r="B24" s="32"/>
      <c r="C24" s="33"/>
      <c r="D24" s="34"/>
      <c r="E24" s="33"/>
      <c r="H24" s="35"/>
      <c r="I24" s="35"/>
      <c r="M24" s="50"/>
      <c r="O24" s="42"/>
      <c r="P24" s="42"/>
    </row>
    <row r="25" spans="1:21" x14ac:dyDescent="0.25">
      <c r="A25" s="32"/>
      <c r="B25" s="32"/>
      <c r="C25" s="33"/>
      <c r="D25" s="34"/>
      <c r="E25" s="33"/>
      <c r="H25" s="35"/>
      <c r="I25" s="35"/>
      <c r="J25" s="42"/>
      <c r="K25" s="35"/>
      <c r="M25" s="50"/>
      <c r="O25" s="42"/>
      <c r="P25" s="42"/>
      <c r="R25" s="42">
        <f>R16+O18</f>
        <v>0</v>
      </c>
      <c r="S25" s="42">
        <f>S16+P25</f>
        <v>0</v>
      </c>
      <c r="T25" s="42">
        <f>T16+P22</f>
        <v>0</v>
      </c>
      <c r="U25" s="42">
        <f>U16+P19+O21+O24</f>
        <v>0</v>
      </c>
    </row>
    <row r="26" spans="1:21" x14ac:dyDescent="0.25">
      <c r="A26" s="32"/>
      <c r="B26" s="32"/>
      <c r="C26" s="33"/>
      <c r="D26" s="34"/>
      <c r="E26" s="33"/>
      <c r="H26" s="35"/>
      <c r="I26" s="35"/>
      <c r="M26" s="43"/>
      <c r="O26" s="42"/>
      <c r="P26" s="42"/>
    </row>
    <row r="27" spans="1:21" x14ac:dyDescent="0.25">
      <c r="A27" s="32"/>
      <c r="B27" s="32"/>
      <c r="C27" s="33"/>
      <c r="D27" s="34"/>
      <c r="E27" s="33"/>
      <c r="H27" s="35"/>
      <c r="I27" s="35"/>
      <c r="J27" s="42"/>
      <c r="K27" s="35"/>
      <c r="M27" s="50"/>
      <c r="O27" s="42"/>
      <c r="P27" s="42"/>
    </row>
    <row r="28" spans="1:21" x14ac:dyDescent="0.25">
      <c r="A28" s="32"/>
      <c r="B28" s="32"/>
      <c r="C28" s="33"/>
      <c r="D28" s="34"/>
      <c r="E28" s="33"/>
      <c r="H28" s="35"/>
      <c r="I28" s="35"/>
      <c r="M28" s="50"/>
      <c r="O28" s="42"/>
      <c r="P28" s="42"/>
    </row>
    <row r="29" spans="1:21" x14ac:dyDescent="0.25">
      <c r="A29" s="32"/>
      <c r="B29" s="32"/>
      <c r="C29" s="53"/>
      <c r="D29" s="54"/>
      <c r="E29" s="53"/>
      <c r="M29" s="43"/>
      <c r="O29" s="42"/>
      <c r="P29" s="42"/>
    </row>
    <row r="30" spans="1:21" x14ac:dyDescent="0.25">
      <c r="A30" s="32"/>
      <c r="B30" s="32"/>
      <c r="C30" s="33"/>
      <c r="D30" s="34"/>
      <c r="E30" s="33"/>
      <c r="H30" s="35"/>
      <c r="I30" s="35"/>
      <c r="M30" s="50"/>
      <c r="O30" s="42"/>
      <c r="P30" s="42"/>
    </row>
    <row r="31" spans="1:21" x14ac:dyDescent="0.25">
      <c r="A31" s="32"/>
      <c r="B31" s="32"/>
      <c r="C31" s="33"/>
      <c r="D31" s="34"/>
      <c r="E31" s="33"/>
      <c r="H31" s="35"/>
      <c r="I31" s="35"/>
      <c r="J31" s="35"/>
      <c r="K31" s="35"/>
      <c r="M31" s="50"/>
      <c r="O31" s="42"/>
      <c r="P31" s="42"/>
      <c r="R31" s="42">
        <f>R25</f>
        <v>0</v>
      </c>
      <c r="S31" s="42">
        <f>S25+P28</f>
        <v>0</v>
      </c>
      <c r="T31" s="42">
        <f>T25+O30</f>
        <v>0</v>
      </c>
      <c r="U31" s="42">
        <f>U25+O27+P31</f>
        <v>0</v>
      </c>
    </row>
    <row r="32" spans="1:21" x14ac:dyDescent="0.25">
      <c r="A32" s="32"/>
      <c r="B32" s="32"/>
      <c r="C32" s="33"/>
      <c r="D32" s="34"/>
      <c r="E32" s="33"/>
      <c r="H32" s="35"/>
      <c r="I32" s="35"/>
      <c r="O32" s="42"/>
      <c r="P32" s="42"/>
    </row>
    <row r="33" spans="1:21" x14ac:dyDescent="0.25">
      <c r="A33" s="32"/>
      <c r="B33" s="32"/>
      <c r="C33" s="33"/>
      <c r="D33" s="34"/>
      <c r="E33" s="33"/>
      <c r="H33" s="35"/>
      <c r="I33" s="35"/>
      <c r="J33" s="35"/>
      <c r="K33" s="35"/>
      <c r="M33" s="44"/>
      <c r="O33" s="42"/>
      <c r="P33" s="42"/>
    </row>
    <row r="34" spans="1:21" x14ac:dyDescent="0.25">
      <c r="A34" s="32"/>
      <c r="B34" s="32"/>
      <c r="C34" s="33"/>
      <c r="D34" s="51"/>
      <c r="E34" s="30"/>
      <c r="H34" s="35"/>
      <c r="I34" s="35"/>
      <c r="M34" s="44"/>
      <c r="O34" s="42"/>
      <c r="P34" s="42"/>
    </row>
    <row r="35" spans="1:21" x14ac:dyDescent="0.25">
      <c r="A35" s="32"/>
      <c r="B35" s="32"/>
      <c r="C35" s="33"/>
      <c r="D35" s="51"/>
      <c r="E35" s="30"/>
      <c r="H35" s="35"/>
      <c r="I35" s="35"/>
      <c r="J35" s="35"/>
      <c r="K35" s="35"/>
      <c r="O35" s="42"/>
      <c r="P35" s="42"/>
    </row>
    <row r="36" spans="1:21" x14ac:dyDescent="0.25">
      <c r="A36" s="30"/>
      <c r="B36" s="30"/>
      <c r="C36" s="30"/>
      <c r="D36" s="30"/>
      <c r="E36" s="30"/>
      <c r="H36" s="35"/>
      <c r="I36" s="35"/>
      <c r="M36" s="44"/>
      <c r="O36" s="42"/>
      <c r="P36" s="42"/>
    </row>
    <row r="37" spans="1:21" x14ac:dyDescent="0.25">
      <c r="A37" s="30"/>
      <c r="B37" s="30"/>
      <c r="C37" s="30"/>
      <c r="D37" s="30"/>
      <c r="E37" s="30"/>
      <c r="H37" s="35"/>
      <c r="I37" s="35"/>
      <c r="J37" s="35"/>
      <c r="M37" s="44"/>
      <c r="O37" s="42"/>
      <c r="P37" s="42"/>
      <c r="R37" s="42">
        <f>R31</f>
        <v>0</v>
      </c>
      <c r="S37" s="42">
        <f>S31+O36</f>
        <v>0</v>
      </c>
      <c r="T37" s="42">
        <f>T31+P34</f>
        <v>0</v>
      </c>
      <c r="U37" s="42">
        <f>U31+O33+P37</f>
        <v>0</v>
      </c>
    </row>
    <row r="38" spans="1:21" x14ac:dyDescent="0.25">
      <c r="A38" s="30"/>
      <c r="B38" s="30"/>
      <c r="C38" s="30"/>
      <c r="D38" s="30"/>
      <c r="E38" s="30"/>
      <c r="H38" s="35"/>
      <c r="I38" s="35"/>
      <c r="O38" s="42"/>
      <c r="P38" s="42"/>
    </row>
    <row r="39" spans="1:21" x14ac:dyDescent="0.25">
      <c r="A39" s="30"/>
      <c r="B39" s="30"/>
      <c r="C39" s="30"/>
      <c r="D39" s="30"/>
      <c r="E39" s="30"/>
      <c r="H39" s="35"/>
      <c r="I39" s="35"/>
      <c r="M39" s="44"/>
      <c r="O39" s="42"/>
      <c r="P39" s="42"/>
    </row>
    <row r="40" spans="1:21" x14ac:dyDescent="0.25">
      <c r="A40" s="30"/>
      <c r="B40" s="30"/>
      <c r="C40" s="30"/>
      <c r="D40" s="30"/>
      <c r="E40" s="30"/>
      <c r="H40" s="35"/>
      <c r="I40" s="35"/>
      <c r="J40" s="35"/>
      <c r="M40" s="44"/>
      <c r="O40" s="42"/>
      <c r="P40" s="42"/>
    </row>
    <row r="41" spans="1:21" x14ac:dyDescent="0.25">
      <c r="A41" s="30"/>
      <c r="B41" s="30"/>
      <c r="C41" s="30"/>
      <c r="D41" s="30"/>
      <c r="E41" s="30"/>
      <c r="H41" s="35"/>
      <c r="I41" s="35"/>
      <c r="O41" s="42"/>
      <c r="P41" s="42"/>
    </row>
    <row r="42" spans="1:21" x14ac:dyDescent="0.25">
      <c r="A42" s="30"/>
      <c r="B42" s="30"/>
      <c r="C42" s="30"/>
      <c r="D42" s="30"/>
      <c r="E42" s="30"/>
      <c r="H42" s="35"/>
      <c r="I42" s="36"/>
      <c r="M42" s="44"/>
      <c r="O42" s="42"/>
      <c r="P42" s="42"/>
    </row>
    <row r="43" spans="1:21" x14ac:dyDescent="0.25">
      <c r="A43" s="30"/>
      <c r="B43" s="30"/>
      <c r="C43" s="30"/>
      <c r="D43" s="30"/>
      <c r="E43" s="30"/>
      <c r="H43" s="35"/>
      <c r="I43" s="36"/>
      <c r="M43" s="44"/>
      <c r="O43" s="42"/>
      <c r="P43" s="42"/>
    </row>
    <row r="44" spans="1:21" x14ac:dyDescent="0.25">
      <c r="A44" s="30"/>
      <c r="B44" s="30"/>
      <c r="C44" s="30"/>
      <c r="D44" s="30"/>
      <c r="E44" s="30"/>
      <c r="H44" s="35"/>
      <c r="I44" s="36"/>
      <c r="O44" s="42"/>
      <c r="P44" s="42"/>
    </row>
    <row r="45" spans="1:21" x14ac:dyDescent="0.25">
      <c r="A45" s="30"/>
      <c r="B45" s="30"/>
      <c r="C45" s="30"/>
      <c r="D45" s="30"/>
      <c r="E45" s="30"/>
      <c r="H45" s="35"/>
      <c r="I45" s="36"/>
      <c r="M45" s="44"/>
      <c r="O45" s="42"/>
      <c r="P45" s="42"/>
    </row>
    <row r="46" spans="1:21" x14ac:dyDescent="0.25">
      <c r="A46" s="30"/>
      <c r="B46" s="30"/>
      <c r="C46" s="30"/>
      <c r="D46" s="30"/>
      <c r="E46" s="30"/>
      <c r="H46" s="35"/>
      <c r="I46" s="35"/>
      <c r="M46" s="44"/>
      <c r="O46" s="42"/>
      <c r="P46" s="42"/>
      <c r="R46" s="42">
        <f>R37+P46</f>
        <v>0</v>
      </c>
      <c r="S46" s="42">
        <f>S37+O39</f>
        <v>0</v>
      </c>
      <c r="T46" s="42">
        <f>T37+O42</f>
        <v>0</v>
      </c>
      <c r="U46" s="42">
        <f>U37+P40+P43+O45</f>
        <v>0</v>
      </c>
    </row>
    <row r="47" spans="1:21" x14ac:dyDescent="0.25">
      <c r="A47" s="30"/>
      <c r="B47" s="30"/>
      <c r="C47" s="30"/>
      <c r="D47" s="30"/>
      <c r="E47" s="30"/>
      <c r="H47" s="35"/>
      <c r="I47" s="35"/>
      <c r="O47" s="42"/>
      <c r="P47" s="42"/>
    </row>
    <row r="48" spans="1:21" x14ac:dyDescent="0.25">
      <c r="A48" s="30"/>
      <c r="B48" s="30"/>
      <c r="C48" s="30"/>
      <c r="D48" s="30"/>
      <c r="E48" s="30"/>
      <c r="H48" s="35"/>
      <c r="I48" s="35"/>
      <c r="O48" s="42"/>
      <c r="P48" s="42"/>
    </row>
    <row r="49" spans="1:16" x14ac:dyDescent="0.25">
      <c r="A49" s="30"/>
      <c r="B49" s="30"/>
      <c r="C49" s="30"/>
      <c r="D49" s="30"/>
      <c r="E49" s="30"/>
      <c r="H49" s="35"/>
      <c r="I49" s="35"/>
      <c r="O49" s="42"/>
      <c r="P49" s="42"/>
    </row>
    <row r="50" spans="1:16" x14ac:dyDescent="0.25">
      <c r="A50" s="30"/>
      <c r="B50" s="30"/>
      <c r="C50" s="30"/>
      <c r="D50" s="30"/>
      <c r="E50" s="30"/>
      <c r="H50" s="35"/>
      <c r="I50" s="35"/>
      <c r="O50" s="42"/>
      <c r="P50" s="42"/>
    </row>
    <row r="51" spans="1:16" x14ac:dyDescent="0.25">
      <c r="A51" s="30"/>
      <c r="B51" s="30"/>
      <c r="C51" s="30"/>
      <c r="D51" s="30"/>
      <c r="E51" s="30"/>
      <c r="H51" s="35"/>
      <c r="I51" s="35"/>
      <c r="O51" s="42"/>
      <c r="P51" s="42"/>
    </row>
    <row r="52" spans="1:16" x14ac:dyDescent="0.25">
      <c r="A52" s="30"/>
      <c r="B52" s="30"/>
      <c r="C52" s="30"/>
      <c r="D52" s="30"/>
      <c r="E52" s="30"/>
      <c r="H52" s="35"/>
      <c r="I52" s="35"/>
      <c r="O52" s="42"/>
      <c r="P52" s="42"/>
    </row>
    <row r="53" spans="1:16" x14ac:dyDescent="0.25">
      <c r="A53" s="30"/>
      <c r="B53" s="30"/>
      <c r="C53" s="30"/>
      <c r="D53" s="30"/>
      <c r="E53" s="30"/>
      <c r="H53" s="35"/>
      <c r="I53" s="35"/>
      <c r="O53" s="42"/>
      <c r="P53" s="42"/>
    </row>
    <row r="54" spans="1:16" x14ac:dyDescent="0.25">
      <c r="A54" s="30"/>
      <c r="B54" s="30"/>
      <c r="C54" s="30"/>
      <c r="D54" s="30"/>
      <c r="E54" s="30"/>
      <c r="H54" s="35"/>
      <c r="I54" s="35"/>
      <c r="O54" s="42"/>
      <c r="P54" s="42"/>
    </row>
    <row r="55" spans="1:16" x14ac:dyDescent="0.25">
      <c r="A55" s="30"/>
      <c r="B55" s="30"/>
      <c r="C55" s="30"/>
      <c r="D55" s="30"/>
      <c r="E55" s="30"/>
      <c r="H55" s="35"/>
      <c r="I55" s="35"/>
      <c r="O55" s="42"/>
      <c r="P55" s="42"/>
    </row>
    <row r="56" spans="1:16" x14ac:dyDescent="0.25">
      <c r="A56" s="30"/>
      <c r="B56" s="30"/>
      <c r="C56" s="30"/>
      <c r="D56" s="30"/>
      <c r="E56" s="30"/>
      <c r="H56" s="35"/>
      <c r="I56" s="35"/>
      <c r="O56" s="42"/>
      <c r="P56" s="42"/>
    </row>
    <row r="57" spans="1:16" x14ac:dyDescent="0.25">
      <c r="A57" s="30"/>
      <c r="B57" s="30"/>
      <c r="C57" s="30"/>
      <c r="D57" s="30"/>
      <c r="E57" s="30"/>
      <c r="H57" s="35"/>
      <c r="I57" s="35"/>
      <c r="O57" s="42"/>
      <c r="P57" s="42"/>
    </row>
    <row r="58" spans="1:16" x14ac:dyDescent="0.25">
      <c r="A58" s="30"/>
      <c r="B58" s="30"/>
      <c r="C58" s="30"/>
      <c r="D58" s="30"/>
      <c r="E58" s="30"/>
      <c r="H58" s="35"/>
      <c r="I58" s="35"/>
    </row>
    <row r="60" spans="1:16" x14ac:dyDescent="0.25">
      <c r="H60" s="42"/>
    </row>
    <row r="61" spans="1:16" x14ac:dyDescent="0.25">
      <c r="H61" s="35"/>
    </row>
    <row r="63" spans="1:16" x14ac:dyDescent="0.25">
      <c r="H63" s="35"/>
    </row>
  </sheetData>
  <mergeCells count="2">
    <mergeCell ref="A4:E4"/>
    <mergeCell ref="H4:I4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EF81-F1DE-4644-A7F8-4B6E45BB2E1C}">
  <sheetPr>
    <tabColor rgb="FF92D050"/>
  </sheetPr>
  <dimension ref="A1:F8"/>
  <sheetViews>
    <sheetView zoomScaleNormal="100" workbookViewId="0">
      <selection activeCell="D2" sqref="D2"/>
    </sheetView>
  </sheetViews>
  <sheetFormatPr defaultColWidth="8.7109375" defaultRowHeight="15" x14ac:dyDescent="0.25"/>
  <cols>
    <col min="1" max="1" width="19.140625" style="3" customWidth="1"/>
    <col min="2" max="2" width="15.42578125" style="3" customWidth="1"/>
    <col min="3" max="3" width="12.5703125" style="3" customWidth="1"/>
    <col min="4" max="4" width="23.7109375" style="3" bestFit="1" customWidth="1"/>
    <col min="5" max="5" width="23.140625" style="3" customWidth="1"/>
    <col min="6" max="6" width="10.85546875" style="3" customWidth="1"/>
    <col min="7" max="16384" width="8.7109375" style="3"/>
  </cols>
  <sheetData>
    <row r="1" spans="1:6" x14ac:dyDescent="0.25">
      <c r="A1" s="15" t="s">
        <v>57</v>
      </c>
      <c r="B1" s="2" t="s">
        <v>40</v>
      </c>
      <c r="C1" s="2" t="s">
        <v>41</v>
      </c>
      <c r="D1" s="2" t="s">
        <v>54</v>
      </c>
      <c r="E1" s="2" t="s">
        <v>39</v>
      </c>
      <c r="F1" s="2" t="s">
        <v>42</v>
      </c>
    </row>
    <row r="2" spans="1:6" x14ac:dyDescent="0.25">
      <c r="A2" s="14">
        <f>IF(RevRec_Calc!A56="","",RevRec_Calc!A56)</f>
        <v>44592</v>
      </c>
      <c r="B2" s="14">
        <f>IF(A2="","",RevRec_Calc!B56)</f>
        <v>44592</v>
      </c>
      <c r="C2" s="14" t="str">
        <f>IF(A2="","",RevRec_Calc!C56)</f>
        <v>SO1</v>
      </c>
      <c r="D2" s="14" t="str">
        <f>IF(A2="","",RevRec_Calc!D56)</f>
        <v>Revenue</v>
      </c>
      <c r="E2" s="71">
        <f>IF(A2="","",RevRec_Calc!E56)</f>
        <v>-47.592954990215254</v>
      </c>
      <c r="F2" s="24">
        <f>IF(A2="","",RevRec_Calc!F56)</f>
        <v>2</v>
      </c>
    </row>
    <row r="3" spans="1:6" x14ac:dyDescent="0.25">
      <c r="A3" s="14">
        <f>IF(RevRec_Calc!A57="","",RevRec_Calc!A57)</f>
        <v>44592</v>
      </c>
      <c r="B3" s="14">
        <f>IF(A3="","",RevRec_Calc!B57)</f>
        <v>44592</v>
      </c>
      <c r="C3" s="14" t="str">
        <f>IF(A3="","",RevRec_Calc!C57)</f>
        <v>SO1</v>
      </c>
      <c r="D3" s="14" t="str">
        <f>IF(A3="","",RevRec_Calc!D57)</f>
        <v>Revenue</v>
      </c>
      <c r="E3" s="71">
        <f>IF(A3="","",RevRec_Calc!E57)</f>
        <v>-271.42857142857139</v>
      </c>
      <c r="F3" s="24">
        <f>IF(A3="","",RevRec_Calc!F57)</f>
        <v>3</v>
      </c>
    </row>
    <row r="4" spans="1:6" x14ac:dyDescent="0.25">
      <c r="A4" s="14">
        <f>IF(RevRec_Calc!A58="","",RevRec_Calc!A58)</f>
        <v>44592</v>
      </c>
      <c r="B4" s="14">
        <f>IF(A4="","",RevRec_Calc!B58)</f>
        <v>44592</v>
      </c>
      <c r="C4" s="14" t="str">
        <f>IF(A4="","",RevRec_Calc!C58)</f>
        <v>SO1</v>
      </c>
      <c r="D4" s="14" t="str">
        <f>IF(A4="","",RevRec_Calc!D58)</f>
        <v>Revenue</v>
      </c>
      <c r="E4" s="71">
        <f>IF(A4="","",RevRec_Calc!E58)</f>
        <v>-23.796477495107627</v>
      </c>
      <c r="F4" s="24">
        <f>IF(A4="","",RevRec_Calc!F58)</f>
        <v>4</v>
      </c>
    </row>
    <row r="5" spans="1:6" x14ac:dyDescent="0.25">
      <c r="A5" s="14" t="str">
        <f>IF(RevRec_Calc!A59="","",RevRec_Calc!A59)</f>
        <v/>
      </c>
      <c r="B5" s="14" t="str">
        <f>IF(A5="","",RevRec_Calc!B59)</f>
        <v/>
      </c>
      <c r="C5" s="14" t="str">
        <f>IF(A5="","",RevRec_Calc!C59)</f>
        <v/>
      </c>
      <c r="D5" s="14" t="str">
        <f>IF(A5="","",RevRec_Calc!D59)</f>
        <v/>
      </c>
      <c r="E5" s="71" t="str">
        <f>IF(A5="","",RevRec_Calc!E59)</f>
        <v/>
      </c>
      <c r="F5" s="24" t="str">
        <f>IF(A5="","",RevRec_Calc!F59)</f>
        <v/>
      </c>
    </row>
    <row r="6" spans="1:6" x14ac:dyDescent="0.25">
      <c r="A6" s="14" t="str">
        <f>IF(RevRec_Calc!A60="","",RevRec_Calc!A60)</f>
        <v/>
      </c>
      <c r="B6" s="14" t="str">
        <f>IF(A6="","",RevRec_Calc!B60)</f>
        <v/>
      </c>
      <c r="C6" s="14" t="str">
        <f>IF(A6="","",RevRec_Calc!C60)</f>
        <v/>
      </c>
      <c r="D6" s="14" t="str">
        <f>IF(A6="","",RevRec_Calc!D60)</f>
        <v/>
      </c>
      <c r="E6" s="71" t="str">
        <f>IF(A6="","",RevRec_Calc!E60)</f>
        <v/>
      </c>
      <c r="F6" s="24" t="str">
        <f>IF(A6="","",RevRec_Calc!F60)</f>
        <v/>
      </c>
    </row>
    <row r="7" spans="1:6" x14ac:dyDescent="0.25">
      <c r="A7" s="14" t="str">
        <f>IF(RevRec_Calc!A61="","",RevRec_Calc!A61)</f>
        <v/>
      </c>
      <c r="B7" s="14" t="str">
        <f>IF(A7="","",RevRec_Calc!B61)</f>
        <v/>
      </c>
      <c r="C7" s="14" t="str">
        <f>IF(A7="","",RevRec_Calc!C61)</f>
        <v/>
      </c>
      <c r="D7" s="14" t="str">
        <f>IF(A7="","",RevRec_Calc!D61)</f>
        <v/>
      </c>
      <c r="E7" s="71" t="str">
        <f>IF(A7="","",RevRec_Calc!E61)</f>
        <v/>
      </c>
      <c r="F7" s="24" t="str">
        <f>IF(A7="","",RevRec_Calc!F61)</f>
        <v/>
      </c>
    </row>
    <row r="8" spans="1:6" x14ac:dyDescent="0.25">
      <c r="A8" s="14" t="str">
        <f>IF(RevRec_Calc!A62="","",RevRec_Calc!A62)</f>
        <v/>
      </c>
      <c r="B8" s="14" t="str">
        <f>IF(A8="","",RevRec_Calc!B62)</f>
        <v/>
      </c>
      <c r="C8" s="14" t="str">
        <f>IF(A8="","",RevRec_Calc!C62)</f>
        <v/>
      </c>
      <c r="D8" s="14" t="str">
        <f>IF(A8="","",RevRec_Calc!D62)</f>
        <v/>
      </c>
      <c r="E8" s="71" t="str">
        <f>IF(A8="","",RevRec_Calc!E62)</f>
        <v/>
      </c>
      <c r="F8" s="24" t="str">
        <f>IF(A8="","",RevRec_Calc!F62)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EF62-580B-49EE-BFFF-6CEF59570420}">
  <dimension ref="A1"/>
  <sheetViews>
    <sheetView workbookViewId="0">
      <selection activeCell="O40" sqref="O40"/>
    </sheetView>
  </sheetViews>
  <sheetFormatPr defaultRowHeight="15" x14ac:dyDescent="0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Transactions</vt:lpstr>
      <vt:lpstr>Attributes</vt:lpstr>
      <vt:lpstr>Aggregation</vt:lpstr>
      <vt:lpstr>AccountType</vt:lpstr>
      <vt:lpstr>SubledgerMapping</vt:lpstr>
      <vt:lpstr>ChartOfAccount</vt:lpstr>
      <vt:lpstr>InstrumentAttribute</vt:lpstr>
      <vt:lpstr>TransactionActivity</vt:lpstr>
      <vt:lpstr>i_ExecutionDate</vt:lpstr>
      <vt:lpstr>i_Transaction</vt:lpstr>
      <vt:lpstr>i_InstrumentAttribute</vt:lpstr>
      <vt:lpstr>i_Metric</vt:lpstr>
      <vt:lpstr>ProductCatalog_Allocation_Calc</vt:lpstr>
      <vt:lpstr>RevRec_Calc</vt:lpstr>
      <vt:lpstr>Scenario</vt:lpstr>
      <vt:lpstr>o_Transaction</vt:lpstr>
      <vt:lpstr>Sheet1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2025-04-12T12:57:32Z</dcterms:modified>
</cp:coreProperties>
</file>