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<sst xmlns="http://schemas.openxmlformats.org/spreadsheetml/2006/main" count="258" uniqueCount="116">
  <si>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</si>
  <si>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</si>
  <si>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</si>
  <si>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</si>
  <si>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</si>
  <si>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</si>
  <si>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</si>
  <si>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</si>
  <si>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</si>
  <si>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</si>
  <si>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</si>
  <si>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</si>
  <si>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</si>
  <si>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</si>
  <si>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</si>
  <si>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</si>
  <si>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</si>
  <si>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</si>
  <si>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</si>
  <si>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</si>
  <si>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</si>
  <si>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</si>
  <si>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</si>
  <si>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</si>
  <si>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</si>
  <si>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</si>
  <si>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</si>
  <si>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</si>
  <si>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</si>
  <si>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</si>
  <si>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</si>
  <si>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</si>
  <si>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</si>
  <si>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</si>
  <si>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</si>
  <si>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</si>
  <si>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</si>
  <si>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</si>
  <si>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</si>
  <si>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</si>
  <si>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</si>
  <si>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</si>
  <si>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</si>
  <si>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</si>
  <si>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</si>
  <si>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</si>
  <si>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</si>
  <si>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</si>
  <si>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</si>
  <si>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</si>
  <si>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</si>
  <si>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</si>
  <si>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</si>
  <si>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</si>
  <si>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</si>
  <si>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</si>
  <si>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</si>
  <si>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</si>
  <si>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</si>
  <si>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</si>
  <si>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</si>
  <si>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</si>
  <si>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</si>
  <si>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</si>
  <si>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</si>
  <si>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</si>
  <si>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</si>
  <si>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</si>
  <si>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</si>
  <si>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</si>
  <si>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</si>
  <si>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</si>
  <si>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</si>
  <si>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</si>
  <si>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</si>
  <si>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</si>
  <si>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</si>
  <si>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</si>
  <si>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</si>
  <si>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</si>
  <si>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</si>
  <si>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</si>
  <si>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</si>
  <si>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</si>
  <si>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</si>
  <si>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</si>
  <si>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</si>
  <si>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</si>
  <si>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</si>
  <si>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</si>
  <si>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</si>
  <si>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</si>
  <si>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</si>
  <si>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</si>
  <si>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</si>
  <si>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</si>
  <si>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</si>
  <si>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</si>
  <si>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</si>
  <si>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</si>
  <si>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</si>
  <si>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</si>
  <si>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</si>
  <si>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>SO1</t>
  </si>
  <si>
    <t>202205</t>
  </si>
  <si>
    <t/>
  </si>
  <si>
    <t>INVOICE</t>
  </si>
  <si>
    <t>USD</t>
  </si>
  <si>
    <t>FFFF-BBBB</t>
  </si>
  <si>
    <t>SAAS IMPLEMENTATION</t>
  </si>
  <si>
    <t>IDHJ-EGNY</t>
  </si>
  <si>
    <t>DISCOUNT</t>
  </si>
  <si>
    <t>FFFF-AAAA</t>
  </si>
  <si>
    <t>SAAS BASIC SUBSCRIPTION</t>
  </si>
  <si>
    <t>FFFF-CCC</t>
  </si>
  <si>
    <t>SAAS PREMIUM SUBSCRIPTION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</si>
</sst>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M/dd/yyyy"/>
    <numFmt numFmtId="173" formatCode="#,##0.##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40">
        <v>44712.0</v>
      </c>
      <c r="B2" t="n" s="139">
        <v>44681.0</v>
      </c>
      <c r="C2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73" t="n">
        <v>44712.0</v>
      </c>
      <c r="D2" s="72" t="n">
        <v>44712.0</v>
      </c>
      <c r="E2" s="5" t="s">
        <v>103</v>
      </c>
      <c r="F2" t="n" s="74">
        <v>600.0</v>
      </c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102" t="n">
        <v>44681.0</v>
      </c>
      <c r="D2" s="100" t="n">
        <v>44576.0</v>
      </c>
      <c r="E2" t="s" s="1">
        <v>103</v>
      </c>
      <c r="F2" s="101" t="n">
        <v>44576.0</v>
      </c>
      <c r="G2" t="s">
        <v>106</v>
      </c>
      <c r="H2" t="n" s="99">
        <v>0.0</v>
      </c>
      <c r="I2" s="10" t="s">
        <v>105</v>
      </c>
      <c r="J2" s="10" t="s">
        <v>105</v>
      </c>
      <c r="K2" s="10" t="s">
        <v>105</v>
      </c>
      <c r="L2" s="3" t="s">
        <v>105</v>
      </c>
      <c r="M2" s="3" t="s">
        <v>105</v>
      </c>
      <c r="N2" s="3" t="s">
        <v>107</v>
      </c>
      <c r="O2" t="s">
        <v>106</v>
      </c>
    </row>
    <row r="3" customFormat="false" ht="15" hidden="false" customHeight="false" outlineLevel="0" collapsed="false">
      <c r="A3" s="1" t="s">
        <v>24</v>
      </c>
      <c r="B3" s="9" t="n">
        <v>1</v>
      </c>
      <c r="C3" s="118" t="n">
        <v>44681.0</v>
      </c>
      <c r="D3" s="115" t="n">
        <v>44576.0</v>
      </c>
      <c r="E3" t="s" s="1">
        <v>103</v>
      </c>
      <c r="F3" s="116" t="n">
        <v>44576.0</v>
      </c>
      <c r="G3" t="s">
        <v>110</v>
      </c>
      <c r="H3" t="n" s="113">
        <v>1.0</v>
      </c>
      <c r="I3" s="114" t="n">
        <v>-200.0</v>
      </c>
      <c r="J3" s="117" t="n">
        <v>1.0</v>
      </c>
      <c r="K3" s="120" t="n">
        <v>-200.0</v>
      </c>
      <c r="L3" s="119" t="n">
        <v>44576.0</v>
      </c>
      <c r="M3" s="112" t="n">
        <v>44576.0</v>
      </c>
      <c r="N3" s="3" t="s">
        <v>107</v>
      </c>
      <c r="O3" s="11" t="s">
        <v>111</v>
      </c>
    </row>
    <row r="4" customFormat="false" ht="15" hidden="false" customHeight="false" outlineLevel="0" collapsed="false">
      <c r="A4" s="1" t="s">
        <v>24</v>
      </c>
      <c r="B4" s="9" t="n">
        <v>2</v>
      </c>
      <c r="C4" s="127" t="n">
        <v>44681.0</v>
      </c>
      <c r="D4" s="124" t="n">
        <v>44576.0</v>
      </c>
      <c r="E4" t="s" s="1">
        <v>103</v>
      </c>
      <c r="F4" s="125" t="n">
        <v>44576.0</v>
      </c>
      <c r="G4" t="s">
        <v>112</v>
      </c>
      <c r="H4" t="n" s="122">
        <v>2.0</v>
      </c>
      <c r="I4" s="123" t="n">
        <v>100.0</v>
      </c>
      <c r="J4" s="126" t="n">
        <v>12.0</v>
      </c>
      <c r="K4" s="129" t="n">
        <v>1200.0</v>
      </c>
      <c r="L4" s="128" t="n">
        <v>44576.0</v>
      </c>
      <c r="M4" s="121" t="n">
        <v>44941.0</v>
      </c>
      <c r="N4" s="3" t="s">
        <v>107</v>
      </c>
      <c r="O4" s="11" t="s">
        <v>113</v>
      </c>
    </row>
    <row r="5" customFormat="false" ht="15" hidden="false" customHeight="false" outlineLevel="0" collapsed="false">
      <c r="A5" s="1" t="s">
        <v>24</v>
      </c>
      <c r="B5" s="9" t="n">
        <v>3</v>
      </c>
      <c r="C5" s="109" t="n">
        <v>44681.0</v>
      </c>
      <c r="D5" s="106" t="n">
        <v>44576.0</v>
      </c>
      <c r="E5" t="s" s="1">
        <v>103</v>
      </c>
      <c r="F5" s="107" t="n">
        <v>44576.0</v>
      </c>
      <c r="G5" t="s">
        <v>108</v>
      </c>
      <c r="H5" t="n" s="104">
        <v>3.0</v>
      </c>
      <c r="I5" s="105" t="n">
        <v>300.0</v>
      </c>
      <c r="J5" s="108" t="n">
        <v>1.0</v>
      </c>
      <c r="K5" s="111" t="n">
        <v>300.0</v>
      </c>
      <c r="L5" s="110" t="n">
        <v>44576.0</v>
      </c>
      <c r="M5" s="103" t="n">
        <v>44576.0</v>
      </c>
      <c r="N5" s="3" t="s">
        <v>107</v>
      </c>
      <c r="O5" s="11" t="s">
        <v>109</v>
      </c>
    </row>
    <row r="6" customFormat="false" ht="15" hidden="false" customHeight="false" outlineLevel="0" collapsed="false">
      <c r="A6" s="1" t="s">
        <v>24</v>
      </c>
      <c r="B6" s="9" t="n">
        <v>4</v>
      </c>
      <c r="C6" s="136" t="n">
        <v>44681.0</v>
      </c>
      <c r="D6" s="133" t="n">
        <v>44576.0</v>
      </c>
      <c r="E6" t="s" s="1">
        <v>103</v>
      </c>
      <c r="F6" s="134" t="n">
        <v>44576.0</v>
      </c>
      <c r="G6" t="s">
        <v>114</v>
      </c>
      <c r="H6" t="n" s="131">
        <v>5.0</v>
      </c>
      <c r="I6" s="132" t="n">
        <v>50.0</v>
      </c>
      <c r="J6" s="135" t="n">
        <v>24.0</v>
      </c>
      <c r="K6" s="138" t="n">
        <v>1200.0</v>
      </c>
      <c r="L6" s="137" t="n">
        <v>44576.0</v>
      </c>
      <c r="M6" s="130" t="n">
        <v>44941.0</v>
      </c>
      <c r="N6" s="3" t="s">
        <v>107</v>
      </c>
      <c r="O6" s="11" t="s">
        <v>115</v>
      </c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  <c r="C2" t="n" s="81">
        <v>44712.0</v>
      </c>
      <c r="D2" t="s">
        <v>103</v>
      </c>
      <c r="E2" t="s">
        <v>104</v>
      </c>
      <c r="F2" t="n" s="79">
        <v>1900.0</v>
      </c>
      <c r="G2" t="n" s="82">
        <v>600.0</v>
      </c>
      <c r="H2" t="n" s="80">
        <v>2500.0</v>
      </c>
    </row>
    <row r="3" customFormat="false" ht="15" hidden="false" customHeight="false" outlineLevel="0" collapsed="false">
      <c r="A3" s="1" t="s">
        <v>33</v>
      </c>
      <c r="B3" s="1" t="n">
        <v>0</v>
      </c>
      <c r="C3" t="n" s="85">
        <v>44712.0</v>
      </c>
      <c r="D3" t="s">
        <v>103</v>
      </c>
      <c r="E3" t="s">
        <v>104</v>
      </c>
      <c r="F3" t="n" s="83">
        <v>0.0</v>
      </c>
      <c r="G3" t="n" s="86">
        <v>0.0</v>
      </c>
      <c r="H3" t="n" s="84">
        <v>0.0</v>
      </c>
    </row>
    <row r="4" customFormat="false" ht="15" hidden="false" customHeight="false" outlineLevel="0" collapsed="false">
      <c r="A4" s="1" t="s">
        <v>34</v>
      </c>
      <c r="B4" s="1" t="n">
        <v>0</v>
      </c>
      <c r="C4" t="n" s="77">
        <v>44712.0</v>
      </c>
      <c r="D4" t="s">
        <v>103</v>
      </c>
      <c r="E4" t="s">
        <v>104</v>
      </c>
      <c r="F4" t="n" s="75">
        <v>1900.0</v>
      </c>
      <c r="G4" t="n" s="78">
        <v>600.0</v>
      </c>
      <c r="H4" s="76" t="n">
        <v>2500.0</v>
      </c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  <c r="C6" t="n" s="93">
        <v>44712.0</v>
      </c>
      <c r="D6" t="s">
        <v>103</v>
      </c>
      <c r="E6" t="s">
        <v>104</v>
      </c>
      <c r="F6" t="n" s="91">
        <v>-319.6347</v>
      </c>
      <c r="G6" t="n" s="94">
        <v>0.0</v>
      </c>
      <c r="H6" t="n" s="92">
        <v>-319.6347</v>
      </c>
    </row>
    <row r="7" customFormat="false" ht="15" hidden="false" customHeight="false" outlineLevel="0" collapsed="false">
      <c r="A7" s="1" t="s">
        <v>35</v>
      </c>
      <c r="B7" s="1" t="n">
        <v>3</v>
      </c>
      <c r="C7" t="n" s="89">
        <v>44712.0</v>
      </c>
      <c r="D7" t="s">
        <v>103</v>
      </c>
      <c r="E7" t="s">
        <v>104</v>
      </c>
      <c r="F7" t="n" s="87">
        <v>-277.7778</v>
      </c>
      <c r="G7" t="n" s="90">
        <v>0.0</v>
      </c>
      <c r="H7" t="n" s="88">
        <v>-277.7778</v>
      </c>
    </row>
    <row r="8" customFormat="false" ht="15" hidden="false" customHeight="false" outlineLevel="0" collapsed="false">
      <c r="A8" s="1" t="s">
        <v>35</v>
      </c>
      <c r="B8" s="1" t="n">
        <v>4</v>
      </c>
      <c r="C8" t="n" s="97">
        <v>44712.0</v>
      </c>
      <c r="D8" t="s">
        <v>103</v>
      </c>
      <c r="E8" t="s">
        <v>104</v>
      </c>
      <c r="F8" t="n" s="95">
        <v>-319.6347</v>
      </c>
      <c r="G8" t="n" s="98">
        <v>0.0</v>
      </c>
      <c r="H8" t="n" s="96">
        <v>-319.6347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n">
        <f aca="false">IF(i_InstrumentAttribute!H3="","",i_InstrumentAttribute!H3)</f>
        <v>1.0</v>
      </c>
      <c r="B13" s="11" t="str">
        <f aca="false">IFERROR(VLOOKUP(A13,A3:$B$7,2,FALSE()),"")</f>
        <v>Discount</v>
      </c>
      <c r="C13" s="17" t="n">
        <f aca="false">IF(i_InstrumentAttribute!I3="","",i_InstrumentAttribute!J3*i_InstrumentAttribute!I3)</f>
        <v>-200.0</v>
      </c>
      <c r="D13" s="17" t="n">
        <f aca="false">IFERROR(IF(VLOOKUP(B13,$B$3:$C$7,2,FALSE())="USE SALES PRICE",C13,VLOOKUP(B13,$B$3:$E$7,4,FALSE())),"")</f>
        <v>0.0</v>
      </c>
      <c r="E13" s="17" t="n">
        <f aca="false">IFERROR(D13/$D$18,"")</f>
        <v>0.0</v>
      </c>
      <c r="F13" s="17" t="n">
        <f aca="false">IFERROR(E13*$C$18,"")</f>
        <v>0.0</v>
      </c>
    </row>
    <row r="14" customFormat="false" ht="15" hidden="false" customHeight="false" outlineLevel="0" collapsed="false">
      <c r="A14" s="11" t="n">
        <f aca="false">IF(i_InstrumentAttribute!H4="","",i_InstrumentAttribute!H4)</f>
        <v>2.0</v>
      </c>
      <c r="B14" s="11" t="str">
        <f aca="false">IFERROR(VLOOKUP(A14,A4:$B$7,2,FALSE()),"")</f>
        <v>SaaS Basic Subscription</v>
      </c>
      <c r="C14" s="17" t="n">
        <f aca="false">IF(i_InstrumentAttribute!I4="","",i_InstrumentAttribute!J4*i_InstrumentAttribute!I4)</f>
        <v>1200.0</v>
      </c>
      <c r="D14" s="17" t="n">
        <f aca="false">IFERROR(IF(VLOOKUP(B14,$B$3:$C$7,2,FALSE())="USE SALES PRICE",C14,VLOOKUP(B14,$B$3:$E$7,4,FALSE())),"")</f>
        <v>1200.0</v>
      </c>
      <c r="E14" s="17" t="n">
        <f aca="false">IFERROR(D14/$D$18,"")</f>
        <v>0.4444444444444444</v>
      </c>
      <c r="F14" s="17" t="n">
        <f aca="false">IFERROR(E14*$C$18,"")</f>
        <v>1111.11111111111</v>
      </c>
    </row>
    <row r="15" customFormat="false" ht="15" hidden="false" customHeight="false" outlineLevel="0" collapsed="false">
      <c r="A15" s="11" t="n">
        <f aca="false">IF(i_InstrumentAttribute!H5="","",i_InstrumentAttribute!H5)</f>
        <v>3.0</v>
      </c>
      <c r="B15" s="11" t="str">
        <f aca="false">IFERROR(VLOOKUP(A15,A5:$B$7,2,FALSE()),"")</f>
        <v>SaaS Implementation</v>
      </c>
      <c r="C15" s="17" t="n">
        <f aca="false">IF(i_InstrumentAttribute!I5="","",i_InstrumentAttribute!J5*i_InstrumentAttribute!I5)</f>
        <v>300.0</v>
      </c>
      <c r="D15" s="17" t="n">
        <f aca="false">IFERROR(IF(VLOOKUP(B15,$B$3:$C$7,2,FALSE())="USE SALES PRICE",C15,VLOOKUP(B15,$B$3:$E$7,4,FALSE())),"")</f>
        <v>300.0</v>
      </c>
      <c r="E15" s="17" t="n">
        <f aca="false">IFERROR(D15/$D$18,"")</f>
        <v>0.1111111111111111</v>
      </c>
      <c r="F15" s="17" t="n">
        <f aca="false">IFERROR(E15*$C$18,"")</f>
        <v>277.7777777777775</v>
      </c>
    </row>
    <row r="16" customFormat="false" ht="15" hidden="false" customHeight="false" outlineLevel="0" collapsed="false">
      <c r="A16" s="11" t="n">
        <f aca="false">IF(i_InstrumentAttribute!H6="","",i_InstrumentAttribute!H6)</f>
        <v>5.0</v>
      </c>
      <c r="B16" s="11" t="str">
        <f aca="false">IFERROR(VLOOKUP(A16,A6:$B$7,2,FALSE()),"")</f>
        <v>SaaS Premium Subscription</v>
      </c>
      <c r="C16" s="17" t="n">
        <f aca="false">IF(i_InstrumentAttribute!I6="","",i_InstrumentAttribute!J6*i_InstrumentAttribute!I6)</f>
        <v>1200.0</v>
      </c>
      <c r="D16" s="17" t="n">
        <f aca="false">IFERROR(IF(VLOOKUP(B16,$B$3:$C$7,2,FALSE())="USE SALES PRICE",C16,VLOOKUP(B16,$B$3:$E$7,4,FALSE())),"")</f>
        <v>1200.0</v>
      </c>
      <c r="E16" s="17" t="n">
        <f aca="false">IFERROR(D16/$D$18,"")</f>
        <v>0.4444444444444444</v>
      </c>
      <c r="F16" s="17" t="n">
        <f aca="false">IFERROR(E16*$C$18,"")</f>
        <v>1111.11111111111</v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2500.0</v>
      </c>
      <c r="D18" s="19" t="n">
        <f aca="false">SUM(D13:D17)</f>
        <v>2700.0</v>
      </c>
      <c r="E18" s="19" t="n">
        <f aca="false">SUM(E13:E17)</f>
        <v>1.0</v>
      </c>
      <c r="F18" s="19" t="n">
        <f aca="false">SUM(F13:F17)</f>
        <v>2499.9999999999973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n">
        <f aca="false">IF(i_InstrumentAttribute!H3="","",i_InstrumentAttribute!H3)</f>
        <v>1.0</v>
      </c>
      <c r="B3" s="11" t="n">
        <f aca="false">IF($A3="","",i_InstrumentAttribute!B3)</f>
        <v>1.0</v>
      </c>
      <c r="C3" s="26" t="n">
        <f aca="false">IF($A3="","",ProductCatalog_Allocation_Calc!F13)</f>
        <v>0.0</v>
      </c>
      <c r="D3" s="27" t="n">
        <f aca="false">IF($A3="","",i_InstrumentAttribute!L3)</f>
        <v>44576.0</v>
      </c>
      <c r="E3" s="27" t="n">
        <f aca="false">IF($A3="","",i_InstrumentAttribute!M3)</f>
        <v>44576.0</v>
      </c>
      <c r="F3" s="11" t="n">
        <f aca="false">IF($A3="","",IF(E3-D3=0,0,E3-D3))</f>
        <v>0.0</v>
      </c>
      <c r="G3" s="17" t="n">
        <f aca="false">IFERROR(IF($A3="","",C3/F3),C3)</f>
        <v>0.0</v>
      </c>
      <c r="H3" s="11" t="str">
        <f aca="false">IF($A3="","",i_InstrumentAttribute!E3)</f>
        <v>SO1</v>
      </c>
      <c r="I3" s="11" t="str">
        <f aca="false">IF($A3="","",VLOOKUP(A3,ProductCatalog_Allocation_Calc!$A$3:$D$7,4,FALSE()))</f>
        <v>POINT_IN_TIME</v>
      </c>
      <c r="J3" s="28" t="str">
        <f aca="false">IF(A3="","",IF(SUM(BD11:CB11)-$F3=0,"Pass","Fail"))</f>
        <v>Pass</v>
      </c>
      <c r="K3" s="28" t="str">
        <f aca="false">IF(A3="","",IF(ROUND(SUM(CE11:DC11),4)-$C3=0,"Pass","Fail"))</f>
        <v>Pass</v>
      </c>
      <c r="L3" s="29" t="n">
        <f aca="false">i_ExecutionDate!A2</f>
        <v>44712.0</v>
      </c>
      <c r="AA3" s="22"/>
      <c r="BB3" s="22"/>
      <c r="CC3" s="22"/>
      <c r="DD3" s="22"/>
    </row>
    <row r="4" customFormat="false" ht="15" hidden="false" customHeight="false" outlineLevel="0" collapsed="false">
      <c r="A4" s="11" t="n">
        <f aca="false">IF(i_InstrumentAttribute!H4="","",i_InstrumentAttribute!H4)</f>
        <v>2.0</v>
      </c>
      <c r="B4" s="11" t="n">
        <f aca="false">IF($A4="","",i_InstrumentAttribute!B4)</f>
        <v>2.0</v>
      </c>
      <c r="C4" s="26" t="n">
        <f aca="false">IF($A4="","",ProductCatalog_Allocation_Calc!F14)</f>
        <v>1111.11111111111</v>
      </c>
      <c r="D4" s="27" t="n">
        <f aca="false">IF($A4="","",i_InstrumentAttribute!L4)</f>
        <v>44576.0</v>
      </c>
      <c r="E4" s="27" t="n">
        <f aca="false">IF($A4="","",i_InstrumentAttribute!M4)</f>
        <v>44941.0</v>
      </c>
      <c r="F4" s="11" t="n">
        <f aca="false">IF($A4="","",IF(E4-D4=0,0,E4-D4))</f>
        <v>365.0</v>
      </c>
      <c r="G4" s="17" t="n">
        <f aca="false">IFERROR(IF($A4="","",C4/F4),C4)</f>
        <v>3.0441400304413975</v>
      </c>
      <c r="H4" s="11" t="str">
        <f aca="false">IF($A4="","",i_InstrumentAttribute!E4)</f>
        <v>SO1</v>
      </c>
      <c r="I4" s="11" t="str">
        <f aca="false">IF($A4="","",VLOOKUP(A4,ProductCatalog_Allocation_Calc!$A$3:$D$7,4,FALSE()))</f>
        <v>RATABLE</v>
      </c>
      <c r="J4" s="28" t="str">
        <f aca="false">IF(A4="","",IF(SUM(BD12:CB12)-$F4=0,"Pass","Fail"))</f>
        <v>Pass</v>
      </c>
      <c r="K4" s="28" t="str">
        <f aca="false">IF(A4="","",IF(ROUND(SUM(CE12:DC12),4)-$C4=0,"Pass","Fail"))</f>
        <v>Fail</v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n">
        <f aca="false">IF(i_InstrumentAttribute!H5="","",i_InstrumentAttribute!H5)</f>
        <v>3.0</v>
      </c>
      <c r="B5" s="11" t="n">
        <f aca="false">IF($A5="","",i_InstrumentAttribute!B5)</f>
        <v>3.0</v>
      </c>
      <c r="C5" s="26" t="n">
        <f aca="false">IF($A5="","",ProductCatalog_Allocation_Calc!F15)</f>
        <v>277.7777777777775</v>
      </c>
      <c r="D5" s="27" t="n">
        <f aca="false">IF($A5="","",i_InstrumentAttribute!L5)</f>
        <v>44576.0</v>
      </c>
      <c r="E5" s="27" t="n">
        <f aca="false">IF($A5="","",i_InstrumentAttribute!M5)</f>
        <v>44576.0</v>
      </c>
      <c r="F5" s="11" t="n">
        <f aca="false">IF($A5="","",IF(E5-D5=0,0,E5-D5))</f>
        <v>0.0</v>
      </c>
      <c r="G5" s="17" t="n">
        <f aca="false">IFERROR(IF($A5="","",C5/F5),C5)</f>
        <v>277.7777777777775</v>
      </c>
      <c r="H5" s="11" t="str">
        <f aca="false">IF($A5="","",i_InstrumentAttribute!E5)</f>
        <v>SO1</v>
      </c>
      <c r="I5" s="11" t="str">
        <f aca="false">IF($A5="","",VLOOKUP(A5,ProductCatalog_Allocation_Calc!$A$3:$D$7,4,FALSE()))</f>
        <v>POINT_IN_TIME</v>
      </c>
      <c r="J5" s="28" t="str">
        <f aca="false">IF(A5="","",IF(SUM(BD13:CB13)-$F5=0,"Pass","Fail"))</f>
        <v>Pass</v>
      </c>
      <c r="K5" s="28" t="str">
        <f aca="false">IF(A5="","",IF(ROUND(SUM(CE13:DC13),4)-$C5=0,"Pass","Fail"))</f>
        <v>Fail</v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n">
        <f aca="false">IF(i_InstrumentAttribute!H6="","",i_InstrumentAttribute!H6)</f>
        <v>5.0</v>
      </c>
      <c r="B6" s="11" t="n">
        <f aca="false">IF($A6="","",i_InstrumentAttribute!B6)</f>
        <v>4.0</v>
      </c>
      <c r="C6" s="26" t="n">
        <f aca="false">IF($A6="","",ProductCatalog_Allocation_Calc!F16)</f>
        <v>1111.11111111111</v>
      </c>
      <c r="D6" s="27" t="n">
        <f aca="false">IF($A6="","",i_InstrumentAttribute!L6)</f>
        <v>44576.0</v>
      </c>
      <c r="E6" s="27" t="n">
        <f aca="false">IF($A6="","",i_InstrumentAttribute!M6)</f>
        <v>44941.0</v>
      </c>
      <c r="F6" s="11" t="n">
        <f aca="false">IF($A6="","",IF(E6-D6=0,0,E6-D6))</f>
        <v>365.0</v>
      </c>
      <c r="G6" s="17" t="n">
        <f aca="false">IFERROR(IF($A6="","",C6/F6),C6)</f>
        <v>3.0441400304413975</v>
      </c>
      <c r="H6" s="11" t="str">
        <f aca="false">IF($A6="","",i_InstrumentAttribute!E6)</f>
        <v>SO1</v>
      </c>
      <c r="I6" s="11" t="str">
        <f aca="false">IF($A6="","",VLOOKUP(A6,ProductCatalog_Allocation_Calc!$A$3:$D$7,4,FALSE()))</f>
        <v>RATABLE</v>
      </c>
      <c r="J6" s="28" t="str">
        <f aca="false">IF(A6="","",IF(SUM(BD14:CB14)-$F6=0,"Pass","Fail"))</f>
        <v>Pass</v>
      </c>
      <c r="K6" s="28" t="str">
        <f aca="false">IF(A6="","",IF(ROUND(SUM(CE14:DC14),4)-$C6=0,"Pass","Fail"))</f>
        <v>Fail</v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n">
        <f aca="false">IF($B3="","",$B3)</f>
        <v>1.0</v>
      </c>
      <c r="B11" s="34" t="n">
        <f aca="false">IF(A11="","",IF(EOMONTH($D3,B$10)=EOMONTH($E3,0),$E3,IF(EOMONTH($D3,B$10)&gt;EOMONTH($E3,0),"",EOMONTH($D3,B$10))))</f>
        <v>44576.0</v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n">
        <f aca="false">IF($A3="","",$A3)</f>
        <v>1.0</v>
      </c>
      <c r="AC11" s="27" t="n">
        <f aca="false">IF($L$3&gt;=B11,$L$3,B11)</f>
        <v>44712.0</v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n">
        <f aca="false">IF($A3="","",$A3)</f>
        <v>1.0</v>
      </c>
      <c r="BD11" s="11" t="n">
        <f aca="false">IFERROR(IF(BD$10=0,B11-$D3,IF(AC11=$E3,(B11-A11),B11-A11)),"")</f>
        <v>0.0</v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n">
        <f aca="false">IF($A3="","",$A3)</f>
        <v>1.0</v>
      </c>
      <c r="CE11" s="35" t="n">
        <f aca="false">IFERROR(IF(B11="","",IF(AND(CE$10=0,I3="POINT_IN_TIME"),$G3,$G3*BD11)),"")</f>
        <v>0.0</v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n">
        <f aca="false">IF($B4="","",$B4)</f>
        <v>2.0</v>
      </c>
      <c r="B12" s="34" t="n">
        <f aca="false">IF(A12="","",IF(EOMONTH($D4,B$10)=EOMONTH($E4,0),$E4,IF(EOMONTH($D4,B$10)&gt;EOMONTH($E4,0),"",EOMONTH($D4,B$10))))</f>
        <v>44592.0</v>
      </c>
      <c r="C12" s="34" t="n">
        <f aca="false">IFERROR(IF(EOMONTH($D4,C$10)=EOMONTH($E4,0),$E4,IF(EOMONTH($D4,C$10)&gt;EOMONTH($E4,0),"",EOMONTH($D4,C$10))),"")</f>
        <v>44620.0</v>
      </c>
      <c r="D12" s="34" t="n">
        <f aca="false">IFERROR(IF(EOMONTH($D4,D$10)=EOMONTH($E4,0),$E4,IF(EOMONTH($D4,D$10)&gt;EOMONTH($E4,0),"",EOMONTH($D4,D$10))),"")</f>
        <v>44651.0</v>
      </c>
      <c r="E12" s="34" t="n">
        <f aca="false">IFERROR(IF(EOMONTH($D4,E$10)=EOMONTH($E4,0),$E4,IF(EOMONTH($D4,E$10)&gt;EOMONTH($E4,0),"",EOMONTH($D4,E$10))),"")</f>
        <v>44681.0</v>
      </c>
      <c r="F12" s="34" t="n">
        <f aca="false">IFERROR(IF(EOMONTH($D4,F$10)=EOMONTH($E4,0),$E4,IF(EOMONTH($D4,F$10)&gt;EOMONTH($E4,0),"",EOMONTH($D4,F$10))),"")</f>
        <v>44712.0</v>
      </c>
      <c r="G12" s="34" t="n">
        <f aca="false">IFERROR(IF(EOMONTH($D4,G$10)=EOMONTH($E4,0),$E4,IF(EOMONTH($D4,G$10)&gt;EOMONTH($E4,0),"",EOMONTH($D4,G$10))),"")</f>
        <v>44742.0</v>
      </c>
      <c r="H12" s="34" t="n">
        <f aca="false">IFERROR(IF(EOMONTH($D4,H$10)=EOMONTH($E4,0),$E4,IF(EOMONTH($D4,H$10)&gt;EOMONTH($E4,0),"",EOMONTH($D4,H$10))),"")</f>
        <v>44773.0</v>
      </c>
      <c r="I12" s="34" t="n">
        <f aca="false">IFERROR(IF(EOMONTH($D4,I$10)=EOMONTH($E4,0),$E4,IF(EOMONTH($D4,I$10)&gt;EOMONTH($E4,0),"",EOMONTH($D4,I$10))),"")</f>
        <v>44804.0</v>
      </c>
      <c r="J12" s="34" t="n">
        <f aca="false">IFERROR(IF(EOMONTH($D4,J$10)=EOMONTH($E4,0),$E4,IF(EOMONTH($D4,J$10)&gt;EOMONTH($E4,0),"",EOMONTH($D4,J$10))),"")</f>
        <v>44834.0</v>
      </c>
      <c r="K12" s="34" t="n">
        <f aca="false">IFERROR(IF(EOMONTH($D4,K$10)=EOMONTH($E4,0),$E4,IF(EOMONTH($D4,K$10)&gt;EOMONTH($E4,0),"",EOMONTH($D4,K$10))),"")</f>
        <v>44865.0</v>
      </c>
      <c r="L12" s="34" t="n">
        <f aca="false">IFERROR(IF(EOMONTH($D4,L$10)=EOMONTH($E4,0),$E4,IF(EOMONTH($D4,L$10)&gt;EOMONTH($E4,0),"",EOMONTH($D4,L$10))),"")</f>
        <v>44895.0</v>
      </c>
      <c r="M12" s="34" t="n">
        <f aca="false">IFERROR(IF(EOMONTH($D4,M$10)=EOMONTH($E4,0),$E4,IF(EOMONTH($D4,M$10)&gt;EOMONTH($E4,0),"",EOMONTH($D4,M$10))),"")</f>
        <v>44926.0</v>
      </c>
      <c r="N12" s="34" t="n">
        <f aca="false">IFERROR(IF(EOMONTH($D4,N$10)=EOMONTH($E4,0),$E4,IF(EOMONTH($D4,N$10)&gt;EOMONTH($E4,0),"",EOMONTH($D4,N$10))),"")</f>
        <v>44941.0</v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n">
        <f aca="false">IF($A4="","",$A4)</f>
        <v>2.0</v>
      </c>
      <c r="AC12" s="27" t="n">
        <f aca="false">IF($L$3&gt;=B12,$L$3,B12)</f>
        <v>44712.0</v>
      </c>
      <c r="AD12" s="27" t="n">
        <f aca="false">IF($L$3&gt;=C12,$L$3,C12)</f>
        <v>44712.0</v>
      </c>
      <c r="AE12" s="27" t="n">
        <f aca="false">IF($L$3&gt;=D12,$L$3,D12)</f>
        <v>44712.0</v>
      </c>
      <c r="AF12" s="27" t="n">
        <f aca="false">IF($L$3&gt;=E12,$L$3,E12)</f>
        <v>44712.0</v>
      </c>
      <c r="AG12" s="27" t="n">
        <f aca="false">IF($L$3&gt;=F12,$L$3,F12)</f>
        <v>44712.0</v>
      </c>
      <c r="AH12" s="27" t="n">
        <f aca="false">IF($L$3&gt;=G12,$L$3,G12)</f>
        <v>44742.0</v>
      </c>
      <c r="AI12" s="27" t="n">
        <f aca="false">IF($L$3&gt;=H12,$L$3,H12)</f>
        <v>44773.0</v>
      </c>
      <c r="AJ12" s="27" t="n">
        <f aca="false">IF($L$3&gt;=I12,$L$3,I12)</f>
        <v>44804.0</v>
      </c>
      <c r="AK12" s="27" t="n">
        <f aca="false">IF($L$3&gt;=J12,$L$3,J12)</f>
        <v>44834.0</v>
      </c>
      <c r="AL12" s="27" t="n">
        <f aca="false">IF($L$3&gt;=K12,$L$3,K12)</f>
        <v>44865.0</v>
      </c>
      <c r="AM12" s="27" t="n">
        <f aca="false">IF($L$3&gt;=L12,$L$3,L12)</f>
        <v>44895.0</v>
      </c>
      <c r="AN12" s="27" t="n">
        <f aca="false">IF($L$3&gt;=M12,$L$3,M12)</f>
        <v>44926.0</v>
      </c>
      <c r="AO12" s="27" t="n">
        <f aca="false">IF($L$3&gt;=N12,$L$3,N12)</f>
        <v>44941.0</v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n">
        <f aca="false">IF($A4="","",$A4)</f>
        <v>2.0</v>
      </c>
      <c r="BD12" s="11" t="n">
        <f aca="false">IFERROR(IF(BD$10=0,B12-$D4,IF(AC12=$E4,(B12-A12),B12-A12)),"")</f>
        <v>16.0</v>
      </c>
      <c r="BE12" s="11" t="n">
        <f aca="false">IFERROR(IF(BE$10=0,C12-$D4,IF(AD12=$E4,(C12-B12),C12-B12)),"")</f>
        <v>28.0</v>
      </c>
      <c r="BF12" s="11" t="n">
        <f aca="false">IFERROR(IF(BF$10=0,D12-$D4,IF(AE12=$E4,(D12-C12),D12-C12)),"")</f>
        <v>31.0</v>
      </c>
      <c r="BG12" s="11" t="n">
        <f aca="false">IFERROR(IF(BG$10=0,E12-$D4,IF(AF12=$E4,(E12-D12),E12-D12)),"")</f>
        <v>30.0</v>
      </c>
      <c r="BH12" s="11" t="n">
        <f aca="false">IFERROR(IF(BH$10=0,F12-$D4,IF(AG12=$E4,(F12-E12),F12-E12)),"")</f>
        <v>31.0</v>
      </c>
      <c r="BI12" s="11" t="n">
        <f aca="false">IFERROR(IF(BI$10=0,G12-$D4,IF(AH12=$E4,(G12-F12),G12-F12)),"")</f>
        <v>30.0</v>
      </c>
      <c r="BJ12" s="11" t="n">
        <f aca="false">IFERROR(IF(BJ$10=0,H12-$D4,IF(AI12=$E4,(H12-G12),H12-G12)),"")</f>
        <v>31.0</v>
      </c>
      <c r="BK12" s="11" t="n">
        <f aca="false">IFERROR(IF(BK$10=0,I12-$D4,IF(AJ12=$E4,(I12-H12),I12-H12)),"")</f>
        <v>31.0</v>
      </c>
      <c r="BL12" s="11" t="n">
        <f aca="false">IFERROR(IF(BL$10=0,J12-$D4,IF(AK12=$E4,(J12-I12),J12-I12)),"")</f>
        <v>30.0</v>
      </c>
      <c r="BM12" s="11" t="n">
        <f aca="false">IFERROR(IF(BM$10=0,K12-$D4,IF(AL12=$E4,(K12-J12),K12-J12)),"")</f>
        <v>31.0</v>
      </c>
      <c r="BN12" s="11" t="n">
        <f aca="false">IFERROR(IF(BN$10=0,L12-$D4,IF(AM12=$E4,(L12-K12),L12-K12)),"")</f>
        <v>30.0</v>
      </c>
      <c r="BO12" s="11" t="n">
        <f aca="false">IFERROR(IF(BO$10=0,M12-$D4,IF(AN12=$E4,(M12-L12),M12-L12)),"")</f>
        <v>31.0</v>
      </c>
      <c r="BP12" s="11" t="n">
        <f aca="false">IFERROR(IF(BP$10=0,N12-$D4,IF(AO12=$E4,(N12-M12),N12-M12)),"")</f>
        <v>15.0</v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n">
        <f aca="false">IF($A4="","",$A4)</f>
        <v>2.0</v>
      </c>
      <c r="CE12" s="35" t="n">
        <f aca="false">IFERROR(IF(B12="","",IF(AND(CE$10=0,I4="POINT_IN_TIME"),$G4,$G4*BD12)),"")</f>
        <v>48.7062404870624</v>
      </c>
      <c r="CF12" s="35" t="n">
        <f aca="false">IFERROR(IF(C12="","",$G4*BE12),"")</f>
        <v>85.2359208523592</v>
      </c>
      <c r="CG12" s="35" t="n">
        <f aca="false">IFERROR(IF(D12="","",$G4*BF12),"")</f>
        <v>94.3683409436834</v>
      </c>
      <c r="CH12" s="35" t="n">
        <f aca="false">IFERROR(IF(E12="","",$G4*BG12),"")</f>
        <v>91.324200913242</v>
      </c>
      <c r="CI12" s="35" t="n">
        <f aca="false">IFERROR(IF(F12="","",$G4*BH12),"")</f>
        <v>94.3683409436834</v>
      </c>
      <c r="CJ12" s="35" t="n">
        <f aca="false">IFERROR(IF(G12="","",$G4*BI12),"")</f>
        <v>91.324200913242</v>
      </c>
      <c r="CK12" s="35" t="n">
        <f aca="false">IFERROR(IF(H12="","",$G4*BJ12),"")</f>
        <v>94.3683409436834</v>
      </c>
      <c r="CL12" s="35" t="n">
        <f aca="false">IFERROR(IF(I12="","",$G4*BK12),"")</f>
        <v>94.3683409436834</v>
      </c>
      <c r="CM12" s="35" t="n">
        <f aca="false">IFERROR(IF(J12="","",$G4*BL12),"")</f>
        <v>91.324200913242</v>
      </c>
      <c r="CN12" s="35" t="n">
        <f aca="false">IFERROR(IF(K12="","",$G4*BM12),"")</f>
        <v>94.3683409436834</v>
      </c>
      <c r="CO12" s="35" t="n">
        <f aca="false">IFERROR(IF(L12="","",$G4*BN12),"")</f>
        <v>91.324200913242</v>
      </c>
      <c r="CP12" s="35" t="n">
        <f aca="false">IFERROR(IF(M12="","",$G4*BO12),"")</f>
        <v>94.3683409436834</v>
      </c>
      <c r="CQ12" s="35" t="n">
        <f aca="false">IFERROR(IF(N12="","",$G4*BP12),"")</f>
        <v>45.662100456621</v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n">
        <f aca="false">IF($A5="","",$A5)</f>
        <v>3.0</v>
      </c>
      <c r="B13" s="34" t="n">
        <f aca="false">IF(A13="","",IF(EOMONTH($D5,B$10)=EOMONTH($E5,0),$E5,IF(EOMONTH($D5,B$10)&gt;EOMONTH($E5,0),"",EOMONTH($D5,B$10))))</f>
        <v>44576.0</v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n">
        <f aca="false">IF($A5="","",$A5)</f>
        <v>3.0</v>
      </c>
      <c r="AC13" s="27" t="n">
        <f aca="false">IF($L$3&gt;=B13,$L$3,B13)</f>
        <v>44712.0</v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n">
        <f aca="false">IF($A5="","",$A5)</f>
        <v>3.0</v>
      </c>
      <c r="BD13" s="11" t="n">
        <f aca="false">IFERROR(IF(BD$10=0,B13-$D5,IF(AC13=$E5,(B13-A13),B13-A13)),"")</f>
        <v>0.0</v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n">
        <f aca="false">IF($A5="","",$A5)</f>
        <v>3.0</v>
      </c>
      <c r="CE13" s="35" t="n">
        <f aca="false">IFERROR(IF(B13="","",IF(AND(CE$10=0,I5="POINT_IN_TIME"),$G5,$G5*BD13)),"")</f>
        <v>277.7777777777775</v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n">
        <f aca="false">IF($A6="","",$A6)</f>
        <v>5.0</v>
      </c>
      <c r="B14" s="34" t="n">
        <f aca="false">IF(A14="","",IF(EOMONTH($D6,B$10)=EOMONTH($E6,0),$E6,IF(EOMONTH($D6,B$10)&gt;EOMONTH($E6,0),"",EOMONTH($D6,B$10))))</f>
        <v>44592.0</v>
      </c>
      <c r="C14" s="34" t="n">
        <f aca="false">IFERROR(IF(EOMONTH($D6,C$10)=EOMONTH($E6,0),$E6,IF(EOMONTH($D6,C$10)&gt;EOMONTH($E6,0),"",EOMONTH($D6,C$10))),"")</f>
        <v>44620.0</v>
      </c>
      <c r="D14" s="34" t="n">
        <f aca="false">IFERROR(IF(EOMONTH($D6,D$10)=EOMONTH($E6,0),$E6,IF(EOMONTH($D6,D$10)&gt;EOMONTH($E6,0),"",EOMONTH($D6,D$10))),"")</f>
        <v>44651.0</v>
      </c>
      <c r="E14" s="34" t="n">
        <f aca="false">IFERROR(IF(EOMONTH($D6,E$10)=EOMONTH($E6,0),$E6,IF(EOMONTH($D6,E$10)&gt;EOMONTH($E6,0),"",EOMONTH($D6,E$10))),"")</f>
        <v>44681.0</v>
      </c>
      <c r="F14" s="34" t="n">
        <f aca="false">IFERROR(IF(EOMONTH($D6,F$10)=EOMONTH($E6,0),$E6,IF(EOMONTH($D6,F$10)&gt;EOMONTH($E6,0),"",EOMONTH($D6,F$10))),"")</f>
        <v>44712.0</v>
      </c>
      <c r="G14" s="34" t="n">
        <f aca="false">IFERROR(IF(EOMONTH($D6,G$10)=EOMONTH($E6,0),$E6,IF(EOMONTH($D6,G$10)&gt;EOMONTH($E6,0),"",EOMONTH($D6,G$10))),"")</f>
        <v>44742.0</v>
      </c>
      <c r="H14" s="34" t="n">
        <f aca="false">IFERROR(IF(EOMONTH($D6,H$10)=EOMONTH($E6,0),$E6,IF(EOMONTH($D6,H$10)&gt;EOMONTH($E6,0),"",EOMONTH($D6,H$10))),"")</f>
        <v>44773.0</v>
      </c>
      <c r="I14" s="34" t="n">
        <f aca="false">IFERROR(IF(EOMONTH($D6,I$10)=EOMONTH($E6,0),$E6,IF(EOMONTH($D6,I$10)&gt;EOMONTH($E6,0),"",EOMONTH($D6,I$10))),"")</f>
        <v>44804.0</v>
      </c>
      <c r="J14" s="34" t="n">
        <f aca="false">IFERROR(IF(EOMONTH($D6,J$10)=EOMONTH($E6,0),$E6,IF(EOMONTH($D6,J$10)&gt;EOMONTH($E6,0),"",EOMONTH($D6,J$10))),"")</f>
        <v>44834.0</v>
      </c>
      <c r="K14" s="34" t="n">
        <f aca="false">IFERROR(IF(EOMONTH($D6,K$10)=EOMONTH($E6,0),$E6,IF(EOMONTH($D6,K$10)&gt;EOMONTH($E6,0),"",EOMONTH($D6,K$10))),"")</f>
        <v>44865.0</v>
      </c>
      <c r="L14" s="34" t="n">
        <f aca="false">IFERROR(IF(EOMONTH($D6,L$10)=EOMONTH($E6,0),$E6,IF(EOMONTH($D6,L$10)&gt;EOMONTH($E6,0),"",EOMONTH($D6,L$10))),"")</f>
        <v>44895.0</v>
      </c>
      <c r="M14" s="34" t="n">
        <f aca="false">IFERROR(IF(EOMONTH($D6,M$10)=EOMONTH($E6,0),$E6,IF(EOMONTH($D6,M$10)&gt;EOMONTH($E6,0),"",EOMONTH($D6,M$10))),"")</f>
        <v>44926.0</v>
      </c>
      <c r="N14" s="34" t="n">
        <f aca="false">IFERROR(IF(EOMONTH($D6,N$10)=EOMONTH($E6,0),$E6,IF(EOMONTH($D6,N$10)&gt;EOMONTH($E6,0),"",EOMONTH($D6,N$10))),"")</f>
        <v>44941.0</v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n">
        <f aca="false">IF($A6="","",$A6)</f>
        <v>5.0</v>
      </c>
      <c r="AC14" s="27" t="n">
        <f aca="false">IF($L$3&gt;=B14,$L$3,B14)</f>
        <v>44712.0</v>
      </c>
      <c r="AD14" s="27" t="n">
        <f aca="false">IF($L$3&gt;=C14,$L$3,C14)</f>
        <v>44712.0</v>
      </c>
      <c r="AE14" s="27" t="n">
        <f aca="false">IF($L$3&gt;=D14,$L$3,D14)</f>
        <v>44712.0</v>
      </c>
      <c r="AF14" s="27" t="n">
        <f aca="false">IF($L$3&gt;=E14,$L$3,E14)</f>
        <v>44712.0</v>
      </c>
      <c r="AG14" s="27" t="n">
        <f aca="false">IF($L$3&gt;=F14,$L$3,F14)</f>
        <v>44712.0</v>
      </c>
      <c r="AH14" s="27" t="n">
        <f aca="false">IF($L$3&gt;=G14,$L$3,G14)</f>
        <v>44742.0</v>
      </c>
      <c r="AI14" s="27" t="n">
        <f aca="false">IF($L$3&gt;=H14,$L$3,H14)</f>
        <v>44773.0</v>
      </c>
      <c r="AJ14" s="27" t="n">
        <f aca="false">IF($L$3&gt;=I14,$L$3,I14)</f>
        <v>44804.0</v>
      </c>
      <c r="AK14" s="27" t="n">
        <f aca="false">IF($L$3&gt;=J14,$L$3,J14)</f>
        <v>44834.0</v>
      </c>
      <c r="AL14" s="27" t="n">
        <f aca="false">IF($L$3&gt;=K14,$L$3,K14)</f>
        <v>44865.0</v>
      </c>
      <c r="AM14" s="27" t="n">
        <f aca="false">IF($L$3&gt;=L14,$L$3,L14)</f>
        <v>44895.0</v>
      </c>
      <c r="AN14" s="27" t="n">
        <f aca="false">IF($L$3&gt;=M14,$L$3,M14)</f>
        <v>44926.0</v>
      </c>
      <c r="AO14" s="27" t="n">
        <f aca="false">IF($L$3&gt;=N14,$L$3,N14)</f>
        <v>44941.0</v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n">
        <f aca="false">IF($A6="","",$A6)</f>
        <v>5.0</v>
      </c>
      <c r="BD14" s="11" t="n">
        <f aca="false">IFERROR(IF(BD$10=0,B14-$D6,IF(AC14=$E6,(B14-A14),B14-A14)),"")</f>
        <v>16.0</v>
      </c>
      <c r="BE14" s="11" t="n">
        <f aca="false">IFERROR(IF(BE$10=0,C14-$D6,IF(AD14=$E6,(C14-B14),C14-B14)),"")</f>
        <v>28.0</v>
      </c>
      <c r="BF14" s="11" t="n">
        <f aca="false">IFERROR(IF(BF$10=0,D14-$D6,IF(AE14=$E6,(D14-C14),D14-C14)),"")</f>
        <v>31.0</v>
      </c>
      <c r="BG14" s="11" t="n">
        <f aca="false">IFERROR(IF(BG$10=0,E14-$D6,IF(AF14=$E6,(E14-D14),E14-D14)),"")</f>
        <v>30.0</v>
      </c>
      <c r="BH14" s="11" t="n">
        <f aca="false">IFERROR(IF(BH$10=0,F14-$D6,IF(AG14=$E6,(F14-E14),F14-E14)),"")</f>
        <v>31.0</v>
      </c>
      <c r="BI14" s="11" t="n">
        <f aca="false">IFERROR(IF(BI$10=0,G14-$D6,IF(AH14=$E6,(G14-F14),G14-F14)),"")</f>
        <v>30.0</v>
      </c>
      <c r="BJ14" s="11" t="n">
        <f aca="false">IFERROR(IF(BJ$10=0,H14-$D6,IF(AI14=$E6,(H14-G14),H14-G14)),"")</f>
        <v>31.0</v>
      </c>
      <c r="BK14" s="11" t="n">
        <f aca="false">IFERROR(IF(BK$10=0,I14-$D6,IF(AJ14=$E6,(I14-H14),I14-H14)),"")</f>
        <v>31.0</v>
      </c>
      <c r="BL14" s="11" t="n">
        <f aca="false">IFERROR(IF(BL$10=0,J14-$D6,IF(AK14=$E6,(J14-I14),J14-I14)),"")</f>
        <v>30.0</v>
      </c>
      <c r="BM14" s="11" t="n">
        <f aca="false">IFERROR(IF(BM$10=0,K14-$D6,IF(AL14=$E6,(K14-J14),K14-J14)),"")</f>
        <v>31.0</v>
      </c>
      <c r="BN14" s="11" t="n">
        <f aca="false">IFERROR(IF(BN$10=0,L14-$D6,IF(AM14=$E6,(L14-K14),L14-K14)),"")</f>
        <v>30.0</v>
      </c>
      <c r="BO14" s="11" t="n">
        <f aca="false">IFERROR(IF(BO$10=0,M14-$D6,IF(AN14=$E6,(M14-L14),M14-L14)),"")</f>
        <v>31.0</v>
      </c>
      <c r="BP14" s="11" t="n">
        <f aca="false">IFERROR(IF(BP$10=0,N14-$D6,IF(AO14=$E6,(N14-M14),N14-M14)),"")</f>
        <v>15.0</v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n">
        <f aca="false">IF($A6="","",$A6)</f>
        <v>5.0</v>
      </c>
      <c r="CE14" s="35" t="n">
        <f aca="false">IFERROR(IF(B14="","",$G6*BD14),"")</f>
        <v>48.7062404870624</v>
      </c>
      <c r="CF14" s="35" t="n">
        <f aca="false">IFERROR(IF(C14="","",$G6*BE14),"")</f>
        <v>85.2359208523592</v>
      </c>
      <c r="CG14" s="35" t="n">
        <f aca="false">IFERROR(IF(D14="","",$G6*BF14),"")</f>
        <v>94.3683409436834</v>
      </c>
      <c r="CH14" s="35" t="n">
        <f aca="false">IFERROR(IF(E14="","",$G6*BG14),"")</f>
        <v>91.324200913242</v>
      </c>
      <c r="CI14" s="35" t="n">
        <f aca="false">IFERROR(IF(F14="","",$G6*BH14),"")</f>
        <v>94.3683409436834</v>
      </c>
      <c r="CJ14" s="35" t="n">
        <f aca="false">IFERROR(IF(G14="","",$G6*BI14),"")</f>
        <v>91.324200913242</v>
      </c>
      <c r="CK14" s="35" t="n">
        <f aca="false">IFERROR(IF(H14="","",$G6*BJ14),"")</f>
        <v>94.3683409436834</v>
      </c>
      <c r="CL14" s="35" t="n">
        <f aca="false">IFERROR(IF(I14="","",$G6*BK14),"")</f>
        <v>94.3683409436834</v>
      </c>
      <c r="CM14" s="35" t="n">
        <f aca="false">IFERROR(IF(J14="","",$G6*BL14),"")</f>
        <v>91.324200913242</v>
      </c>
      <c r="CN14" s="35" t="n">
        <f aca="false">IFERROR(IF(K14="","",$G6*BM14),"")</f>
        <v>94.3683409436834</v>
      </c>
      <c r="CO14" s="35" t="n">
        <f aca="false">IFERROR(IF(L14="","",$G6*BN14),"")</f>
        <v>91.324200913242</v>
      </c>
      <c r="CP14" s="35" t="n">
        <f aca="false">IFERROR(IF(M14="","",$G6*BO14),"")</f>
        <v>94.3683409436834</v>
      </c>
      <c r="CQ14" s="35" t="n">
        <f aca="false">IFERROR(IF(N14="","",$G6*BP14),"")</f>
        <v>45.662100456621</v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44712.0</v>
      </c>
      <c r="C19" s="35" t="n">
        <f aca="false">IF(A19="","",i_Metric!$H2)</f>
        <v>2500.0</v>
      </c>
      <c r="D19" s="35" t="n">
        <v>0</v>
      </c>
      <c r="E19" s="35" t="n">
        <f aca="false">IF(A19="","",i_Metric!$H3)</f>
        <v>0.0</v>
      </c>
      <c r="F19" s="35" t="n">
        <f aca="false">IF(A19="","",i_Metric!$H4)</f>
        <v>2500.0</v>
      </c>
    </row>
    <row r="20" customFormat="false" ht="15" hidden="false" customHeight="false" outlineLevel="0" collapsed="false">
      <c r="A20" s="11" t="n">
        <f aca="false">IF($B3="","",$B3)</f>
        <v>1.0</v>
      </c>
      <c r="B20" s="27" t="n">
        <f aca="false">IF(A20="","",$L$3)</f>
        <v>44712.0</v>
      </c>
      <c r="C20" s="35" t="n">
        <f aca="false">IF(A20="","",0)</f>
        <v>0.0</v>
      </c>
      <c r="D20" s="35" t="n">
        <f aca="false">IF(A20="","",i_Metric!$H5)</f>
        <v>0.0</v>
      </c>
      <c r="E20" s="35" t="n">
        <f aca="false">IF(A20="","",0)</f>
        <v>0.0</v>
      </c>
      <c r="F20" s="35" t="n">
        <f aca="false">IF(A20="","",0)</f>
        <v>0.0</v>
      </c>
    </row>
    <row r="21" customFormat="false" ht="15" hidden="false" customHeight="false" outlineLevel="0" collapsed="false">
      <c r="A21" s="11" t="n">
        <f aca="false">IF($B4="","",$B4)</f>
        <v>2.0</v>
      </c>
      <c r="B21" s="27" t="n">
        <f aca="false">IF(A21="","",$L$3)</f>
        <v>44712.0</v>
      </c>
      <c r="C21" s="35" t="n">
        <f aca="false">IF(A21="","",0)</f>
        <v>0.0</v>
      </c>
      <c r="D21" s="35" t="n">
        <f aca="false">IF(A21="","",i_Metric!$H6)</f>
        <v>-319.6347</v>
      </c>
      <c r="E21" s="35" t="n">
        <f aca="false">IF(A21="","",0)</f>
        <v>0.0</v>
      </c>
      <c r="F21" s="35" t="n">
        <f aca="false">IF(A21="","",0)</f>
        <v>0.0</v>
      </c>
    </row>
    <row r="22" customFormat="false" ht="15" hidden="false" customHeight="false" outlineLevel="0" collapsed="false">
      <c r="A22" s="11" t="n">
        <f aca="false">IF($B5="","",$B5)</f>
        <v>3.0</v>
      </c>
      <c r="B22" s="27" t="n">
        <f aca="false">IF(A22="","",$L$3)</f>
        <v>44712.0</v>
      </c>
      <c r="C22" s="35" t="n">
        <f aca="false">IF(A22="","",0)</f>
        <v>0.0</v>
      </c>
      <c r="D22" s="35" t="n">
        <f aca="false">IF(A22="","",i_Metric!$H7)</f>
        <v>-277.7778</v>
      </c>
      <c r="E22" s="35" t="n">
        <f aca="false">IF(A22="","",0)</f>
        <v>0.0</v>
      </c>
      <c r="F22" s="35" t="n">
        <f aca="false">IF(A22="","",0)</f>
        <v>0.0</v>
      </c>
    </row>
    <row r="23" customFormat="false" ht="15" hidden="false" customHeight="false" outlineLevel="0" collapsed="false">
      <c r="A23" s="11" t="n">
        <f aca="false">IF($B6="","",$B6)</f>
        <v>4.0</v>
      </c>
      <c r="B23" s="27" t="n">
        <f aca="false">IF(A23="","",$L$3)</f>
        <v>44712.0</v>
      </c>
      <c r="C23" s="35" t="n">
        <f aca="false">IF(A23="","",0)</f>
        <v>0.0</v>
      </c>
      <c r="D23" s="35" t="n">
        <f aca="false">IF(A23="","",i_Metric!$H8)</f>
        <v>-319.6347</v>
      </c>
      <c r="E23" s="35" t="n">
        <f aca="false">IF(A23="","",0)</f>
        <v>0.0</v>
      </c>
      <c r="F23" s="35" t="n">
        <f aca="false">IF(A23="","",0)</f>
        <v>0.0</v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2500.0</v>
      </c>
      <c r="D25" s="35" t="n">
        <f aca="false">SUM(D19:D24)</f>
        <v>-917.0472</v>
      </c>
      <c r="E25" s="35" t="n">
        <f aca="false">SUM(E19:E24)</f>
        <v>0.0</v>
      </c>
      <c r="F25" s="35" t="n">
        <f aca="false">SUM(F19:F24)</f>
        <v>2500.0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44712.0</v>
      </c>
      <c r="C29" s="35" t="n">
        <f aca="false">IF(B29="","",C25+C37)</f>
        <v>3100.0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1994.2161339421618</v>
      </c>
    </row>
    <row r="30" customFormat="false" ht="15" hidden="false" customHeight="false" outlineLevel="0" collapsed="false">
      <c r="A30" s="11" t="n">
        <f aca="false">IF($B3="","",$B3)</f>
        <v>1.0</v>
      </c>
      <c r="B30" s="27" t="n">
        <f aca="false">IF(A30="","",$L$3)</f>
        <v>44712.0</v>
      </c>
      <c r="C30" s="35" t="n">
        <f aca="false">IF(A30="","",0)</f>
        <v>0.0</v>
      </c>
      <c r="D30" s="35" t="n">
        <f aca="false">IF(B30="","",-SUMIF($AC11:$BA11,$L$3,$CE11:$DC11))</f>
        <v>0.0</v>
      </c>
      <c r="E30" s="35" t="n">
        <f aca="false">IF(A30="","",0)</f>
        <v>0.0</v>
      </c>
      <c r="F30" s="35" t="n">
        <f aca="false">IF(A30="","",0)</f>
        <v>0.0</v>
      </c>
    </row>
    <row r="31" customFormat="false" ht="15" hidden="false" customHeight="false" outlineLevel="0" collapsed="false">
      <c r="A31" s="11" t="n">
        <f aca="false">IF($B4="","",$B4)</f>
        <v>2.0</v>
      </c>
      <c r="B31" s="27" t="n">
        <f aca="false">IF(A31="","",$L$3)</f>
        <v>44712.0</v>
      </c>
      <c r="C31" s="35" t="n">
        <f aca="false">IF(A31="","",0)</f>
        <v>0.0</v>
      </c>
      <c r="D31" s="35" t="n">
        <f aca="false">IF(B31="","",-SUMIF($AC12:$BA12,$L$3,$CE12:$DC12))</f>
        <v>-414.0030441400304</v>
      </c>
      <c r="E31" s="35" t="n">
        <f aca="false">IF(A31="","",0)</f>
        <v>0.0</v>
      </c>
      <c r="F31" s="35" t="n">
        <f aca="false">IF(A31="","",0)</f>
        <v>0.0</v>
      </c>
    </row>
    <row r="32" customFormat="false" ht="15" hidden="false" customHeight="false" outlineLevel="0" collapsed="false">
      <c r="A32" s="11" t="n">
        <f aca="false">IF($B5="","",$B5)</f>
        <v>3.0</v>
      </c>
      <c r="B32" s="27" t="n">
        <f aca="false">IF(A32="","",$L$3)</f>
        <v>44712.0</v>
      </c>
      <c r="C32" s="35" t="n">
        <f aca="false">IF(A32="","",0)</f>
        <v>0.0</v>
      </c>
      <c r="D32" s="35" t="n">
        <f aca="false">IF(B32="","",-SUMIF($AC13:$BA13,$L$3,$CE13:$DC13))</f>
        <v>-277.7777777777775</v>
      </c>
      <c r="E32" s="35" t="n">
        <f aca="false">IF(A32="","",0)</f>
        <v>0.0</v>
      </c>
      <c r="F32" s="35" t="n">
        <f aca="false">IF(A32="","",0)</f>
        <v>0.0</v>
      </c>
    </row>
    <row r="33" customFormat="false" ht="15" hidden="false" customHeight="false" outlineLevel="0" collapsed="false">
      <c r="A33" s="11" t="n">
        <f aca="false">IF($B6="","",$B6)</f>
        <v>4.0</v>
      </c>
      <c r="B33" s="27" t="n">
        <f aca="false">IF(A33="","",$L$3)</f>
        <v>44712.0</v>
      </c>
      <c r="C33" s="35" t="n">
        <f aca="false">IF(A33="","",0)</f>
        <v>0.0</v>
      </c>
      <c r="D33" s="35" t="n">
        <f aca="false">IF(B33="","",-SUMIF($AC14:$BA14,$L$3,$CE14:$DC14))</f>
        <v>-414.0030441400304</v>
      </c>
      <c r="E33" s="35" t="n">
        <f aca="false">IF(A33="","",0)</f>
        <v>0.0</v>
      </c>
      <c r="F33" s="35" t="n">
        <f aca="false">IF(A33="","",0)</f>
        <v>0.0</v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44712.0</v>
      </c>
      <c r="C37" s="35" t="n">
        <f aca="false">i_Transaction!F2+i_Transaction!F3</f>
        <v>600.0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2911.263333942162</v>
      </c>
      <c r="H37" s="39"/>
      <c r="I37" s="39"/>
    </row>
    <row r="38" customFormat="false" ht="15" hidden="false" customHeight="false" outlineLevel="0" collapsed="false">
      <c r="A38" s="11" t="n">
        <f aca="false">IF($B3="","",$B3)</f>
        <v>1.0</v>
      </c>
      <c r="B38" s="27" t="n">
        <f aca="false">IF(A38="","",$L$3)</f>
        <v>44712.0</v>
      </c>
      <c r="C38" s="35" t="n">
        <f aca="false">IF(A38="","",0)</f>
        <v>0.0</v>
      </c>
      <c r="D38" s="35" t="n">
        <f aca="false">IF(B38="","",D30-D20)</f>
        <v>0.0</v>
      </c>
      <c r="E38" s="35" t="n">
        <f aca="false">IF(A38="","",0)</f>
        <v>0.0</v>
      </c>
      <c r="F38" s="35" t="n">
        <f aca="false">IF(A38="","",0)</f>
        <v>0.0</v>
      </c>
    </row>
    <row r="39" customFormat="false" ht="15" hidden="false" customHeight="false" outlineLevel="0" collapsed="false">
      <c r="A39" s="11" t="n">
        <f aca="false">IF($B4="","",$B4)</f>
        <v>2.0</v>
      </c>
      <c r="B39" s="27" t="n">
        <f aca="false">IF(A39="","",$L$3)</f>
        <v>44712.0</v>
      </c>
      <c r="C39" s="35" t="n">
        <f aca="false">IF(A39="","",0)</f>
        <v>0.0</v>
      </c>
      <c r="D39" s="35" t="n">
        <f aca="false">IF(B39="","",D31-D21)</f>
        <v>-94.36834414003039</v>
      </c>
      <c r="E39" s="35" t="n">
        <f aca="false">IF(A39="","",0)</f>
        <v>0.0</v>
      </c>
      <c r="F39" s="35" t="n">
        <f aca="false">IF(A39="","",0)</f>
        <v>0.0</v>
      </c>
    </row>
    <row r="40" customFormat="false" ht="15" hidden="false" customHeight="false" outlineLevel="0" collapsed="false">
      <c r="A40" s="11" t="n">
        <f aca="false">IF($B5="","",$B5)</f>
        <v>3.0</v>
      </c>
      <c r="B40" s="27" t="n">
        <f aca="false">IF(A40="","",$L$3)</f>
        <v>44712.0</v>
      </c>
      <c r="C40" s="35" t="n">
        <f aca="false">IF(A40="","",0)</f>
        <v>0.0</v>
      </c>
      <c r="D40" s="35" t="n">
        <f aca="false">IF(B40="","",D32-D22)</f>
        <v>2.2222222526124824E-5</v>
      </c>
      <c r="E40" s="35" t="n">
        <f aca="false">IF(A40="","",0)</f>
        <v>0.0</v>
      </c>
      <c r="F40" s="35" t="n">
        <f aca="false">IF(A40="","",0)</f>
        <v>0.0</v>
      </c>
    </row>
    <row r="41" customFormat="false" ht="15" hidden="false" customHeight="false" outlineLevel="0" collapsed="false">
      <c r="A41" s="11" t="n">
        <f aca="false">IF($B6="","",$B6)</f>
        <v>4.0</v>
      </c>
      <c r="B41" s="27" t="n">
        <f aca="false">IF(A41="","",$L$3)</f>
        <v>44712.0</v>
      </c>
      <c r="C41" s="35" t="n">
        <f aca="false">IF(B41="","",C33+$C$25)</f>
        <v>2500.0</v>
      </c>
      <c r="D41" s="35" t="n">
        <f aca="false">IF(B41="","",D33-D23)</f>
        <v>-94.36834414003039</v>
      </c>
      <c r="E41" s="35" t="n">
        <f aca="false">IF(A41="","",0)</f>
        <v>0.0</v>
      </c>
      <c r="F41" s="35" t="n">
        <f aca="false">IF(A41="","",0)</f>
        <v>0.0</v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n">
        <f aca="false">IF(D39=0,"",B39)</f>
        <v>44712.0</v>
      </c>
      <c r="B47" s="27" t="n">
        <f aca="false">IF(A47="","",A47)</f>
        <v>44712.0</v>
      </c>
      <c r="C47" s="11" t="str">
        <f aca="false">IF(A47="","",$H$3)</f>
        <v>SO1</v>
      </c>
      <c r="D47" s="11" t="str">
        <f aca="false">IF(A47="","","Revenue")</f>
        <v>Revenue</v>
      </c>
      <c r="E47" s="35" t="n">
        <f aca="false">IF(D47="Revenue",D39,"")</f>
        <v>-94.36834414003039</v>
      </c>
      <c r="F47" s="11" t="n">
        <f aca="false">IF(A47="","",A39)</f>
        <v>2.0</v>
      </c>
      <c r="G47" s="41"/>
    </row>
    <row r="48" customFormat="false" ht="15" hidden="false" customHeight="false" outlineLevel="0" collapsed="false">
      <c r="A48" s="27" t="n">
        <f aca="false">IF(D40=0,"",B40)</f>
        <v>44712.0</v>
      </c>
      <c r="B48" s="27" t="n">
        <f aca="false">IF(A48="","",A48)</f>
        <v>44712.0</v>
      </c>
      <c r="C48" s="11" t="str">
        <f aca="false">IF(A48="","",$H$3)</f>
        <v>SO1</v>
      </c>
      <c r="D48" s="11" t="str">
        <f aca="false">IF(A48="","","Revenue")</f>
        <v>Revenue</v>
      </c>
      <c r="E48" s="35" t="n">
        <f aca="false">IF(D48="Revenue",D40,"")</f>
        <v>2.2222222526124824E-5</v>
      </c>
      <c r="F48" s="11" t="n">
        <f aca="false">IF(A48="","",A40)</f>
        <v>3.0</v>
      </c>
      <c r="G48" s="41"/>
    </row>
    <row r="49" customFormat="false" ht="15" hidden="false" customHeight="false" outlineLevel="0" collapsed="false">
      <c r="A49" s="27" t="n">
        <f aca="false">IF(D41=0,"",B41)</f>
        <v>44712.0</v>
      </c>
      <c r="B49" s="27" t="n">
        <f aca="false">IF(A49="","",A49)</f>
        <v>44712.0</v>
      </c>
      <c r="C49" s="11" t="str">
        <f aca="false">IF(A49="","",$H$3)</f>
        <v>SO1</v>
      </c>
      <c r="D49" s="11" t="str">
        <f aca="false">IF(A49="","","Revenue")</f>
        <v>Revenue</v>
      </c>
      <c r="E49" s="35" t="n">
        <f aca="false">IF(D49="Revenue",D41,"")</f>
        <v>-94.36834414003039</v>
      </c>
      <c r="F49" s="11" t="n">
        <f aca="false">IF(A49="","",A41)</f>
        <v>4.0</v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n">
        <f aca="false">IF(RevRec_Calc!A47="","",RevRec_Calc!A47)</f>
        <v>44712.0</v>
      </c>
      <c r="B3" s="3" t="n">
        <f aca="false">IF(A3="","",RevRec_Calc!B47)</f>
        <v>44712.0</v>
      </c>
      <c r="C3" s="3" t="str">
        <f aca="false">IF(A3="","",RevRec_Calc!C47)</f>
        <v>SO1</v>
      </c>
      <c r="D3" s="3" t="str">
        <f aca="false">IF(A3="","",RevRec_Calc!D47)</f>
        <v>Revenue</v>
      </c>
      <c r="E3" s="71" t="n">
        <f aca="false">IF(A3="","",RevRec_Calc!E47)</f>
        <v>-94.36834414003039</v>
      </c>
      <c r="F3" s="9" t="n">
        <f aca="false">IF(A3="","",RevRec_Calc!F47)</f>
        <v>2.0</v>
      </c>
    </row>
    <row r="4" customFormat="false" ht="15" hidden="false" customHeight="false" outlineLevel="0" collapsed="false">
      <c r="A4" s="3" t="n">
        <f aca="false">IF(RevRec_Calc!A48="","",RevRec_Calc!A48)</f>
        <v>44712.0</v>
      </c>
      <c r="B4" s="3" t="n">
        <f aca="false">IF(A4="","",RevRec_Calc!B48)</f>
        <v>44712.0</v>
      </c>
      <c r="C4" s="3" t="str">
        <f aca="false">IF(A4="","",RevRec_Calc!C48)</f>
        <v>SO1</v>
      </c>
      <c r="D4" s="3" t="str">
        <f aca="false">IF(A4="","",RevRec_Calc!D48)</f>
        <v>Revenue</v>
      </c>
      <c r="E4" s="71" t="n">
        <f aca="false">IF(A4="","",RevRec_Calc!E48)</f>
        <v>2.2222222526124824E-5</v>
      </c>
      <c r="F4" s="9" t="n">
        <f aca="false">IF(A4="","",RevRec_Calc!F48)</f>
        <v>3.0</v>
      </c>
    </row>
    <row r="5" customFormat="false" ht="15" hidden="false" customHeight="false" outlineLevel="0" collapsed="false">
      <c r="A5" s="3" t="n">
        <f aca="false">IF(RevRec_Calc!A49="","",RevRec_Calc!A49)</f>
        <v>44712.0</v>
      </c>
      <c r="B5" s="3" t="n">
        <f aca="false">IF(A5="","",RevRec_Calc!B49)</f>
        <v>44712.0</v>
      </c>
      <c r="C5" s="3" t="str">
        <f aca="false">IF(A5="","",RevRec_Calc!C49)</f>
        <v>SO1</v>
      </c>
      <c r="D5" s="3" t="str">
        <f aca="false">IF(A5="","",RevRec_Calc!D49)</f>
        <v>Revenue</v>
      </c>
      <c r="E5" s="71" t="n">
        <f aca="false">IF(A5="","",RevRec_Calc!E49)</f>
        <v>-94.36834414003039</v>
      </c>
      <c r="F5" s="9" t="n">
        <f aca="false">IF(A5="","",RevRec_Calc!F49)</f>
        <v>4.0</v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