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hmed\Desktop\Personal\AccountingCentral\"/>
    </mc:Choice>
  </mc:AlternateContent>
  <xr:revisionPtr revIDLastSave="0" documentId="13_ncr:1_{7231167C-9184-482E-837C-E740457720E7}" xr6:coauthVersionLast="47" xr6:coauthVersionMax="47" xr10:uidLastSave="{00000000-0000-0000-0000-000000000000}"/>
  <bookViews>
    <workbookView xWindow="-108" yWindow="-108" windowWidth="23256" windowHeight="12576" firstSheet="9" activeTab="12" xr2:uid="{2D73F9B0-1F42-4AF3-889C-CC98CBADD685}"/>
  </bookViews>
  <sheets>
    <sheet name="CheatSheet" sheetId="19" r:id="rId1"/>
    <sheet name="UI-Home" sheetId="20" r:id="rId2"/>
    <sheet name="Transactions" sheetId="1" r:id="rId3"/>
    <sheet name="TransactionAttributes" sheetId="6" r:id="rId4"/>
    <sheet name="TransactionBalance" sheetId="21" r:id="rId5"/>
    <sheet name="AccountType" sheetId="2" r:id="rId6"/>
    <sheet name="Subledger Account Mappings" sheetId="4" r:id="rId7"/>
    <sheet name="ChartOfAccount" sheetId="5" r:id="rId8"/>
    <sheet name="TransactionInput" sheetId="7" r:id="rId9"/>
    <sheet name="InstrumentAttributeValue" sheetId="12" r:id="rId10"/>
    <sheet name="Model_Input" sheetId="16" r:id="rId11"/>
    <sheet name="Model_Calc" sheetId="15" r:id="rId12"/>
    <sheet name="Model_Output" sheetId="17" r:id="rId13"/>
    <sheet name="AccountingPeriod" sheetId="11" r:id="rId14"/>
    <sheet name="TransactionHistory" sheetId="14" r:id="rId15"/>
    <sheet name="InstrumentAttributeHistory" sheetId="13" r:id="rId16"/>
    <sheet name="GLEntry" sheetId="8" r:id="rId17"/>
    <sheet name="GLRule" sheetId="3" r:id="rId18"/>
    <sheet name="TrialBalance" sheetId="9" r:id="rId19"/>
    <sheet name="AdjustmentError" sheetId="18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1" l="1"/>
  <c r="C3" i="21"/>
  <c r="B4" i="21"/>
  <c r="B3" i="21"/>
  <c r="E7" i="15"/>
  <c r="B1" i="15"/>
  <c r="D7" i="15"/>
  <c r="B11" i="15" s="1"/>
  <c r="L11" i="15"/>
  <c r="F5" i="15"/>
  <c r="E5" i="15"/>
  <c r="D5" i="15"/>
  <c r="C5" i="15"/>
  <c r="B5" i="15"/>
  <c r="F4" i="15"/>
  <c r="E4" i="15"/>
  <c r="D4" i="15"/>
  <c r="I11" i="15" s="1"/>
  <c r="C2" i="17" s="1"/>
  <c r="C4" i="15"/>
  <c r="B4" i="15"/>
  <c r="B10" i="15"/>
  <c r="B7" i="15"/>
  <c r="D10" i="15"/>
  <c r="H11" i="15" s="1"/>
  <c r="I9" i="8"/>
  <c r="I7" i="8"/>
  <c r="A7" i="8"/>
  <c r="A4" i="8"/>
  <c r="A3" i="8"/>
  <c r="C8" i="8"/>
  <c r="C9" i="8" s="1"/>
  <c r="C10" i="8" s="1"/>
  <c r="C7" i="8"/>
  <c r="I3" i="8"/>
  <c r="J4" i="8" s="1"/>
  <c r="D10" i="14"/>
  <c r="D9" i="14"/>
  <c r="D2" i="17"/>
  <c r="E9" i="14" s="1"/>
  <c r="F2" i="17"/>
  <c r="G9" i="14" s="1"/>
  <c r="G8" i="14"/>
  <c r="G7" i="14"/>
  <c r="G6" i="14"/>
  <c r="G5" i="14"/>
  <c r="G4" i="14"/>
  <c r="G3" i="14"/>
  <c r="F6" i="16"/>
  <c r="F5" i="16"/>
  <c r="G4" i="16"/>
  <c r="G7" i="15" s="1"/>
  <c r="L4" i="13"/>
  <c r="L3" i="13"/>
  <c r="E6" i="16"/>
  <c r="D6" i="16"/>
  <c r="C6" i="16"/>
  <c r="B6" i="16"/>
  <c r="D5" i="16"/>
  <c r="C5" i="16"/>
  <c r="F4" i="16"/>
  <c r="F7" i="15" s="1"/>
  <c r="D4" i="16"/>
  <c r="C4" i="16"/>
  <c r="C7" i="15" s="1"/>
  <c r="B4" i="16"/>
  <c r="F8" i="14"/>
  <c r="E8" i="14"/>
  <c r="D8" i="14"/>
  <c r="F7" i="14"/>
  <c r="E7" i="14"/>
  <c r="D7" i="14"/>
  <c r="F6" i="14"/>
  <c r="E6" i="14"/>
  <c r="D6" i="14"/>
  <c r="F5" i="14"/>
  <c r="E5" i="14"/>
  <c r="D5" i="14"/>
  <c r="F4" i="14"/>
  <c r="E4" i="14"/>
  <c r="D4" i="14"/>
  <c r="F3" i="14"/>
  <c r="E3" i="14"/>
  <c r="D3" i="14"/>
  <c r="C8" i="14"/>
  <c r="C7" i="14"/>
  <c r="C6" i="14"/>
  <c r="C5" i="14"/>
  <c r="C4" i="14"/>
  <c r="B5" i="16" s="1"/>
  <c r="C3" i="14"/>
  <c r="B4" i="13"/>
  <c r="B3" i="13"/>
  <c r="K4" i="13"/>
  <c r="J4" i="13"/>
  <c r="I4" i="13"/>
  <c r="H4" i="13"/>
  <c r="G4" i="13"/>
  <c r="D4" i="13"/>
  <c r="C4" i="13"/>
  <c r="K3" i="13"/>
  <c r="J3" i="13"/>
  <c r="E4" i="16" s="1"/>
  <c r="I3" i="13"/>
  <c r="H3" i="13"/>
  <c r="G3" i="13"/>
  <c r="D3" i="13"/>
  <c r="C3" i="13"/>
  <c r="F8" i="7"/>
  <c r="F7" i="7"/>
  <c r="F6" i="7"/>
  <c r="C8" i="7"/>
  <c r="C7" i="7"/>
  <c r="B8" i="7"/>
  <c r="C5" i="7"/>
  <c r="B5" i="7"/>
  <c r="C4" i="7"/>
  <c r="F11" i="4"/>
  <c r="F10" i="4"/>
  <c r="F9" i="4"/>
  <c r="F5" i="7"/>
  <c r="F3" i="7"/>
  <c r="A11" i="4"/>
  <c r="A10" i="4"/>
  <c r="A9" i="4"/>
  <c r="A8" i="4"/>
  <c r="D11" i="4"/>
  <c r="D10" i="4"/>
  <c r="D9" i="4"/>
  <c r="D8" i="4"/>
  <c r="E11" i="4"/>
  <c r="E10" i="4"/>
  <c r="E9" i="4"/>
  <c r="E8" i="4"/>
  <c r="C11" i="4"/>
  <c r="C10" i="4"/>
  <c r="G10" i="4" s="1"/>
  <c r="C9" i="4"/>
  <c r="H9" i="4" s="1"/>
  <c r="C8" i="4"/>
  <c r="B11" i="4"/>
  <c r="B10" i="4"/>
  <c r="B9" i="4"/>
  <c r="B8" i="4"/>
  <c r="A6" i="11"/>
  <c r="B6" i="11" s="1"/>
  <c r="D6" i="11"/>
  <c r="E6" i="11" s="1"/>
  <c r="A7" i="11" s="1"/>
  <c r="D7" i="11" s="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C6" i="9"/>
  <c r="C5" i="9"/>
  <c r="C16" i="9" s="1"/>
  <c r="C4" i="9"/>
  <c r="B6" i="9"/>
  <c r="B5" i="9"/>
  <c r="B4" i="9"/>
  <c r="A9" i="9"/>
  <c r="A20" i="9" s="1"/>
  <c r="A8" i="9"/>
  <c r="C8" i="9" s="1"/>
  <c r="C19" i="9" s="1"/>
  <c r="A7" i="9"/>
  <c r="C7" i="9" s="1"/>
  <c r="C18" i="9" s="1"/>
  <c r="A6" i="9"/>
  <c r="A17" i="9" s="1"/>
  <c r="A5" i="9"/>
  <c r="A4" i="9"/>
  <c r="J10" i="8"/>
  <c r="J8" i="8"/>
  <c r="F10" i="8"/>
  <c r="F9" i="8"/>
  <c r="F8" i="8"/>
  <c r="E7" i="8"/>
  <c r="F7" i="8" s="1"/>
  <c r="A14" i="3"/>
  <c r="A13" i="3"/>
  <c r="A12" i="3"/>
  <c r="A11" i="3"/>
  <c r="A10" i="3"/>
  <c r="A9" i="3"/>
  <c r="A8" i="3"/>
  <c r="A7" i="3"/>
  <c r="A6" i="3"/>
  <c r="A5" i="3"/>
  <c r="A4" i="3"/>
  <c r="A3" i="3"/>
  <c r="H4" i="8"/>
  <c r="H8" i="8" s="1"/>
  <c r="G8" i="8" s="1"/>
  <c r="A15" i="3"/>
  <c r="F7" i="4"/>
  <c r="H7" i="4" s="1"/>
  <c r="F6" i="4"/>
  <c r="H6" i="4" s="1"/>
  <c r="F5" i="4"/>
  <c r="H5" i="4" s="1"/>
  <c r="F4" i="4"/>
  <c r="H4" i="4" s="1"/>
  <c r="H6" i="8"/>
  <c r="H10" i="8" s="1"/>
  <c r="G10" i="8" s="1"/>
  <c r="H5" i="8"/>
  <c r="G5" i="8" s="1"/>
  <c r="B17" i="9"/>
  <c r="E6" i="8"/>
  <c r="F6" i="8" s="1"/>
  <c r="E5" i="8"/>
  <c r="F5" i="8" s="1"/>
  <c r="E4" i="8"/>
  <c r="A16" i="9" s="1"/>
  <c r="E3" i="8"/>
  <c r="A15" i="9" s="1"/>
  <c r="D4" i="8"/>
  <c r="D8" i="8" s="1"/>
  <c r="C4" i="8"/>
  <c r="C5" i="8" s="1"/>
  <c r="C6" i="8" s="1"/>
  <c r="D3" i="8"/>
  <c r="D7" i="8" s="1"/>
  <c r="C3" i="8"/>
  <c r="A15" i="15" l="1"/>
  <c r="B15" i="15"/>
  <c r="B2" i="17"/>
  <c r="C9" i="14" s="1"/>
  <c r="C10" i="14" s="1"/>
  <c r="B10" i="14" s="1"/>
  <c r="E10" i="14"/>
  <c r="D5" i="8"/>
  <c r="D6" i="8" s="1"/>
  <c r="D10" i="8" s="1"/>
  <c r="B12" i="15"/>
  <c r="F4" i="7"/>
  <c r="C6" i="11"/>
  <c r="H11" i="4"/>
  <c r="G11" i="4"/>
  <c r="H10" i="4"/>
  <c r="G9" i="4"/>
  <c r="H9" i="8"/>
  <c r="G9" i="8" s="1"/>
  <c r="A19" i="9"/>
  <c r="E7" i="11"/>
  <c r="A8" i="11" s="1"/>
  <c r="B8" i="11" s="1"/>
  <c r="C7" i="11"/>
  <c r="B7" i="11"/>
  <c r="H3" i="8"/>
  <c r="G4" i="8"/>
  <c r="G6" i="8"/>
  <c r="B8" i="9"/>
  <c r="B19" i="9" s="1"/>
  <c r="B9" i="9"/>
  <c r="B20" i="9" s="1"/>
  <c r="F3" i="8"/>
  <c r="B15" i="9" s="1"/>
  <c r="F4" i="8"/>
  <c r="B7" i="9"/>
  <c r="B18" i="9" s="1"/>
  <c r="A18" i="9"/>
  <c r="C9" i="9"/>
  <c r="C20" i="9" s="1"/>
  <c r="C17" i="9"/>
  <c r="B16" i="9"/>
  <c r="G4" i="4"/>
  <c r="G6" i="4"/>
  <c r="G5" i="4"/>
  <c r="G7" i="4"/>
  <c r="B16" i="15" l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C15" i="15"/>
  <c r="D15" i="15" s="1"/>
  <c r="B9" i="14"/>
  <c r="A5" i="8"/>
  <c r="D9" i="8"/>
  <c r="C15" i="9"/>
  <c r="D8" i="11"/>
  <c r="E8" i="11" s="1"/>
  <c r="A9" i="11" s="1"/>
  <c r="C8" i="11"/>
  <c r="G3" i="8"/>
  <c r="H7" i="8"/>
  <c r="K11" i="15" l="1"/>
  <c r="E2" i="17" s="1"/>
  <c r="F9" i="14" s="1"/>
  <c r="I5" i="8" s="1"/>
  <c r="C27" i="15"/>
  <c r="D27" i="15" s="1"/>
  <c r="B28" i="15"/>
  <c r="C16" i="15"/>
  <c r="A9" i="8"/>
  <c r="A6" i="8"/>
  <c r="A8" i="8" s="1"/>
  <c r="A10" i="8" s="1"/>
  <c r="C17" i="15"/>
  <c r="D17" i="15" s="1"/>
  <c r="D9" i="9"/>
  <c r="G7" i="8"/>
  <c r="D7" i="9"/>
  <c r="C9" i="11"/>
  <c r="D9" i="11"/>
  <c r="E9" i="11" s="1"/>
  <c r="A10" i="11" s="1"/>
  <c r="B10" i="11" s="1"/>
  <c r="B9" i="11"/>
  <c r="D16" i="15" l="1"/>
  <c r="J6" i="8"/>
  <c r="E4" i="9" s="1"/>
  <c r="D8" i="9"/>
  <c r="B29" i="15"/>
  <c r="C28" i="15"/>
  <c r="D28" i="15" s="1"/>
  <c r="C18" i="15"/>
  <c r="D18" i="15" s="1"/>
  <c r="E6" i="9"/>
  <c r="E7" i="9"/>
  <c r="D18" i="9" s="1"/>
  <c r="E9" i="9"/>
  <c r="D20" i="9" s="1"/>
  <c r="E5" i="9"/>
  <c r="D5" i="9"/>
  <c r="D6" i="9"/>
  <c r="E8" i="9"/>
  <c r="D4" i="9"/>
  <c r="D10" i="11"/>
  <c r="E10" i="11" s="1"/>
  <c r="A11" i="11" s="1"/>
  <c r="C10" i="11"/>
  <c r="D19" i="9" l="1"/>
  <c r="B30" i="15"/>
  <c r="C29" i="15"/>
  <c r="D29" i="15" s="1"/>
  <c r="C19" i="15"/>
  <c r="D17" i="9"/>
  <c r="E10" i="9"/>
  <c r="D16" i="9"/>
  <c r="D15" i="9"/>
  <c r="D10" i="9"/>
  <c r="D11" i="11"/>
  <c r="E11" i="11" s="1"/>
  <c r="A12" i="11" s="1"/>
  <c r="C11" i="11"/>
  <c r="B11" i="11"/>
  <c r="D19" i="15" l="1"/>
  <c r="B31" i="15"/>
  <c r="C30" i="15"/>
  <c r="D30" i="15" s="1"/>
  <c r="C20" i="15"/>
  <c r="D20" i="15" s="1"/>
  <c r="D12" i="11"/>
  <c r="E12" i="11" s="1"/>
  <c r="A13" i="11" s="1"/>
  <c r="D13" i="11" s="1"/>
  <c r="E13" i="11" s="1"/>
  <c r="A14" i="11" s="1"/>
  <c r="B12" i="11"/>
  <c r="C12" i="11"/>
  <c r="B32" i="15" l="1"/>
  <c r="C31" i="15"/>
  <c r="D31" i="15" s="1"/>
  <c r="C21" i="15"/>
  <c r="C13" i="11"/>
  <c r="B13" i="11"/>
  <c r="D14" i="11"/>
  <c r="E14" i="11" s="1"/>
  <c r="A15" i="11" s="1"/>
  <c r="B14" i="11"/>
  <c r="C14" i="11"/>
  <c r="D21" i="15" l="1"/>
  <c r="B33" i="15"/>
  <c r="C32" i="15"/>
  <c r="D32" i="15" s="1"/>
  <c r="C22" i="15"/>
  <c r="D22" i="15" s="1"/>
  <c r="D15" i="11"/>
  <c r="E15" i="11" s="1"/>
  <c r="A16" i="11" s="1"/>
  <c r="B15" i="11"/>
  <c r="C15" i="11"/>
  <c r="B34" i="15" l="1"/>
  <c r="C33" i="15"/>
  <c r="D33" i="15" s="1"/>
  <c r="C23" i="15"/>
  <c r="D23" i="15" s="1"/>
  <c r="D16" i="11"/>
  <c r="E16" i="11" s="1"/>
  <c r="A17" i="11" s="1"/>
  <c r="C16" i="11"/>
  <c r="B16" i="11"/>
  <c r="B35" i="15" l="1"/>
  <c r="C34" i="15"/>
  <c r="D34" i="15" s="1"/>
  <c r="C24" i="15"/>
  <c r="D17" i="11"/>
  <c r="E17" i="11" s="1"/>
  <c r="B17" i="11"/>
  <c r="C17" i="11"/>
  <c r="D24" i="15" l="1"/>
  <c r="B36" i="15"/>
  <c r="C35" i="15"/>
  <c r="D35" i="15" s="1"/>
  <c r="C25" i="15"/>
  <c r="D25" i="15" s="1"/>
  <c r="C26" i="15"/>
  <c r="D26" i="15" s="1"/>
  <c r="G17" i="11"/>
  <c r="G16" i="11"/>
  <c r="G8" i="11"/>
  <c r="G12" i="11"/>
  <c r="G10" i="11"/>
  <c r="G9" i="11"/>
  <c r="G7" i="11"/>
  <c r="G15" i="11"/>
  <c r="G14" i="11"/>
  <c r="G13" i="11"/>
  <c r="G11" i="11"/>
  <c r="G6" i="11"/>
  <c r="F8" i="4"/>
  <c r="B37" i="15" l="1"/>
  <c r="C36" i="15"/>
  <c r="D36" i="15" s="1"/>
  <c r="B4" i="14"/>
  <c r="B6" i="14"/>
  <c r="B7" i="14"/>
  <c r="B8" i="14"/>
  <c r="B5" i="14"/>
  <c r="A4" i="13"/>
  <c r="A3" i="13" s="1"/>
  <c r="B3" i="14"/>
  <c r="G8" i="4"/>
  <c r="H8" i="4"/>
  <c r="B38" i="15" l="1"/>
  <c r="C37" i="15"/>
  <c r="D37" i="15" s="1"/>
  <c r="B39" i="15" l="1"/>
  <c r="C38" i="15"/>
  <c r="D38" i="15" s="1"/>
  <c r="B40" i="15" l="1"/>
  <c r="C39" i="15"/>
  <c r="D39" i="15" s="1"/>
  <c r="B41" i="15" l="1"/>
  <c r="C40" i="15"/>
  <c r="D40" i="15" s="1"/>
  <c r="B42" i="15" l="1"/>
  <c r="C41" i="15"/>
  <c r="D41" i="15" s="1"/>
  <c r="B43" i="15" l="1"/>
  <c r="C42" i="15"/>
  <c r="D42" i="15" s="1"/>
  <c r="B44" i="15" l="1"/>
  <c r="C43" i="15"/>
  <c r="D43" i="15" s="1"/>
  <c r="B45" i="15" l="1"/>
  <c r="C44" i="15"/>
  <c r="D44" i="15" s="1"/>
  <c r="B46" i="15" l="1"/>
  <c r="C45" i="15"/>
  <c r="D45" i="15" s="1"/>
  <c r="B47" i="15" l="1"/>
  <c r="C46" i="15"/>
  <c r="D46" i="15" s="1"/>
  <c r="B48" i="15" l="1"/>
  <c r="C47" i="15"/>
  <c r="D47" i="15" s="1"/>
  <c r="B49" i="15" l="1"/>
  <c r="C48" i="15"/>
  <c r="D48" i="15" s="1"/>
  <c r="B50" i="15" l="1"/>
  <c r="C49" i="15"/>
  <c r="D49" i="15" s="1"/>
  <c r="B51" i="15" l="1"/>
  <c r="C50" i="15"/>
  <c r="D50" i="15" s="1"/>
  <c r="B52" i="15" l="1"/>
  <c r="C51" i="15"/>
  <c r="D51" i="15" s="1"/>
  <c r="B53" i="15" l="1"/>
  <c r="C52" i="15"/>
  <c r="D52" i="15" s="1"/>
  <c r="B54" i="15" l="1"/>
  <c r="C53" i="15"/>
  <c r="D53" i="15" s="1"/>
  <c r="B55" i="15" l="1"/>
  <c r="C54" i="15"/>
  <c r="D54" i="15" s="1"/>
  <c r="B56" i="15" l="1"/>
  <c r="C55" i="15"/>
  <c r="D55" i="15" s="1"/>
  <c r="B57" i="15" l="1"/>
  <c r="C56" i="15"/>
  <c r="D56" i="15" s="1"/>
  <c r="B58" i="15" l="1"/>
  <c r="C57" i="15"/>
  <c r="D57" i="15" s="1"/>
  <c r="B59" i="15" l="1"/>
  <c r="C58" i="15"/>
  <c r="D58" i="15" s="1"/>
  <c r="B60" i="15" l="1"/>
  <c r="C60" i="15" s="1"/>
  <c r="C59" i="15"/>
  <c r="D59" i="15" s="1"/>
  <c r="D60" i="15" l="1"/>
  <c r="F15" i="15" s="1"/>
  <c r="I15" i="15" s="1"/>
  <c r="G15" i="15"/>
  <c r="H15" i="15" s="1"/>
  <c r="M11" i="15" s="1"/>
</calcChain>
</file>

<file path=xl/sharedStrings.xml><?xml version="1.0" encoding="utf-8"?>
<sst xmlns="http://schemas.openxmlformats.org/spreadsheetml/2006/main" count="308" uniqueCount="119">
  <si>
    <t>Client Reference Data</t>
  </si>
  <si>
    <t>Id</t>
  </si>
  <si>
    <t>Name</t>
  </si>
  <si>
    <t>Revenue</t>
  </si>
  <si>
    <t>Invoice</t>
  </si>
  <si>
    <t>AccountType</t>
  </si>
  <si>
    <t>AccountSubType</t>
  </si>
  <si>
    <t>Deferred Revenue</t>
  </si>
  <si>
    <t>System Generated</t>
  </si>
  <si>
    <t>ID</t>
  </si>
  <si>
    <t>Sign</t>
  </si>
  <si>
    <t>Criteria</t>
  </si>
  <si>
    <t>Positive</t>
  </si>
  <si>
    <t>Negative</t>
  </si>
  <si>
    <t>Dr</t>
  </si>
  <si>
    <t>Cr</t>
  </si>
  <si>
    <t>Transaction Type</t>
  </si>
  <si>
    <t>Dr/Cr</t>
  </si>
  <si>
    <t>Account SubType</t>
  </si>
  <si>
    <t>Rule</t>
  </si>
  <si>
    <t>Ruleid</t>
  </si>
  <si>
    <t>A/R</t>
  </si>
  <si>
    <t>AccountNumber</t>
  </si>
  <si>
    <t>Account Name</t>
  </si>
  <si>
    <t>ProductType</t>
  </si>
  <si>
    <t>Revenue 102</t>
  </si>
  <si>
    <t>Revenue 103</t>
  </si>
  <si>
    <t>Account Rec</t>
  </si>
  <si>
    <t>Deferred Revenue 102</t>
  </si>
  <si>
    <t>Deferred Revenue 103</t>
  </si>
  <si>
    <t>AttributeName</t>
  </si>
  <si>
    <t>EffectiveDate</t>
  </si>
  <si>
    <t>InstrumentId</t>
  </si>
  <si>
    <t>TransactionType</t>
  </si>
  <si>
    <t>SO1</t>
  </si>
  <si>
    <t>Amount</t>
  </si>
  <si>
    <t>GL Account Name</t>
  </si>
  <si>
    <t>GL Account Type</t>
  </si>
  <si>
    <t>GL Account Subtype</t>
  </si>
  <si>
    <t>GL Account Number</t>
  </si>
  <si>
    <t>Trial Balance</t>
  </si>
  <si>
    <t>GLAccountBalance</t>
  </si>
  <si>
    <t>Balance</t>
  </si>
  <si>
    <t>Client Activity Data</t>
  </si>
  <si>
    <t>Helper Column</t>
  </si>
  <si>
    <t>amount&gt;1</t>
  </si>
  <si>
    <t>amount&lt;1</t>
  </si>
  <si>
    <t>UserField</t>
  </si>
  <si>
    <t>UserField1</t>
  </si>
  <si>
    <t>MappingId</t>
  </si>
  <si>
    <t>Income Statement</t>
  </si>
  <si>
    <t>Balance Sheet</t>
  </si>
  <si>
    <t>Period</t>
  </si>
  <si>
    <t>2024-1</t>
  </si>
  <si>
    <t>TransactionDate</t>
  </si>
  <si>
    <t>StartDate</t>
  </si>
  <si>
    <t>EndDate</t>
  </si>
  <si>
    <t>CalendarMonth</t>
  </si>
  <si>
    <t>Year</t>
  </si>
  <si>
    <t>Days</t>
  </si>
  <si>
    <t>Fiscal Period</t>
  </si>
  <si>
    <t>Configuration</t>
  </si>
  <si>
    <t>AccountingPeriod</t>
  </si>
  <si>
    <t>Status</t>
  </si>
  <si>
    <t>Open</t>
  </si>
  <si>
    <t>Reclassable</t>
  </si>
  <si>
    <t>Reclass</t>
  </si>
  <si>
    <t>Versionid</t>
  </si>
  <si>
    <t>TransactionId</t>
  </si>
  <si>
    <t>Accounting Period</t>
  </si>
  <si>
    <t>isAdjustment</t>
  </si>
  <si>
    <t>UserField2</t>
  </si>
  <si>
    <t>OrderDate</t>
  </si>
  <si>
    <t>UserField3</t>
  </si>
  <si>
    <t>UserField4</t>
  </si>
  <si>
    <t>Sales Price</t>
  </si>
  <si>
    <t>Sales Quantity</t>
  </si>
  <si>
    <t>AtrributeId</t>
  </si>
  <si>
    <t>UserField5</t>
  </si>
  <si>
    <t>ProductName</t>
  </si>
  <si>
    <t>SaaS</t>
  </si>
  <si>
    <t>Training</t>
  </si>
  <si>
    <t>Events.InstrumentAttribute</t>
  </si>
  <si>
    <t>Events.TransactionInput</t>
  </si>
  <si>
    <t>MaturtiyDate</t>
  </si>
  <si>
    <t>Endate</t>
  </si>
  <si>
    <t>To</t>
  </si>
  <si>
    <t>From</t>
  </si>
  <si>
    <t>Number Of Days</t>
  </si>
  <si>
    <t>Start Date</t>
  </si>
  <si>
    <t>End of month</t>
  </si>
  <si>
    <t>Perday Revenue</t>
  </si>
  <si>
    <t>RecognitionMethod</t>
  </si>
  <si>
    <t>Ratable</t>
  </si>
  <si>
    <t>PointInTime</t>
  </si>
  <si>
    <t>UserField6</t>
  </si>
  <si>
    <t>Post.Transaction</t>
  </si>
  <si>
    <t>SystemGenerated</t>
  </si>
  <si>
    <t>Events.ExecutionDate</t>
  </si>
  <si>
    <t>Transactions</t>
  </si>
  <si>
    <t>Attributes</t>
  </si>
  <si>
    <t>Recon</t>
  </si>
  <si>
    <t>Total Days</t>
  </si>
  <si>
    <t>Total Revenue</t>
  </si>
  <si>
    <t>Skip</t>
  </si>
  <si>
    <t>BatchId</t>
  </si>
  <si>
    <t>IsGL</t>
  </si>
  <si>
    <t>ReferenceData</t>
  </si>
  <si>
    <t>ModelData</t>
  </si>
  <si>
    <t>ActivityData</t>
  </si>
  <si>
    <t>Transaction ID</t>
  </si>
  <si>
    <t>Transaction Name</t>
  </si>
  <si>
    <t>Income</t>
  </si>
  <si>
    <t>Invoice &amp; Credits</t>
  </si>
  <si>
    <t>Workflow</t>
  </si>
  <si>
    <t>Metric Name</t>
  </si>
  <si>
    <t>FiscalPeriodStartDate</t>
  </si>
  <si>
    <t>ErrorMessage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</si>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</sst>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Fill="1" applyBorder="1" applyAlignment="1">
      <alignment horizontal="center"/>
    </xf>
    <xf numFmtId="0" fontId="0" fillId="2" borderId="0" xfId="0" applyFill="1"/>
    <xf numFmtId="0" fontId="2" fillId="0" borderId="4" xfId="0" applyFont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0" borderId="1" xfId="0" applyBorder="1"/>
    <xf numFmtId="0" fontId="0" fillId="4" borderId="0" xfId="0" applyFont="1" applyFill="1"/>
    <xf numFmtId="0" fontId="0" fillId="4" borderId="0" xfId="0" applyFill="1"/>
    <xf numFmtId="0" fontId="1" fillId="4" borderId="1" xfId="0" applyFont="1" applyFill="1" applyBorder="1"/>
    <xf numFmtId="0" fontId="1" fillId="2" borderId="1" xfId="0" applyFont="1" applyFill="1" applyBorder="1"/>
    <xf numFmtId="0" fontId="5" fillId="0" borderId="0" xfId="0" applyFont="1"/>
    <xf numFmtId="0" fontId="6" fillId="0" borderId="0" xfId="0" applyFont="1"/>
    <xf numFmtId="2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3" borderId="0" xfId="0" applyNumberForma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20</xdr:col>
      <xdr:colOff>114300</xdr:colOff>
      <xdr:row>44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970C57-55B9-1B3E-1E4E-76189E0E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152400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4644D-DB6D-3467-C09C-7FC07AC3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15</xdr:col>
      <xdr:colOff>114300</xdr:colOff>
      <xdr:row>44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A1B542-F38C-2064-1FFA-9BC604CD7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19</xdr:col>
      <xdr:colOff>53340</xdr:colOff>
      <xdr:row>54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C25638-F69C-02F4-5A87-0EBD72EBD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22</xdr:col>
      <xdr:colOff>304800</xdr:colOff>
      <xdr:row>37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37330E-D4B3-D92E-09AE-DA9E01AC4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16</xdr:col>
      <xdr:colOff>358140</xdr:colOff>
      <xdr:row>45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C2B6BF-B749-B8EE-1F46-BAFC41D99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17</xdr:col>
      <xdr:colOff>388620</xdr:colOff>
      <xdr:row>46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D99188-BFC1-2557-418C-AAED23185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17</xdr:col>
      <xdr:colOff>388620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44ACE1-8D41-BB36-42D7-D70943827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20</xdr:col>
      <xdr:colOff>266700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E4474-D8B2-4B3C-2F53-1868D4136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8</xdr:col>
      <xdr:colOff>426720</xdr:colOff>
      <xdr:row>52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496B2B-61DC-20DA-FF04-E29AA5173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16</xdr:col>
      <xdr:colOff>220980</xdr:colOff>
      <xdr:row>45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12A0C-F9F7-CD54-0DFE-BD56C5E3C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15</xdr:col>
      <xdr:colOff>236220</xdr:colOff>
      <xdr:row>45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40496-70DE-BFD3-77CD-2AE916C80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1C6B-5F05-4437-8A2F-76F54DE83BF1}">
  <dimension ref="A1:A7"/>
  <sheetViews>
    <sheetView topLeftCell="A12" workbookViewId="0">
      <selection activeCell="A7" sqref="A7"/>
    </sheetView>
  </sheetViews>
  <sheetFormatPr defaultRowHeight="14.4" x14ac:dyDescent="0.3"/>
  <cols>
    <col min="1" max="1" width="29.44140625" customWidth="1"/>
  </cols>
  <sheetData>
    <row r="1" spans="1:1" x14ac:dyDescent="0.3">
      <c r="A1" s="14" t="s">
        <v>107</v>
      </c>
    </row>
    <row r="2" spans="1:1" x14ac:dyDescent="0.3">
      <c r="A2" s="21" t="s">
        <v>108</v>
      </c>
    </row>
    <row r="3" spans="1:1" x14ac:dyDescent="0.3">
      <c r="A3" s="22" t="s">
        <v>109</v>
      </c>
    </row>
    <row r="4" spans="1:1" x14ac:dyDescent="0.3">
      <c r="A4" s="8" t="s">
        <v>97</v>
      </c>
    </row>
    <row r="7" spans="1:1" x14ac:dyDescent="0.3">
      <c r="A7" s="24" t="s">
        <v>114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285A-A87B-4A8C-9284-AA5603BE2C5B}">
  <sheetPr>
    <tabColor rgb="FFFFC000"/>
  </sheetPr>
  <dimension ref="A1:I4"/>
  <sheetViews>
    <sheetView workbookViewId="0">
      <selection activeCell="A7" sqref="A7"/>
    </sheetView>
  </sheetViews>
  <sheetFormatPr defaultRowHeight="14.4" x14ac:dyDescent="0.3"/>
  <cols>
    <col min="1" max="1" width="29.21875" customWidth="1"/>
    <col min="2" max="2" width="32.33203125" customWidth="1"/>
    <col min="3" max="3" width="34.5546875" customWidth="1"/>
    <col min="4" max="4" width="20.33203125" customWidth="1"/>
    <col min="5" max="5" width="12.44140625" customWidth="1"/>
    <col min="6" max="6" width="14.33203125" customWidth="1"/>
    <col min="7" max="7" width="15.5546875" customWidth="1"/>
    <col min="8" max="8" width="21.21875" customWidth="1"/>
  </cols>
  <sheetData>
    <row r="1" spans="1:9" x14ac:dyDescent="0.3">
      <c r="A1" s="1" t="s">
        <v>43</v>
      </c>
    </row>
    <row r="2" spans="1:9" x14ac:dyDescent="0.3">
      <c r="A2" s="1" t="s">
        <v>31</v>
      </c>
      <c r="B2" s="1" t="s">
        <v>77</v>
      </c>
      <c r="C2" s="1" t="s">
        <v>32</v>
      </c>
      <c r="D2" s="1" t="s">
        <v>24</v>
      </c>
      <c r="E2" s="1" t="s">
        <v>72</v>
      </c>
      <c r="F2" s="1" t="s">
        <v>55</v>
      </c>
      <c r="G2" s="1" t="s">
        <v>84</v>
      </c>
      <c r="H2" s="1" t="s">
        <v>79</v>
      </c>
      <c r="I2" s="1" t="s">
        <v>92</v>
      </c>
    </row>
    <row r="3" spans="1:9" x14ac:dyDescent="0.3">
      <c r="A3" s="2">
        <v>45292</v>
      </c>
      <c r="B3">
        <v>1</v>
      </c>
      <c r="C3" t="s">
        <v>34</v>
      </c>
      <c r="D3">
        <v>102</v>
      </c>
      <c r="E3" s="2">
        <v>45292</v>
      </c>
      <c r="F3" s="2">
        <v>45292</v>
      </c>
      <c r="G3" s="2">
        <v>45657</v>
      </c>
      <c r="H3" t="s">
        <v>80</v>
      </c>
      <c r="I3" t="s">
        <v>93</v>
      </c>
    </row>
    <row r="4" spans="1:9" x14ac:dyDescent="0.3">
      <c r="A4" s="2">
        <v>45292</v>
      </c>
      <c r="B4">
        <v>2</v>
      </c>
      <c r="C4" t="s">
        <v>34</v>
      </c>
      <c r="D4">
        <v>102</v>
      </c>
      <c r="E4" s="2">
        <v>45292</v>
      </c>
      <c r="F4" s="2">
        <v>45292</v>
      </c>
      <c r="G4" s="2">
        <v>45657</v>
      </c>
      <c r="H4" t="s">
        <v>81</v>
      </c>
      <c r="I4" t="s">
        <v>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5C46-30E6-4697-9D00-12B82DD78300}">
  <sheetPr>
    <tabColor theme="4" tint="0.39997558519241921"/>
  </sheetPr>
  <dimension ref="A1:J6"/>
  <sheetViews>
    <sheetView workbookViewId="0">
      <selection activeCell="A9" sqref="A9"/>
    </sheetView>
  </sheetViews>
  <sheetFormatPr defaultRowHeight="14.4" x14ac:dyDescent="0.3"/>
  <cols>
    <col min="1" max="1" width="24.77734375" customWidth="1"/>
    <col min="2" max="2" width="19" customWidth="1"/>
    <col min="5" max="5" width="36.109375" customWidth="1"/>
    <col min="6" max="6" width="20.6640625" customWidth="1"/>
  </cols>
  <sheetData>
    <row r="1" spans="1:10" x14ac:dyDescent="0.3">
      <c r="A1" s="1" t="s">
        <v>98</v>
      </c>
    </row>
    <row r="2" spans="1:10" x14ac:dyDescent="0.3">
      <c r="A2" s="1" t="s">
        <v>87</v>
      </c>
      <c r="B2" s="2">
        <v>45292</v>
      </c>
      <c r="J2" s="2"/>
    </row>
    <row r="3" spans="1:10" x14ac:dyDescent="0.3">
      <c r="A3" s="1" t="s">
        <v>86</v>
      </c>
      <c r="B3" s="2">
        <v>45292</v>
      </c>
    </row>
    <row r="4" spans="1:10" x14ac:dyDescent="0.3">
      <c r="A4" s="1" t="s">
        <v>82</v>
      </c>
      <c r="B4" s="20">
        <f>InstrumentAttributeHistory!G3</f>
        <v>102</v>
      </c>
      <c r="C4" s="2">
        <f>InstrumentAttributeHistory!H3</f>
        <v>45292</v>
      </c>
      <c r="D4" s="2">
        <f>InstrumentAttributeHistory!I3</f>
        <v>45292</v>
      </c>
      <c r="E4" s="2">
        <f>InstrumentAttributeHistory!J3</f>
        <v>45657</v>
      </c>
      <c r="F4" s="2" t="str">
        <f>InstrumentAttributeHistory!K3</f>
        <v>SaaS</v>
      </c>
      <c r="G4" s="2" t="str">
        <f>InstrumentAttributeHistory!L3</f>
        <v>Ratable</v>
      </c>
      <c r="H4" s="2"/>
      <c r="I4" s="2"/>
    </row>
    <row r="5" spans="1:10" x14ac:dyDescent="0.3">
      <c r="A5" s="1" t="s">
        <v>83</v>
      </c>
      <c r="B5" s="2">
        <f>TransactionHistory!C4</f>
        <v>45296</v>
      </c>
      <c r="C5" s="2" t="str">
        <f>TransactionHistory!D4</f>
        <v>SO1</v>
      </c>
      <c r="D5" s="2" t="str">
        <f>TransactionHistory!E4</f>
        <v>Sales Price</v>
      </c>
      <c r="E5" s="19">
        <v>100</v>
      </c>
      <c r="F5" s="19">
        <f>TransactionHistory!G4</f>
        <v>1</v>
      </c>
    </row>
    <row r="6" spans="1:10" x14ac:dyDescent="0.3">
      <c r="A6" s="1" t="s">
        <v>83</v>
      </c>
      <c r="B6" s="2">
        <f>TransactionHistory!C5</f>
        <v>45296</v>
      </c>
      <c r="C6" s="2" t="str">
        <f>TransactionHistory!D5</f>
        <v>SO1</v>
      </c>
      <c r="D6" s="2" t="str">
        <f>TransactionHistory!E5</f>
        <v>Sales Quantity</v>
      </c>
      <c r="E6" s="19">
        <f>TransactionHistory!F5</f>
        <v>12</v>
      </c>
      <c r="F6" s="19">
        <f>TransactionHistory!G5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078E-1BC5-4214-9161-E8A58D76B181}">
  <sheetPr>
    <tabColor theme="4" tint="0.39997558519241921"/>
  </sheetPr>
  <dimension ref="A1:M60"/>
  <sheetViews>
    <sheetView workbookViewId="0">
      <selection activeCell="N10" sqref="N10"/>
    </sheetView>
  </sheetViews>
  <sheetFormatPr defaultRowHeight="14.4" x14ac:dyDescent="0.3"/>
  <cols>
    <col min="1" max="1" width="19.44140625" customWidth="1"/>
    <col min="2" max="2" width="26.33203125" customWidth="1"/>
    <col min="3" max="3" width="9" bestFit="1" customWidth="1"/>
    <col min="4" max="4" width="14.5546875" customWidth="1"/>
    <col min="5" max="5" width="10.5546875" bestFit="1" customWidth="1"/>
    <col min="7" max="7" width="20.21875" customWidth="1"/>
    <col min="8" max="8" width="16.44140625" customWidth="1"/>
    <col min="9" max="9" width="12.44140625" customWidth="1"/>
  </cols>
  <sheetData>
    <row r="1" spans="1:13" x14ac:dyDescent="0.3">
      <c r="A1" s="1" t="s">
        <v>92</v>
      </c>
      <c r="B1" s="2" t="str">
        <f>G7</f>
        <v>Ratable</v>
      </c>
    </row>
    <row r="2" spans="1:13" x14ac:dyDescent="0.3">
      <c r="A2" s="1"/>
      <c r="B2" s="2"/>
    </row>
    <row r="3" spans="1:13" x14ac:dyDescent="0.3">
      <c r="A3" t="s">
        <v>99</v>
      </c>
      <c r="B3" s="1" t="s">
        <v>54</v>
      </c>
      <c r="C3" s="1" t="s">
        <v>32</v>
      </c>
      <c r="D3" s="1" t="s">
        <v>33</v>
      </c>
      <c r="E3" s="1" t="s">
        <v>35</v>
      </c>
      <c r="F3" s="1" t="s">
        <v>77</v>
      </c>
    </row>
    <row r="4" spans="1:13" x14ac:dyDescent="0.3">
      <c r="B4" s="2">
        <f>Model_Input!B5</f>
        <v>45296</v>
      </c>
      <c r="C4" s="2" t="str">
        <f>Model_Input!C5</f>
        <v>SO1</v>
      </c>
      <c r="D4" s="2" t="str">
        <f>Model_Input!D5</f>
        <v>Sales Price</v>
      </c>
      <c r="E4" s="19">
        <f>Model_Input!E5</f>
        <v>100</v>
      </c>
      <c r="F4" s="19">
        <f>Model_Input!F5</f>
        <v>1</v>
      </c>
    </row>
    <row r="5" spans="1:13" x14ac:dyDescent="0.3">
      <c r="B5" s="2">
        <f>Model_Input!B6</f>
        <v>45296</v>
      </c>
      <c r="C5" s="2" t="str">
        <f>Model_Input!C6</f>
        <v>SO1</v>
      </c>
      <c r="D5" s="2" t="str">
        <f>Model_Input!D6</f>
        <v>Sales Quantity</v>
      </c>
      <c r="E5" s="19">
        <f>Model_Input!E6</f>
        <v>12</v>
      </c>
      <c r="F5" s="19">
        <f>Model_Input!F6</f>
        <v>1</v>
      </c>
    </row>
    <row r="6" spans="1:13" x14ac:dyDescent="0.3">
      <c r="A6" t="s">
        <v>100</v>
      </c>
      <c r="B6" s="1" t="s">
        <v>48</v>
      </c>
      <c r="C6" s="1" t="s">
        <v>71</v>
      </c>
      <c r="D6" s="1" t="s">
        <v>73</v>
      </c>
      <c r="E6" s="1" t="s">
        <v>74</v>
      </c>
      <c r="F6" s="1" t="s">
        <v>78</v>
      </c>
      <c r="G6" s="1" t="s">
        <v>95</v>
      </c>
    </row>
    <row r="7" spans="1:13" x14ac:dyDescent="0.3">
      <c r="B7" s="20">
        <f>Model_Input!B4</f>
        <v>102</v>
      </c>
      <c r="C7" s="2">
        <f>Model_Input!C4</f>
        <v>45292</v>
      </c>
      <c r="D7" s="2">
        <f>C7</f>
        <v>45292</v>
      </c>
      <c r="E7" s="2">
        <f>Model_Input!E4</f>
        <v>45657</v>
      </c>
      <c r="F7" s="20" t="str">
        <f>Model_Input!F4</f>
        <v>SaaS</v>
      </c>
      <c r="G7" s="20" t="str">
        <f>Model_Input!G4</f>
        <v>Ratable</v>
      </c>
    </row>
    <row r="10" spans="1:13" x14ac:dyDescent="0.3">
      <c r="A10" s="1" t="s">
        <v>54</v>
      </c>
      <c r="B10" s="2">
        <f>B4</f>
        <v>45296</v>
      </c>
      <c r="D10" s="2">
        <f>EOMONTH(B10,0)</f>
        <v>45322</v>
      </c>
      <c r="H10" s="1" t="s">
        <v>54</v>
      </c>
      <c r="I10" s="1" t="s">
        <v>32</v>
      </c>
      <c r="J10" s="1" t="s">
        <v>33</v>
      </c>
      <c r="K10" s="1" t="s">
        <v>35</v>
      </c>
      <c r="L10" s="1" t="s">
        <v>77</v>
      </c>
      <c r="M10" s="1" t="s">
        <v>104</v>
      </c>
    </row>
    <row r="11" spans="1:13" x14ac:dyDescent="0.3">
      <c r="A11" s="1" t="s">
        <v>88</v>
      </c>
      <c r="B11">
        <f>E7-D7+1</f>
        <v>366</v>
      </c>
      <c r="H11" s="2">
        <f>D10</f>
        <v>45322</v>
      </c>
      <c r="I11" s="2" t="str">
        <f>D4</f>
        <v>Sales Price</v>
      </c>
      <c r="J11" t="s">
        <v>3</v>
      </c>
      <c r="K11">
        <f>IF(B1="Ratable",VLOOKUP(H11,$B$15:$D$26,3,FALSE),F15)</f>
        <v>101.63934426229508</v>
      </c>
      <c r="L11" s="19">
        <f>F5</f>
        <v>1</v>
      </c>
      <c r="M11">
        <f>IF(H15="FALSE",1,0)</f>
        <v>0</v>
      </c>
    </row>
    <row r="12" spans="1:13" x14ac:dyDescent="0.3">
      <c r="A12" s="1" t="s">
        <v>91</v>
      </c>
      <c r="B12">
        <f>(Model_Input!E6*Model_Input!E5)/B11</f>
        <v>3.278688524590164</v>
      </c>
    </row>
    <row r="14" spans="1:13" x14ac:dyDescent="0.3">
      <c r="A14" s="1" t="s">
        <v>89</v>
      </c>
      <c r="B14" s="1" t="s">
        <v>90</v>
      </c>
      <c r="C14" s="1" t="s">
        <v>59</v>
      </c>
      <c r="D14" s="1" t="s">
        <v>3</v>
      </c>
      <c r="F14" s="1" t="s">
        <v>103</v>
      </c>
      <c r="G14" s="1" t="s">
        <v>102</v>
      </c>
      <c r="H14" s="25" t="s">
        <v>101</v>
      </c>
      <c r="I14" s="25"/>
    </row>
    <row r="15" spans="1:13" x14ac:dyDescent="0.3">
      <c r="A15" s="2">
        <f>D7</f>
        <v>45292</v>
      </c>
      <c r="B15" s="2">
        <f>EOMONTH(A15,0)</f>
        <v>45322</v>
      </c>
      <c r="C15">
        <f>B15-A15+1</f>
        <v>31</v>
      </c>
      <c r="D15">
        <f t="shared" ref="D15:D26" si="0">$B$12*C15</f>
        <v>101.63934426229508</v>
      </c>
      <c r="F15">
        <f>SUM(D15:D60)</f>
        <v>1200</v>
      </c>
      <c r="G15">
        <f>SUM(C15:C60)</f>
        <v>366</v>
      </c>
      <c r="H15" t="b">
        <f>G15=B11</f>
        <v>1</v>
      </c>
      <c r="I15" t="b">
        <f>F15=(E4*E5)</f>
        <v>1</v>
      </c>
    </row>
    <row r="16" spans="1:13" x14ac:dyDescent="0.3">
      <c r="B16" s="2">
        <f t="shared" ref="B16:B26" si="1">IF(B15&gt;=$E$7,"",(IF(EOMONTH(EDATE(B15,1),0)&lt;$E$7,EOMONTH(EDATE(B15,1),0),$E$7)))</f>
        <v>45351</v>
      </c>
      <c r="C16" s="20">
        <f t="shared" ref="C16:C26" si="2">B16-B15</f>
        <v>29</v>
      </c>
      <c r="D16">
        <f t="shared" si="0"/>
        <v>95.081967213114751</v>
      </c>
    </row>
    <row r="17" spans="2:4" x14ac:dyDescent="0.3">
      <c r="B17" s="2">
        <f t="shared" si="1"/>
        <v>45382</v>
      </c>
      <c r="C17" s="20">
        <f t="shared" si="2"/>
        <v>31</v>
      </c>
      <c r="D17">
        <f t="shared" si="0"/>
        <v>101.63934426229508</v>
      </c>
    </row>
    <row r="18" spans="2:4" x14ac:dyDescent="0.3">
      <c r="B18" s="2">
        <f t="shared" si="1"/>
        <v>45412</v>
      </c>
      <c r="C18" s="20">
        <f t="shared" si="2"/>
        <v>30</v>
      </c>
      <c r="D18">
        <f t="shared" si="0"/>
        <v>98.360655737704917</v>
      </c>
    </row>
    <row r="19" spans="2:4" x14ac:dyDescent="0.3">
      <c r="B19" s="2">
        <f t="shared" si="1"/>
        <v>45443</v>
      </c>
      <c r="C19" s="20">
        <f t="shared" si="2"/>
        <v>31</v>
      </c>
      <c r="D19">
        <f t="shared" si="0"/>
        <v>101.63934426229508</v>
      </c>
    </row>
    <row r="20" spans="2:4" x14ac:dyDescent="0.3">
      <c r="B20" s="2">
        <f t="shared" si="1"/>
        <v>45473</v>
      </c>
      <c r="C20" s="20">
        <f t="shared" si="2"/>
        <v>30</v>
      </c>
      <c r="D20">
        <f t="shared" si="0"/>
        <v>98.360655737704917</v>
      </c>
    </row>
    <row r="21" spans="2:4" x14ac:dyDescent="0.3">
      <c r="B21" s="2">
        <f t="shared" si="1"/>
        <v>45504</v>
      </c>
      <c r="C21" s="20">
        <f t="shared" si="2"/>
        <v>31</v>
      </c>
      <c r="D21">
        <f t="shared" si="0"/>
        <v>101.63934426229508</v>
      </c>
    </row>
    <row r="22" spans="2:4" x14ac:dyDescent="0.3">
      <c r="B22" s="2">
        <f t="shared" si="1"/>
        <v>45535</v>
      </c>
      <c r="C22" s="20">
        <f t="shared" si="2"/>
        <v>31</v>
      </c>
      <c r="D22">
        <f t="shared" si="0"/>
        <v>101.63934426229508</v>
      </c>
    </row>
    <row r="23" spans="2:4" x14ac:dyDescent="0.3">
      <c r="B23" s="2">
        <f t="shared" si="1"/>
        <v>45565</v>
      </c>
      <c r="C23" s="20">
        <f t="shared" si="2"/>
        <v>30</v>
      </c>
      <c r="D23">
        <f t="shared" si="0"/>
        <v>98.360655737704917</v>
      </c>
    </row>
    <row r="24" spans="2:4" x14ac:dyDescent="0.3">
      <c r="B24" s="2">
        <f t="shared" si="1"/>
        <v>45596</v>
      </c>
      <c r="C24" s="20">
        <f t="shared" si="2"/>
        <v>31</v>
      </c>
      <c r="D24">
        <f t="shared" si="0"/>
        <v>101.63934426229508</v>
      </c>
    </row>
    <row r="25" spans="2:4" x14ac:dyDescent="0.3">
      <c r="B25" s="2">
        <f t="shared" si="1"/>
        <v>45626</v>
      </c>
      <c r="C25" s="20">
        <f t="shared" si="2"/>
        <v>30</v>
      </c>
      <c r="D25">
        <f t="shared" si="0"/>
        <v>98.360655737704917</v>
      </c>
    </row>
    <row r="26" spans="2:4" x14ac:dyDescent="0.3">
      <c r="B26" s="2">
        <f t="shared" si="1"/>
        <v>45657</v>
      </c>
      <c r="C26" s="20">
        <f t="shared" si="2"/>
        <v>31</v>
      </c>
      <c r="D26">
        <f t="shared" si="0"/>
        <v>101.63934426229508</v>
      </c>
    </row>
    <row r="27" spans="2:4" x14ac:dyDescent="0.3">
      <c r="B27" s="2" t="str">
        <f>IF(B26&gt;=$E$7,"",(IF(EOMONTH(EDATE(B26,1),0)&lt;$E$7,EOMONTH(EDATE(B26,1),0),$E$7)))</f>
        <v/>
      </c>
      <c r="C27" s="20" t="str">
        <f>IFERROR(B27-B26,"")</f>
        <v/>
      </c>
      <c r="D27" t="str">
        <f>IFERROR($B$12*C27,"")</f>
        <v/>
      </c>
    </row>
    <row r="28" spans="2:4" x14ac:dyDescent="0.3">
      <c r="B28" s="2" t="str">
        <f t="shared" ref="B28:B60" si="3">IF(B27&gt;=$E$7,"",(IF(EOMONTH(EDATE(B27,1),0)&lt;$E$7,EOMONTH(EDATE(B27,1),0),$E$7)))</f>
        <v/>
      </c>
      <c r="C28" s="20" t="str">
        <f t="shared" ref="C28:C60" si="4">IFERROR(B28-B27,"")</f>
        <v/>
      </c>
      <c r="D28" t="str">
        <f t="shared" ref="D28:D60" si="5">IFERROR($B$12*C28,"")</f>
        <v/>
      </c>
    </row>
    <row r="29" spans="2:4" x14ac:dyDescent="0.3">
      <c r="B29" s="2" t="str">
        <f t="shared" si="3"/>
        <v/>
      </c>
      <c r="C29" s="20" t="str">
        <f t="shared" si="4"/>
        <v/>
      </c>
      <c r="D29" t="str">
        <f t="shared" si="5"/>
        <v/>
      </c>
    </row>
    <row r="30" spans="2:4" x14ac:dyDescent="0.3">
      <c r="B30" s="2" t="str">
        <f t="shared" si="3"/>
        <v/>
      </c>
      <c r="C30" s="20" t="str">
        <f t="shared" si="4"/>
        <v/>
      </c>
      <c r="D30" t="str">
        <f t="shared" si="5"/>
        <v/>
      </c>
    </row>
    <row r="31" spans="2:4" x14ac:dyDescent="0.3">
      <c r="B31" s="2" t="str">
        <f t="shared" si="3"/>
        <v/>
      </c>
      <c r="C31" s="20" t="str">
        <f t="shared" si="4"/>
        <v/>
      </c>
      <c r="D31" t="str">
        <f t="shared" si="5"/>
        <v/>
      </c>
    </row>
    <row r="32" spans="2:4" x14ac:dyDescent="0.3">
      <c r="B32" s="2" t="str">
        <f t="shared" si="3"/>
        <v/>
      </c>
      <c r="C32" s="20" t="str">
        <f t="shared" si="4"/>
        <v/>
      </c>
      <c r="D32" t="str">
        <f t="shared" si="5"/>
        <v/>
      </c>
    </row>
    <row r="33" spans="2:4" x14ac:dyDescent="0.3">
      <c r="B33" s="2" t="str">
        <f t="shared" si="3"/>
        <v/>
      </c>
      <c r="C33" s="20" t="str">
        <f t="shared" si="4"/>
        <v/>
      </c>
      <c r="D33" t="str">
        <f t="shared" si="5"/>
        <v/>
      </c>
    </row>
    <row r="34" spans="2:4" x14ac:dyDescent="0.3">
      <c r="B34" s="2" t="str">
        <f t="shared" si="3"/>
        <v/>
      </c>
      <c r="C34" s="20" t="str">
        <f t="shared" si="4"/>
        <v/>
      </c>
      <c r="D34" t="str">
        <f t="shared" si="5"/>
        <v/>
      </c>
    </row>
    <row r="35" spans="2:4" x14ac:dyDescent="0.3">
      <c r="B35" s="2" t="str">
        <f t="shared" si="3"/>
        <v/>
      </c>
      <c r="C35" s="20" t="str">
        <f t="shared" si="4"/>
        <v/>
      </c>
      <c r="D35" t="str">
        <f t="shared" si="5"/>
        <v/>
      </c>
    </row>
    <row r="36" spans="2:4" x14ac:dyDescent="0.3">
      <c r="B36" s="2" t="str">
        <f t="shared" si="3"/>
        <v/>
      </c>
      <c r="C36" s="20" t="str">
        <f t="shared" si="4"/>
        <v/>
      </c>
      <c r="D36" t="str">
        <f t="shared" si="5"/>
        <v/>
      </c>
    </row>
    <row r="37" spans="2:4" x14ac:dyDescent="0.3">
      <c r="B37" s="2" t="str">
        <f t="shared" si="3"/>
        <v/>
      </c>
      <c r="C37" s="20" t="str">
        <f t="shared" si="4"/>
        <v/>
      </c>
      <c r="D37" t="str">
        <f t="shared" si="5"/>
        <v/>
      </c>
    </row>
    <row r="38" spans="2:4" x14ac:dyDescent="0.3">
      <c r="B38" s="2" t="str">
        <f t="shared" si="3"/>
        <v/>
      </c>
      <c r="C38" s="20" t="str">
        <f t="shared" si="4"/>
        <v/>
      </c>
      <c r="D38" t="str">
        <f t="shared" si="5"/>
        <v/>
      </c>
    </row>
    <row r="39" spans="2:4" x14ac:dyDescent="0.3">
      <c r="B39" s="2" t="str">
        <f t="shared" si="3"/>
        <v/>
      </c>
      <c r="C39" s="20" t="str">
        <f t="shared" si="4"/>
        <v/>
      </c>
      <c r="D39" t="str">
        <f t="shared" si="5"/>
        <v/>
      </c>
    </row>
    <row r="40" spans="2:4" x14ac:dyDescent="0.3">
      <c r="B40" s="2" t="str">
        <f t="shared" si="3"/>
        <v/>
      </c>
      <c r="C40" s="20" t="str">
        <f t="shared" si="4"/>
        <v/>
      </c>
      <c r="D40" t="str">
        <f t="shared" si="5"/>
        <v/>
      </c>
    </row>
    <row r="41" spans="2:4" x14ac:dyDescent="0.3">
      <c r="B41" s="2" t="str">
        <f t="shared" si="3"/>
        <v/>
      </c>
      <c r="C41" s="20" t="str">
        <f t="shared" si="4"/>
        <v/>
      </c>
      <c r="D41" t="str">
        <f t="shared" si="5"/>
        <v/>
      </c>
    </row>
    <row r="42" spans="2:4" x14ac:dyDescent="0.3">
      <c r="B42" s="2" t="str">
        <f t="shared" si="3"/>
        <v/>
      </c>
      <c r="C42" s="20" t="str">
        <f t="shared" si="4"/>
        <v/>
      </c>
      <c r="D42" t="str">
        <f t="shared" si="5"/>
        <v/>
      </c>
    </row>
    <row r="43" spans="2:4" x14ac:dyDescent="0.3">
      <c r="B43" s="2" t="str">
        <f t="shared" si="3"/>
        <v/>
      </c>
      <c r="C43" s="20" t="str">
        <f t="shared" si="4"/>
        <v/>
      </c>
      <c r="D43" t="str">
        <f t="shared" si="5"/>
        <v/>
      </c>
    </row>
    <row r="44" spans="2:4" x14ac:dyDescent="0.3">
      <c r="B44" s="2" t="str">
        <f t="shared" si="3"/>
        <v/>
      </c>
      <c r="C44" s="20" t="str">
        <f t="shared" si="4"/>
        <v/>
      </c>
      <c r="D44" t="str">
        <f t="shared" si="5"/>
        <v/>
      </c>
    </row>
    <row r="45" spans="2:4" x14ac:dyDescent="0.3">
      <c r="B45" s="2" t="str">
        <f t="shared" si="3"/>
        <v/>
      </c>
      <c r="C45" s="20" t="str">
        <f t="shared" si="4"/>
        <v/>
      </c>
      <c r="D45" t="str">
        <f t="shared" si="5"/>
        <v/>
      </c>
    </row>
    <row r="46" spans="2:4" x14ac:dyDescent="0.3">
      <c r="B46" s="2" t="str">
        <f t="shared" si="3"/>
        <v/>
      </c>
      <c r="C46" s="20" t="str">
        <f t="shared" si="4"/>
        <v/>
      </c>
      <c r="D46" t="str">
        <f t="shared" si="5"/>
        <v/>
      </c>
    </row>
    <row r="47" spans="2:4" x14ac:dyDescent="0.3">
      <c r="B47" s="2" t="str">
        <f t="shared" si="3"/>
        <v/>
      </c>
      <c r="C47" s="20" t="str">
        <f t="shared" si="4"/>
        <v/>
      </c>
      <c r="D47" t="str">
        <f t="shared" si="5"/>
        <v/>
      </c>
    </row>
    <row r="48" spans="2:4" x14ac:dyDescent="0.3">
      <c r="B48" s="2" t="str">
        <f t="shared" si="3"/>
        <v/>
      </c>
      <c r="C48" s="20" t="str">
        <f t="shared" si="4"/>
        <v/>
      </c>
      <c r="D48" t="str">
        <f t="shared" si="5"/>
        <v/>
      </c>
    </row>
    <row r="49" spans="2:4" x14ac:dyDescent="0.3">
      <c r="B49" s="2" t="str">
        <f t="shared" si="3"/>
        <v/>
      </c>
      <c r="C49" s="20" t="str">
        <f t="shared" si="4"/>
        <v/>
      </c>
      <c r="D49" t="str">
        <f t="shared" si="5"/>
        <v/>
      </c>
    </row>
    <row r="50" spans="2:4" x14ac:dyDescent="0.3">
      <c r="B50" s="2" t="str">
        <f t="shared" si="3"/>
        <v/>
      </c>
      <c r="C50" s="20" t="str">
        <f t="shared" si="4"/>
        <v/>
      </c>
      <c r="D50" t="str">
        <f t="shared" si="5"/>
        <v/>
      </c>
    </row>
    <row r="51" spans="2:4" x14ac:dyDescent="0.3">
      <c r="B51" s="2" t="str">
        <f t="shared" si="3"/>
        <v/>
      </c>
      <c r="C51" s="20" t="str">
        <f t="shared" si="4"/>
        <v/>
      </c>
      <c r="D51" t="str">
        <f t="shared" si="5"/>
        <v/>
      </c>
    </row>
    <row r="52" spans="2:4" x14ac:dyDescent="0.3">
      <c r="B52" s="2" t="str">
        <f t="shared" si="3"/>
        <v/>
      </c>
      <c r="C52" s="20" t="str">
        <f t="shared" si="4"/>
        <v/>
      </c>
      <c r="D52" t="str">
        <f t="shared" si="5"/>
        <v/>
      </c>
    </row>
    <row r="53" spans="2:4" x14ac:dyDescent="0.3">
      <c r="B53" s="2" t="str">
        <f t="shared" si="3"/>
        <v/>
      </c>
      <c r="C53" s="20" t="str">
        <f t="shared" si="4"/>
        <v/>
      </c>
      <c r="D53" t="str">
        <f t="shared" si="5"/>
        <v/>
      </c>
    </row>
    <row r="54" spans="2:4" x14ac:dyDescent="0.3">
      <c r="B54" s="2" t="str">
        <f t="shared" si="3"/>
        <v/>
      </c>
      <c r="C54" s="20" t="str">
        <f t="shared" si="4"/>
        <v/>
      </c>
      <c r="D54" t="str">
        <f t="shared" si="5"/>
        <v/>
      </c>
    </row>
    <row r="55" spans="2:4" x14ac:dyDescent="0.3">
      <c r="B55" s="2" t="str">
        <f t="shared" si="3"/>
        <v/>
      </c>
      <c r="C55" s="20" t="str">
        <f t="shared" si="4"/>
        <v/>
      </c>
      <c r="D55" t="str">
        <f t="shared" si="5"/>
        <v/>
      </c>
    </row>
    <row r="56" spans="2:4" x14ac:dyDescent="0.3">
      <c r="B56" s="2" t="str">
        <f t="shared" si="3"/>
        <v/>
      </c>
      <c r="C56" s="20" t="str">
        <f t="shared" si="4"/>
        <v/>
      </c>
      <c r="D56" t="str">
        <f t="shared" si="5"/>
        <v/>
      </c>
    </row>
    <row r="57" spans="2:4" x14ac:dyDescent="0.3">
      <c r="B57" s="2" t="str">
        <f t="shared" si="3"/>
        <v/>
      </c>
      <c r="C57" s="20" t="str">
        <f t="shared" si="4"/>
        <v/>
      </c>
      <c r="D57" t="str">
        <f t="shared" si="5"/>
        <v/>
      </c>
    </row>
    <row r="58" spans="2:4" x14ac:dyDescent="0.3">
      <c r="B58" s="2" t="str">
        <f t="shared" si="3"/>
        <v/>
      </c>
      <c r="C58" s="20" t="str">
        <f t="shared" si="4"/>
        <v/>
      </c>
      <c r="D58" t="str">
        <f t="shared" si="5"/>
        <v/>
      </c>
    </row>
    <row r="59" spans="2:4" x14ac:dyDescent="0.3">
      <c r="B59" s="2" t="str">
        <f t="shared" si="3"/>
        <v/>
      </c>
      <c r="C59" s="20" t="str">
        <f t="shared" si="4"/>
        <v/>
      </c>
      <c r="D59" t="str">
        <f t="shared" si="5"/>
        <v/>
      </c>
    </row>
    <row r="60" spans="2:4" x14ac:dyDescent="0.3">
      <c r="B60" s="2" t="str">
        <f t="shared" si="3"/>
        <v/>
      </c>
      <c r="C60" s="20" t="str">
        <f t="shared" si="4"/>
        <v/>
      </c>
      <c r="D60" t="str">
        <f t="shared" si="5"/>
        <v/>
      </c>
    </row>
  </sheetData>
  <mergeCells count="1">
    <mergeCell ref="H14:I14"/>
  </mergeCells>
  <conditionalFormatting sqref="H15:I15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F42A-E234-4C3C-8CFB-3CB06B8FEB91}">
  <sheetPr>
    <tabColor theme="4" tint="0.39997558519241921"/>
  </sheetPr>
  <dimension ref="A1:H2"/>
  <sheetViews>
    <sheetView tabSelected="1" workbookViewId="0">
      <selection activeCell="H1" sqref="H1"/>
    </sheetView>
  </sheetViews>
  <sheetFormatPr defaultRowHeight="14.4" x14ac:dyDescent="0.3"/>
  <cols>
    <col min="1" max="1" width="22" customWidth="1"/>
    <col min="2" max="2" width="12" bestFit="1" customWidth="1"/>
    <col min="3" max="3" width="15" bestFit="1" customWidth="1"/>
    <col min="4" max="4" width="15.109375" customWidth="1"/>
    <col min="5" max="5" width="15.77734375" customWidth="1"/>
    <col min="6" max="6" width="15.33203125" customWidth="1"/>
  </cols>
  <sheetData>
    <row r="1" spans="1:8" x14ac:dyDescent="0.3">
      <c r="A1" s="1" t="s">
        <v>96</v>
      </c>
      <c r="B1" s="1" t="s">
        <v>54</v>
      </c>
      <c r="C1" s="1" t="s">
        <v>32</v>
      </c>
      <c r="D1" s="1" t="s">
        <v>33</v>
      </c>
      <c r="E1" s="1" t="s">
        <v>35</v>
      </c>
      <c r="F1" s="1" t="s">
        <v>77</v>
      </c>
      <c r="G1" s="1" t="s">
        <v>104</v>
      </c>
      <c r="H1" s="24" t="s">
        <v>118</v>
      </c>
    </row>
    <row r="2" spans="1:8" x14ac:dyDescent="0.3">
      <c r="B2" s="2">
        <f>Model_Calc!H11</f>
        <v>45322</v>
      </c>
      <c r="C2" s="2" t="str">
        <f>Model_Calc!I11</f>
        <v>Sales Price</v>
      </c>
      <c r="D2" s="2" t="str">
        <f>Model_Calc!J11</f>
        <v>Revenue</v>
      </c>
      <c r="E2" s="19">
        <f>Model_Calc!K11</f>
        <v>101.63934426229508</v>
      </c>
      <c r="F2" s="20">
        <f>Model_Calc!L11</f>
        <v>1</v>
      </c>
      <c r="G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CF5A-085E-4F3A-B262-EA02B27342EA}">
  <sheetPr>
    <tabColor rgb="FFFFFF00"/>
  </sheetPr>
  <dimension ref="A1:H17"/>
  <sheetViews>
    <sheetView workbookViewId="0">
      <selection activeCell="A3" sqref="A3"/>
    </sheetView>
  </sheetViews>
  <sheetFormatPr defaultRowHeight="14.4" x14ac:dyDescent="0.3"/>
  <cols>
    <col min="1" max="1" width="22.21875" customWidth="1"/>
    <col min="2" max="2" width="19" customWidth="1"/>
    <col min="5" max="5" width="15.77734375" customWidth="1"/>
  </cols>
  <sheetData>
    <row r="1" spans="1:8" x14ac:dyDescent="0.3">
      <c r="A1" s="11" t="s">
        <v>61</v>
      </c>
    </row>
    <row r="2" spans="1:8" x14ac:dyDescent="0.3">
      <c r="A2" t="s">
        <v>116</v>
      </c>
      <c r="B2" s="2">
        <v>45292</v>
      </c>
    </row>
    <row r="3" spans="1:8" x14ac:dyDescent="0.3">
      <c r="B3" s="2"/>
    </row>
    <row r="4" spans="1:8" x14ac:dyDescent="0.3">
      <c r="A4" s="1" t="s">
        <v>8</v>
      </c>
    </row>
    <row r="5" spans="1:8" x14ac:dyDescent="0.3">
      <c r="A5" s="1" t="s">
        <v>55</v>
      </c>
      <c r="B5" s="1" t="s">
        <v>57</v>
      </c>
      <c r="C5" s="1" t="s">
        <v>58</v>
      </c>
      <c r="D5" s="1" t="s">
        <v>59</v>
      </c>
      <c r="E5" s="1" t="s">
        <v>56</v>
      </c>
      <c r="F5" s="1" t="s">
        <v>60</v>
      </c>
      <c r="G5" s="1" t="s">
        <v>52</v>
      </c>
      <c r="H5" s="1" t="s">
        <v>63</v>
      </c>
    </row>
    <row r="6" spans="1:8" x14ac:dyDescent="0.3">
      <c r="A6" s="2">
        <f>B2</f>
        <v>45292</v>
      </c>
      <c r="B6">
        <f>MONTH(A6)</f>
        <v>1</v>
      </c>
      <c r="C6">
        <f>YEAR(A6)</f>
        <v>2024</v>
      </c>
      <c r="D6">
        <f>DAY(EOMONTH(A6,0))</f>
        <v>31</v>
      </c>
      <c r="E6" s="2">
        <f t="shared" ref="E6:E17" si="0">A6+D6</f>
        <v>45323</v>
      </c>
      <c r="F6">
        <v>1</v>
      </c>
      <c r="G6" t="str">
        <f>CONCATENATE($C$17,"-",F6)</f>
        <v>2024-1</v>
      </c>
      <c r="H6" t="s">
        <v>64</v>
      </c>
    </row>
    <row r="7" spans="1:8" x14ac:dyDescent="0.3">
      <c r="A7" s="2">
        <f>E6</f>
        <v>45323</v>
      </c>
      <c r="B7">
        <f>MONTH(A7)</f>
        <v>2</v>
      </c>
      <c r="C7">
        <f>YEAR(A7)</f>
        <v>2024</v>
      </c>
      <c r="D7">
        <f>DAY(EOMONTH(A7,0))</f>
        <v>29</v>
      </c>
      <c r="E7" s="2">
        <f t="shared" si="0"/>
        <v>45352</v>
      </c>
      <c r="F7">
        <f>F6+1</f>
        <v>2</v>
      </c>
      <c r="G7" t="str">
        <f t="shared" ref="G7:G17" si="1">CONCATENATE($C$17,"-",F7)</f>
        <v>2024-2</v>
      </c>
      <c r="H7" t="s">
        <v>64</v>
      </c>
    </row>
    <row r="8" spans="1:8" x14ac:dyDescent="0.3">
      <c r="A8" s="2">
        <f t="shared" ref="A8:A17" si="2">E7</f>
        <v>45352</v>
      </c>
      <c r="B8">
        <f t="shared" ref="B8:B17" si="3">MONTH(A8)</f>
        <v>3</v>
      </c>
      <c r="C8">
        <f t="shared" ref="C8:C17" si="4">YEAR(A8)</f>
        <v>2024</v>
      </c>
      <c r="D8">
        <f t="shared" ref="D8:D17" si="5">DAY(EOMONTH(A8,0))</f>
        <v>31</v>
      </c>
      <c r="E8" s="2">
        <f t="shared" si="0"/>
        <v>45383</v>
      </c>
      <c r="F8">
        <f t="shared" ref="F8:F17" si="6">F7+1</f>
        <v>3</v>
      </c>
      <c r="G8" t="str">
        <f t="shared" si="1"/>
        <v>2024-3</v>
      </c>
      <c r="H8" t="s">
        <v>64</v>
      </c>
    </row>
    <row r="9" spans="1:8" x14ac:dyDescent="0.3">
      <c r="A9" s="2">
        <f t="shared" si="2"/>
        <v>45383</v>
      </c>
      <c r="B9">
        <f t="shared" si="3"/>
        <v>4</v>
      </c>
      <c r="C9">
        <f t="shared" si="4"/>
        <v>2024</v>
      </c>
      <c r="D9">
        <f t="shared" si="5"/>
        <v>30</v>
      </c>
      <c r="E9" s="2">
        <f t="shared" si="0"/>
        <v>45413</v>
      </c>
      <c r="F9">
        <f t="shared" si="6"/>
        <v>4</v>
      </c>
      <c r="G9" t="str">
        <f t="shared" si="1"/>
        <v>2024-4</v>
      </c>
      <c r="H9" t="s">
        <v>64</v>
      </c>
    </row>
    <row r="10" spans="1:8" x14ac:dyDescent="0.3">
      <c r="A10" s="2">
        <f t="shared" si="2"/>
        <v>45413</v>
      </c>
      <c r="B10">
        <f t="shared" si="3"/>
        <v>5</v>
      </c>
      <c r="C10">
        <f t="shared" si="4"/>
        <v>2024</v>
      </c>
      <c r="D10">
        <f t="shared" si="5"/>
        <v>31</v>
      </c>
      <c r="E10" s="2">
        <f t="shared" si="0"/>
        <v>45444</v>
      </c>
      <c r="F10">
        <f t="shared" si="6"/>
        <v>5</v>
      </c>
      <c r="G10" t="str">
        <f t="shared" si="1"/>
        <v>2024-5</v>
      </c>
      <c r="H10" t="s">
        <v>64</v>
      </c>
    </row>
    <row r="11" spans="1:8" x14ac:dyDescent="0.3">
      <c r="A11" s="2">
        <f t="shared" si="2"/>
        <v>45444</v>
      </c>
      <c r="B11">
        <f t="shared" si="3"/>
        <v>6</v>
      </c>
      <c r="C11">
        <f t="shared" si="4"/>
        <v>2024</v>
      </c>
      <c r="D11">
        <f t="shared" si="5"/>
        <v>30</v>
      </c>
      <c r="E11" s="2">
        <f t="shared" si="0"/>
        <v>45474</v>
      </c>
      <c r="F11">
        <f t="shared" si="6"/>
        <v>6</v>
      </c>
      <c r="G11" t="str">
        <f t="shared" si="1"/>
        <v>2024-6</v>
      </c>
      <c r="H11" t="s">
        <v>64</v>
      </c>
    </row>
    <row r="12" spans="1:8" x14ac:dyDescent="0.3">
      <c r="A12" s="2">
        <f t="shared" si="2"/>
        <v>45474</v>
      </c>
      <c r="B12">
        <f t="shared" si="3"/>
        <v>7</v>
      </c>
      <c r="C12">
        <f t="shared" si="4"/>
        <v>2024</v>
      </c>
      <c r="D12">
        <f t="shared" si="5"/>
        <v>31</v>
      </c>
      <c r="E12" s="2">
        <f t="shared" si="0"/>
        <v>45505</v>
      </c>
      <c r="F12">
        <f t="shared" si="6"/>
        <v>7</v>
      </c>
      <c r="G12" t="str">
        <f t="shared" si="1"/>
        <v>2024-7</v>
      </c>
      <c r="H12" t="s">
        <v>64</v>
      </c>
    </row>
    <row r="13" spans="1:8" x14ac:dyDescent="0.3">
      <c r="A13" s="2">
        <f t="shared" si="2"/>
        <v>45505</v>
      </c>
      <c r="B13">
        <f t="shared" si="3"/>
        <v>8</v>
      </c>
      <c r="C13">
        <f t="shared" si="4"/>
        <v>2024</v>
      </c>
      <c r="D13">
        <f t="shared" si="5"/>
        <v>31</v>
      </c>
      <c r="E13" s="2">
        <f t="shared" si="0"/>
        <v>45536</v>
      </c>
      <c r="F13">
        <f t="shared" si="6"/>
        <v>8</v>
      </c>
      <c r="G13" t="str">
        <f t="shared" si="1"/>
        <v>2024-8</v>
      </c>
      <c r="H13" t="s">
        <v>64</v>
      </c>
    </row>
    <row r="14" spans="1:8" x14ac:dyDescent="0.3">
      <c r="A14" s="2">
        <f t="shared" si="2"/>
        <v>45536</v>
      </c>
      <c r="B14">
        <f t="shared" si="3"/>
        <v>9</v>
      </c>
      <c r="C14">
        <f t="shared" si="4"/>
        <v>2024</v>
      </c>
      <c r="D14">
        <f t="shared" si="5"/>
        <v>30</v>
      </c>
      <c r="E14" s="2">
        <f t="shared" si="0"/>
        <v>45566</v>
      </c>
      <c r="F14">
        <f t="shared" si="6"/>
        <v>9</v>
      </c>
      <c r="G14" t="str">
        <f t="shared" si="1"/>
        <v>2024-9</v>
      </c>
      <c r="H14" t="s">
        <v>64</v>
      </c>
    </row>
    <row r="15" spans="1:8" x14ac:dyDescent="0.3">
      <c r="A15" s="2">
        <f t="shared" si="2"/>
        <v>45566</v>
      </c>
      <c r="B15">
        <f t="shared" si="3"/>
        <v>10</v>
      </c>
      <c r="C15">
        <f t="shared" si="4"/>
        <v>2024</v>
      </c>
      <c r="D15">
        <f t="shared" si="5"/>
        <v>31</v>
      </c>
      <c r="E15" s="2">
        <f t="shared" si="0"/>
        <v>45597</v>
      </c>
      <c r="F15">
        <f t="shared" si="6"/>
        <v>10</v>
      </c>
      <c r="G15" t="str">
        <f t="shared" si="1"/>
        <v>2024-10</v>
      </c>
      <c r="H15" t="s">
        <v>64</v>
      </c>
    </row>
    <row r="16" spans="1:8" x14ac:dyDescent="0.3">
      <c r="A16" s="2">
        <f t="shared" si="2"/>
        <v>45597</v>
      </c>
      <c r="B16">
        <f t="shared" si="3"/>
        <v>11</v>
      </c>
      <c r="C16">
        <f t="shared" si="4"/>
        <v>2024</v>
      </c>
      <c r="D16">
        <f t="shared" si="5"/>
        <v>30</v>
      </c>
      <c r="E16" s="2">
        <f t="shared" si="0"/>
        <v>45627</v>
      </c>
      <c r="F16">
        <f t="shared" si="6"/>
        <v>11</v>
      </c>
      <c r="G16" t="str">
        <f t="shared" si="1"/>
        <v>2024-11</v>
      </c>
      <c r="H16" t="s">
        <v>64</v>
      </c>
    </row>
    <row r="17" spans="1:8" x14ac:dyDescent="0.3">
      <c r="A17" s="2">
        <f t="shared" si="2"/>
        <v>45627</v>
      </c>
      <c r="B17">
        <f t="shared" si="3"/>
        <v>12</v>
      </c>
      <c r="C17">
        <f t="shared" si="4"/>
        <v>2024</v>
      </c>
      <c r="D17">
        <f t="shared" si="5"/>
        <v>31</v>
      </c>
      <c r="E17" s="2">
        <f t="shared" si="0"/>
        <v>45658</v>
      </c>
      <c r="F17">
        <f t="shared" si="6"/>
        <v>12</v>
      </c>
      <c r="G17" t="str">
        <f t="shared" si="1"/>
        <v>2024-12</v>
      </c>
      <c r="H17" t="s">
        <v>64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3F20-A9A7-401D-B285-20CD93C43890}">
  <sheetPr>
    <tabColor rgb="FFFFFF00"/>
  </sheetPr>
  <dimension ref="A1:H10"/>
  <sheetViews>
    <sheetView workbookViewId="0">
      <selection activeCell="D6" sqref="D6"/>
    </sheetView>
  </sheetViews>
  <sheetFormatPr defaultRowHeight="14.4" x14ac:dyDescent="0.3"/>
  <cols>
    <col min="1" max="1" width="34.6640625" customWidth="1"/>
    <col min="2" max="2" width="24.109375" customWidth="1"/>
    <col min="3" max="3" width="14.77734375" bestFit="1" customWidth="1"/>
    <col min="4" max="4" width="12" bestFit="1" customWidth="1"/>
    <col min="5" max="5" width="15" bestFit="1" customWidth="1"/>
    <col min="6" max="6" width="18.44140625" customWidth="1"/>
    <col min="7" max="7" width="22.5546875" customWidth="1"/>
    <col min="8" max="8" width="24.88671875" customWidth="1"/>
  </cols>
  <sheetData>
    <row r="1" spans="1:8" x14ac:dyDescent="0.3">
      <c r="A1" s="1" t="s">
        <v>8</v>
      </c>
    </row>
    <row r="2" spans="1:8" x14ac:dyDescent="0.3">
      <c r="A2" s="1" t="s">
        <v>68</v>
      </c>
      <c r="B2" s="1" t="s">
        <v>69</v>
      </c>
      <c r="C2" s="1" t="s">
        <v>54</v>
      </c>
      <c r="D2" s="1" t="s">
        <v>32</v>
      </c>
      <c r="E2" s="1" t="s">
        <v>33</v>
      </c>
      <c r="F2" s="1" t="s">
        <v>35</v>
      </c>
      <c r="G2" s="1" t="s">
        <v>77</v>
      </c>
      <c r="H2" s="1" t="s">
        <v>97</v>
      </c>
    </row>
    <row r="3" spans="1:8" x14ac:dyDescent="0.3">
      <c r="A3">
        <v>1</v>
      </c>
      <c r="B3" t="str">
        <f>VLOOKUP(TransactionHistory!C3,AccountingPeriod!$A$6:$G$17,7,TRUE)</f>
        <v>2024-1</v>
      </c>
      <c r="C3" s="2">
        <f>TransactionInput!A3</f>
        <v>45296</v>
      </c>
      <c r="D3" s="2" t="str">
        <f>TransactionInput!B3</f>
        <v>SO1</v>
      </c>
      <c r="E3" s="2" t="str">
        <f>TransactionInput!C3</f>
        <v>Invoice</v>
      </c>
      <c r="F3" s="19">
        <f>TransactionInput!D3</f>
        <v>1200</v>
      </c>
      <c r="G3" s="20">
        <f>TransactionInput!E3</f>
        <v>1</v>
      </c>
      <c r="H3">
        <v>0</v>
      </c>
    </row>
    <row r="4" spans="1:8" x14ac:dyDescent="0.3">
      <c r="A4">
        <v>2</v>
      </c>
      <c r="B4" t="str">
        <f>VLOOKUP(TransactionHistory!C4,AccountingPeriod!$A$6:$G$17,7,TRUE)</f>
        <v>2024-1</v>
      </c>
      <c r="C4" s="2">
        <f>TransactionInput!A4</f>
        <v>45296</v>
      </c>
      <c r="D4" s="2" t="str">
        <f>TransactionInput!B4</f>
        <v>SO1</v>
      </c>
      <c r="E4" s="2" t="str">
        <f>TransactionInput!C4</f>
        <v>Sales Price</v>
      </c>
      <c r="F4" s="19">
        <f>TransactionInput!D4</f>
        <v>100</v>
      </c>
      <c r="G4" s="20">
        <f>TransactionInput!E4</f>
        <v>1</v>
      </c>
      <c r="H4">
        <v>0</v>
      </c>
    </row>
    <row r="5" spans="1:8" x14ac:dyDescent="0.3">
      <c r="A5">
        <v>3</v>
      </c>
      <c r="B5" t="str">
        <f>VLOOKUP(TransactionHistory!C5,AccountingPeriod!$A$6:$G$17,7,TRUE)</f>
        <v>2024-1</v>
      </c>
      <c r="C5" s="2">
        <f>TransactionInput!A5</f>
        <v>45296</v>
      </c>
      <c r="D5" s="2" t="str">
        <f>TransactionInput!B5</f>
        <v>SO1</v>
      </c>
      <c r="E5" s="2" t="str">
        <f>TransactionInput!C5</f>
        <v>Sales Quantity</v>
      </c>
      <c r="F5" s="19">
        <f>TransactionInput!D5</f>
        <v>12</v>
      </c>
      <c r="G5" s="20">
        <f>TransactionInput!E5</f>
        <v>1</v>
      </c>
      <c r="H5">
        <v>0</v>
      </c>
    </row>
    <row r="6" spans="1:8" x14ac:dyDescent="0.3">
      <c r="A6">
        <v>4</v>
      </c>
      <c r="B6" t="str">
        <f>VLOOKUP(TransactionHistory!C6,AccountingPeriod!$A$6:$G$17,7,TRUE)</f>
        <v>2024-1</v>
      </c>
      <c r="C6" s="2">
        <f>TransactionInput!A6</f>
        <v>45296</v>
      </c>
      <c r="D6" s="2" t="str">
        <f>TransactionInput!B6</f>
        <v>SO1</v>
      </c>
      <c r="E6" s="2" t="str">
        <f>TransactionInput!C6</f>
        <v>Invoice</v>
      </c>
      <c r="F6" s="19">
        <f>TransactionInput!D6</f>
        <v>600</v>
      </c>
      <c r="G6" s="20">
        <f>TransactionInput!E6</f>
        <v>2</v>
      </c>
      <c r="H6">
        <v>0</v>
      </c>
    </row>
    <row r="7" spans="1:8" x14ac:dyDescent="0.3">
      <c r="A7">
        <v>5</v>
      </c>
      <c r="B7" t="str">
        <f>VLOOKUP(TransactionHistory!C7,AccountingPeriod!$A$6:$G$17,7,TRUE)</f>
        <v>2024-1</v>
      </c>
      <c r="C7" s="2">
        <f>TransactionInput!A7</f>
        <v>45296</v>
      </c>
      <c r="D7" s="2" t="str">
        <f>TransactionInput!B7</f>
        <v>SO1</v>
      </c>
      <c r="E7" s="2" t="str">
        <f>TransactionInput!C7</f>
        <v>Sales Price</v>
      </c>
      <c r="F7" s="19">
        <f>TransactionInput!D7</f>
        <v>50</v>
      </c>
      <c r="G7" s="20">
        <f>TransactionInput!E7</f>
        <v>2</v>
      </c>
      <c r="H7">
        <v>0</v>
      </c>
    </row>
    <row r="8" spans="1:8" x14ac:dyDescent="0.3">
      <c r="A8">
        <v>6</v>
      </c>
      <c r="B8" t="str">
        <f>VLOOKUP(TransactionHistory!C8,AccountingPeriod!$A$6:$G$17,7,TRUE)</f>
        <v>2024-1</v>
      </c>
      <c r="C8" s="2">
        <f>TransactionInput!A8</f>
        <v>45296</v>
      </c>
      <c r="D8" s="2" t="str">
        <f>TransactionInput!B8</f>
        <v>SO1</v>
      </c>
      <c r="E8" s="2" t="str">
        <f>TransactionInput!C8</f>
        <v>Sales Quantity</v>
      </c>
      <c r="F8" s="19">
        <f>TransactionInput!D8</f>
        <v>12</v>
      </c>
      <c r="G8" s="20">
        <f>TransactionInput!E8</f>
        <v>2</v>
      </c>
      <c r="H8">
        <v>0</v>
      </c>
    </row>
    <row r="9" spans="1:8" x14ac:dyDescent="0.3">
      <c r="A9">
        <v>7</v>
      </c>
      <c r="B9" t="str">
        <f>VLOOKUP(TransactionHistory!C9,AccountingPeriod!$A$6:$G$17,7,TRUE)</f>
        <v>2024-1</v>
      </c>
      <c r="C9" s="2">
        <f>Model_Output!B2</f>
        <v>45322</v>
      </c>
      <c r="D9" s="2" t="str">
        <f>D8</f>
        <v>SO1</v>
      </c>
      <c r="E9" s="2" t="str">
        <f>Model_Output!D2</f>
        <v>Revenue</v>
      </c>
      <c r="F9" s="19">
        <f>Model_Output!E2</f>
        <v>101.63934426229508</v>
      </c>
      <c r="G9" s="20">
        <f>Model_Output!F2</f>
        <v>1</v>
      </c>
      <c r="H9">
        <v>1</v>
      </c>
    </row>
    <row r="10" spans="1:8" x14ac:dyDescent="0.3">
      <c r="A10">
        <v>8</v>
      </c>
      <c r="B10" t="str">
        <f>VLOOKUP(TransactionHistory!C10,AccountingPeriod!$A$6:$G$17,7,TRUE)</f>
        <v>2024-1</v>
      </c>
      <c r="C10" s="2">
        <f>C9</f>
        <v>45322</v>
      </c>
      <c r="D10" s="2" t="str">
        <f>D9</f>
        <v>SO1</v>
      </c>
      <c r="E10" s="2" t="str">
        <f>E9</f>
        <v>Revenue</v>
      </c>
      <c r="F10">
        <v>600</v>
      </c>
      <c r="G10">
        <v>2</v>
      </c>
      <c r="H10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9B82-D91E-4A13-8821-683372D1F9BA}">
  <sheetPr>
    <tabColor rgb="FFFFFF00"/>
  </sheetPr>
  <dimension ref="A1:L4"/>
  <sheetViews>
    <sheetView workbookViewId="0">
      <selection activeCell="E3" sqref="E3"/>
    </sheetView>
  </sheetViews>
  <sheetFormatPr defaultRowHeight="14.4" x14ac:dyDescent="0.3"/>
  <cols>
    <col min="1" max="1" width="16.109375" bestFit="1" customWidth="1"/>
    <col min="2" max="2" width="12.21875" bestFit="1" customWidth="1"/>
    <col min="3" max="3" width="9.5546875" bestFit="1" customWidth="1"/>
    <col min="4" max="4" width="12" bestFit="1" customWidth="1"/>
    <col min="5" max="5" width="9.6640625" bestFit="1" customWidth="1"/>
    <col min="10" max="10" width="16" customWidth="1"/>
  </cols>
  <sheetData>
    <row r="1" spans="1:12" x14ac:dyDescent="0.3">
      <c r="A1" s="1" t="s">
        <v>8</v>
      </c>
    </row>
    <row r="2" spans="1:12" x14ac:dyDescent="0.3">
      <c r="A2" s="1" t="s">
        <v>62</v>
      </c>
      <c r="B2" s="1" t="s">
        <v>31</v>
      </c>
      <c r="C2" s="1" t="s">
        <v>77</v>
      </c>
      <c r="D2" s="1" t="s">
        <v>32</v>
      </c>
      <c r="E2" s="1" t="s">
        <v>67</v>
      </c>
      <c r="F2" s="1" t="s">
        <v>85</v>
      </c>
      <c r="G2" s="1" t="s">
        <v>48</v>
      </c>
      <c r="H2" s="1" t="s">
        <v>71</v>
      </c>
      <c r="I2" s="1" t="s">
        <v>73</v>
      </c>
      <c r="J2" s="1" t="s">
        <v>74</v>
      </c>
      <c r="K2" s="1" t="s">
        <v>78</v>
      </c>
      <c r="L2" s="1" t="s">
        <v>95</v>
      </c>
    </row>
    <row r="3" spans="1:12" x14ac:dyDescent="0.3">
      <c r="A3" t="str">
        <f>A4</f>
        <v>2024-1</v>
      </c>
      <c r="B3" s="2">
        <f>InstrumentAttributeValue!A3</f>
        <v>45292</v>
      </c>
      <c r="C3">
        <f>InstrumentAttributeValue!B3</f>
        <v>1</v>
      </c>
      <c r="D3" t="str">
        <f>InstrumentAttributeValue!C3</f>
        <v>SO1</v>
      </c>
      <c r="E3">
        <v>111</v>
      </c>
      <c r="G3">
        <f>InstrumentAttributeValue!D3</f>
        <v>102</v>
      </c>
      <c r="H3" s="2">
        <f>InstrumentAttributeValue!E3</f>
        <v>45292</v>
      </c>
      <c r="I3" s="2">
        <f>InstrumentAttributeValue!F3</f>
        <v>45292</v>
      </c>
      <c r="J3" s="2">
        <f>InstrumentAttributeValue!G3</f>
        <v>45657</v>
      </c>
      <c r="K3" t="str">
        <f>InstrumentAttributeValue!H3</f>
        <v>SaaS</v>
      </c>
      <c r="L3" t="str">
        <f>InstrumentAttributeValue!I3</f>
        <v>Ratable</v>
      </c>
    </row>
    <row r="4" spans="1:12" x14ac:dyDescent="0.3">
      <c r="A4" t="str">
        <f>AccountingPeriod!G6</f>
        <v>2024-1</v>
      </c>
      <c r="B4" s="2">
        <f>InstrumentAttributeValue!A4</f>
        <v>45292</v>
      </c>
      <c r="C4">
        <f>InstrumentAttributeValue!B4</f>
        <v>2</v>
      </c>
      <c r="D4" t="str">
        <f>InstrumentAttributeValue!C4</f>
        <v>SO1</v>
      </c>
      <c r="E4">
        <v>222</v>
      </c>
      <c r="G4">
        <f>InstrumentAttributeValue!D4</f>
        <v>102</v>
      </c>
      <c r="H4" s="2">
        <f>InstrumentAttributeValue!E4</f>
        <v>45292</v>
      </c>
      <c r="I4" s="2">
        <f>InstrumentAttributeValue!F4</f>
        <v>45292</v>
      </c>
      <c r="J4" s="2">
        <f>InstrumentAttributeValue!G4</f>
        <v>45657</v>
      </c>
      <c r="K4" t="str">
        <f>InstrumentAttributeValue!H4</f>
        <v>Training</v>
      </c>
      <c r="L4" t="str">
        <f>InstrumentAttributeValue!I4</f>
        <v>PointInTime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30C-8B3A-41FB-AFF7-E592C86C98DE}">
  <sheetPr>
    <tabColor rgb="FFFFFF00"/>
  </sheetPr>
  <dimension ref="A1:L11"/>
  <sheetViews>
    <sheetView workbookViewId="0">
      <selection activeCell="A24" sqref="A24"/>
    </sheetView>
  </sheetViews>
  <sheetFormatPr defaultRowHeight="14.4" x14ac:dyDescent="0.3"/>
  <cols>
    <col min="1" max="2" width="22.33203125" customWidth="1"/>
    <col min="3" max="3" width="21.77734375" customWidth="1"/>
    <col min="4" max="5" width="28" customWidth="1"/>
    <col min="6" max="6" width="28.5546875" customWidth="1"/>
    <col min="7" max="8" width="23.6640625" customWidth="1"/>
    <col min="11" max="11" width="14.33203125" customWidth="1"/>
  </cols>
  <sheetData>
    <row r="1" spans="1:12" x14ac:dyDescent="0.3">
      <c r="A1" s="1" t="s">
        <v>8</v>
      </c>
    </row>
    <row r="2" spans="1:12" x14ac:dyDescent="0.3">
      <c r="A2" s="1" t="s">
        <v>54</v>
      </c>
      <c r="B2" s="1" t="s">
        <v>62</v>
      </c>
      <c r="C2" s="1" t="s">
        <v>32</v>
      </c>
      <c r="D2" s="1" t="s">
        <v>33</v>
      </c>
      <c r="E2" s="1" t="s">
        <v>39</v>
      </c>
      <c r="F2" s="3" t="s">
        <v>36</v>
      </c>
      <c r="G2" s="3" t="s">
        <v>37</v>
      </c>
      <c r="H2" s="3" t="s">
        <v>38</v>
      </c>
      <c r="I2" s="3" t="s">
        <v>14</v>
      </c>
      <c r="J2" s="3" t="s">
        <v>15</v>
      </c>
      <c r="K2" s="3" t="s">
        <v>24</v>
      </c>
      <c r="L2" s="3" t="s">
        <v>66</v>
      </c>
    </row>
    <row r="3" spans="1:12" x14ac:dyDescent="0.3">
      <c r="A3" s="2">
        <f>TransactionHistory!C3</f>
        <v>45296</v>
      </c>
      <c r="B3" s="2" t="s">
        <v>53</v>
      </c>
      <c r="C3" t="str">
        <f>TransactionInput!B3</f>
        <v>SO1</v>
      </c>
      <c r="D3" t="str">
        <f>TransactionInput!C3</f>
        <v>Invoice</v>
      </c>
      <c r="E3">
        <f>ChartOfAccount!A5</f>
        <v>3000</v>
      </c>
      <c r="F3" t="str">
        <f>VLOOKUP(E3,ChartOfAccount!$A$3:$B$8,2,FALSE)</f>
        <v>Account Rec</v>
      </c>
      <c r="G3" t="str">
        <f>VLOOKUP(H3,AccountType!$B$3:$C$5,2,FALSE)</f>
        <v>Balance Sheet</v>
      </c>
      <c r="H3" t="str">
        <f>VLOOKUP(D3,'Subledger Account Mappings'!$B$4:$E$7,4,FALSE)</f>
        <v>A/R</v>
      </c>
      <c r="I3" s="19">
        <f>TransactionHistory!F3</f>
        <v>1200</v>
      </c>
      <c r="K3">
        <v>102</v>
      </c>
    </row>
    <row r="4" spans="1:12" x14ac:dyDescent="0.3">
      <c r="A4" s="2">
        <f>TransactionHistory!C4</f>
        <v>45296</v>
      </c>
      <c r="B4" s="2" t="s">
        <v>53</v>
      </c>
      <c r="C4" t="str">
        <f>TransactionInput!B4</f>
        <v>SO1</v>
      </c>
      <c r="D4" t="str">
        <f>TransactionInput!C3</f>
        <v>Invoice</v>
      </c>
      <c r="E4">
        <f>ChartOfAccount!A7</f>
        <v>5000</v>
      </c>
      <c r="F4" t="str">
        <f>VLOOKUP(E4,ChartOfAccount!$A$3:$B$8,2,FALSE)</f>
        <v>Deferred Revenue 102</v>
      </c>
      <c r="G4" t="str">
        <f>VLOOKUP(H4,AccountType!$B$3:$C$5,2,FALSE)</f>
        <v>Balance Sheet</v>
      </c>
      <c r="H4" t="str">
        <f>ChartOfAccount!C7</f>
        <v>Deferred Revenue</v>
      </c>
      <c r="J4" s="19">
        <f>-I3</f>
        <v>-1200</v>
      </c>
      <c r="K4">
        <v>102</v>
      </c>
    </row>
    <row r="5" spans="1:12" x14ac:dyDescent="0.3">
      <c r="A5" s="2">
        <f>TransactionHistory!C9</f>
        <v>45322</v>
      </c>
      <c r="B5" s="2" t="s">
        <v>53</v>
      </c>
      <c r="C5" t="str">
        <f>C4</f>
        <v>SO1</v>
      </c>
      <c r="D5" s="2" t="str">
        <f>TransactionHistory!E9</f>
        <v>Revenue</v>
      </c>
      <c r="E5">
        <f>ChartOfAccount!A7</f>
        <v>5000</v>
      </c>
      <c r="F5" t="str">
        <f>VLOOKUP(E5,ChartOfAccount!$A$3:$B$8,2,FALSE)</f>
        <v>Deferred Revenue 102</v>
      </c>
      <c r="G5" t="str">
        <f>VLOOKUP(H5,AccountType!$B$3:$C$5,2,FALSE)</f>
        <v>Balance Sheet</v>
      </c>
      <c r="H5" t="str">
        <f>ChartOfAccount!C7</f>
        <v>Deferred Revenue</v>
      </c>
      <c r="I5" s="19">
        <f>TransactionHistory!F9</f>
        <v>101.63934426229508</v>
      </c>
      <c r="K5">
        <v>102</v>
      </c>
    </row>
    <row r="6" spans="1:12" x14ac:dyDescent="0.3">
      <c r="A6" s="2">
        <f t="shared" ref="A6:A10" si="0">A5</f>
        <v>45322</v>
      </c>
      <c r="B6" s="2" t="s">
        <v>53</v>
      </c>
      <c r="C6" t="str">
        <f>C5</f>
        <v>SO1</v>
      </c>
      <c r="D6" t="str">
        <f>D5</f>
        <v>Revenue</v>
      </c>
      <c r="E6">
        <f>ChartOfAccount!A3</f>
        <v>1000</v>
      </c>
      <c r="F6" t="str">
        <f>VLOOKUP(E6,ChartOfAccount!$A$3:$B$8,2,FALSE)</f>
        <v>Revenue 102</v>
      </c>
      <c r="G6" t="str">
        <f>VLOOKUP(H6,AccountType!$B$3:$C$5,2,FALSE)</f>
        <v>Income Statement</v>
      </c>
      <c r="H6" t="str">
        <f>ChartOfAccount!C3</f>
        <v>Revenue</v>
      </c>
      <c r="J6">
        <f>-I5</f>
        <v>-101.63934426229508</v>
      </c>
      <c r="K6">
        <v>102</v>
      </c>
    </row>
    <row r="7" spans="1:12" x14ac:dyDescent="0.3">
      <c r="A7" s="2">
        <f>A4</f>
        <v>45296</v>
      </c>
      <c r="B7" s="2" t="s">
        <v>53</v>
      </c>
      <c r="C7" t="str">
        <f t="shared" ref="C7:C10" si="1">C6</f>
        <v>SO1</v>
      </c>
      <c r="D7" t="str">
        <f>D3</f>
        <v>Invoice</v>
      </c>
      <c r="E7">
        <f>ChartOfAccount!A6</f>
        <v>4000</v>
      </c>
      <c r="F7" t="str">
        <f>VLOOKUP(E7,ChartOfAccount!$A$3:$B$8,2,FALSE)</f>
        <v>Account Rec</v>
      </c>
      <c r="G7" t="str">
        <f>VLOOKUP(H7,AccountType!$B$3:$C$5,2,FALSE)</f>
        <v>Balance Sheet</v>
      </c>
      <c r="H7" t="str">
        <f>H3</f>
        <v>A/R</v>
      </c>
      <c r="I7" s="19">
        <f>TransactionHistory!F6</f>
        <v>600</v>
      </c>
      <c r="K7">
        <v>102</v>
      </c>
    </row>
    <row r="8" spans="1:12" x14ac:dyDescent="0.3">
      <c r="A8" s="2">
        <f>A7</f>
        <v>45296</v>
      </c>
      <c r="B8" s="2" t="s">
        <v>53</v>
      </c>
      <c r="C8" t="str">
        <f t="shared" si="1"/>
        <v>SO1</v>
      </c>
      <c r="D8" t="str">
        <f t="shared" ref="D8:D10" si="2">D4</f>
        <v>Invoice</v>
      </c>
      <c r="E8">
        <v>5000</v>
      </c>
      <c r="F8" t="str">
        <f>VLOOKUP(E8,ChartOfAccount!$A$3:$B$8,2,FALSE)</f>
        <v>Deferred Revenue 102</v>
      </c>
      <c r="G8" t="str">
        <f>VLOOKUP(H8,AccountType!$B$3:$C$5,2,FALSE)</f>
        <v>Balance Sheet</v>
      </c>
      <c r="H8" t="str">
        <f t="shared" ref="H8:H10" si="3">H4</f>
        <v>Deferred Revenue</v>
      </c>
      <c r="J8">
        <f>-I7</f>
        <v>-600</v>
      </c>
      <c r="K8">
        <v>102</v>
      </c>
    </row>
    <row r="9" spans="1:12" x14ac:dyDescent="0.3">
      <c r="A9" s="2">
        <f>A5</f>
        <v>45322</v>
      </c>
      <c r="B9" s="2" t="s">
        <v>53</v>
      </c>
      <c r="C9" t="str">
        <f t="shared" si="1"/>
        <v>SO1</v>
      </c>
      <c r="D9" t="str">
        <f t="shared" si="2"/>
        <v>Revenue</v>
      </c>
      <c r="E9">
        <v>5000</v>
      </c>
      <c r="F9" t="str">
        <f>VLOOKUP(E9,ChartOfAccount!$A$3:$B$8,2,FALSE)</f>
        <v>Deferred Revenue 102</v>
      </c>
      <c r="G9" t="str">
        <f>VLOOKUP(H9,AccountType!$B$3:$C$5,2,FALSE)</f>
        <v>Balance Sheet</v>
      </c>
      <c r="H9" t="str">
        <f t="shared" si="3"/>
        <v>Deferred Revenue</v>
      </c>
      <c r="I9">
        <f>TransactionHistory!F10</f>
        <v>600</v>
      </c>
      <c r="K9">
        <v>102</v>
      </c>
    </row>
    <row r="10" spans="1:12" x14ac:dyDescent="0.3">
      <c r="A10" s="2">
        <f t="shared" si="0"/>
        <v>45322</v>
      </c>
      <c r="B10" s="2" t="s">
        <v>53</v>
      </c>
      <c r="C10" t="str">
        <f t="shared" si="1"/>
        <v>SO1</v>
      </c>
      <c r="D10" t="str">
        <f t="shared" si="2"/>
        <v>Revenue</v>
      </c>
      <c r="E10">
        <v>1000</v>
      </c>
      <c r="F10" t="str">
        <f>VLOOKUP(E10,ChartOfAccount!$A$3:$B$8,2,FALSE)</f>
        <v>Revenue 102</v>
      </c>
      <c r="G10" t="str">
        <f>VLOOKUP(H10,AccountType!$B$3:$C$5,2,FALSE)</f>
        <v>Income Statement</v>
      </c>
      <c r="H10" t="str">
        <f t="shared" si="3"/>
        <v>Revenue</v>
      </c>
      <c r="J10">
        <f>-I9</f>
        <v>-600</v>
      </c>
      <c r="K10">
        <v>102</v>
      </c>
    </row>
    <row r="11" spans="1:12" ht="3.6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10"/>
    </row>
  </sheetData>
  <mergeCells count="1">
    <mergeCell ref="A11:K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DC67-B02D-4578-BEFF-1E63375ED425}">
  <sheetPr>
    <tabColor rgb="FFFFFF00"/>
  </sheetPr>
  <dimension ref="A1:F15"/>
  <sheetViews>
    <sheetView workbookViewId="0">
      <selection activeCell="B28" sqref="B28"/>
    </sheetView>
  </sheetViews>
  <sheetFormatPr defaultRowHeight="14.4" x14ac:dyDescent="0.3"/>
  <cols>
    <col min="1" max="1" width="57.6640625" customWidth="1"/>
    <col min="2" max="2" width="27" customWidth="1"/>
    <col min="3" max="3" width="29" customWidth="1"/>
    <col min="4" max="4" width="34.6640625" customWidth="1"/>
  </cols>
  <sheetData>
    <row r="1" spans="1:6" x14ac:dyDescent="0.3">
      <c r="A1" s="1" t="s">
        <v>8</v>
      </c>
    </row>
    <row r="2" spans="1:6" x14ac:dyDescent="0.3">
      <c r="A2" t="s">
        <v>44</v>
      </c>
      <c r="B2" s="1" t="s">
        <v>9</v>
      </c>
      <c r="C2" s="1" t="s">
        <v>6</v>
      </c>
      <c r="D2" s="1" t="s">
        <v>10</v>
      </c>
      <c r="E2" s="1" t="s">
        <v>19</v>
      </c>
      <c r="F2" s="1" t="s">
        <v>11</v>
      </c>
    </row>
    <row r="3" spans="1:6" x14ac:dyDescent="0.3">
      <c r="A3" t="str">
        <f>CONCATENATE(C3,F3,E3)</f>
        <v>Revenueamount&gt;1Dr</v>
      </c>
      <c r="B3">
        <v>1</v>
      </c>
      <c r="C3" t="s">
        <v>3</v>
      </c>
      <c r="D3" t="s">
        <v>12</v>
      </c>
      <c r="E3" t="s">
        <v>14</v>
      </c>
      <c r="F3" t="s">
        <v>45</v>
      </c>
    </row>
    <row r="4" spans="1:6" x14ac:dyDescent="0.3">
      <c r="A4" t="str">
        <f t="shared" ref="A4:A14" si="0">CONCATENATE(C4,F4,E4)</f>
        <v>Revenueamount&gt;1Cr</v>
      </c>
      <c r="B4">
        <v>2</v>
      </c>
      <c r="C4" s="8" t="s">
        <v>3</v>
      </c>
      <c r="D4" s="8" t="s">
        <v>12</v>
      </c>
      <c r="E4" s="8" t="s">
        <v>15</v>
      </c>
      <c r="F4" t="s">
        <v>45</v>
      </c>
    </row>
    <row r="5" spans="1:6" x14ac:dyDescent="0.3">
      <c r="A5" t="str">
        <f t="shared" si="0"/>
        <v>Revenueamount&lt;1Dr</v>
      </c>
      <c r="B5">
        <v>3</v>
      </c>
      <c r="C5" s="8" t="s">
        <v>3</v>
      </c>
      <c r="D5" s="8" t="s">
        <v>13</v>
      </c>
      <c r="E5" s="8" t="s">
        <v>14</v>
      </c>
      <c r="F5" t="s">
        <v>46</v>
      </c>
    </row>
    <row r="6" spans="1:6" x14ac:dyDescent="0.3">
      <c r="A6" t="str">
        <f t="shared" si="0"/>
        <v>Revenueamount&lt;1Cr</v>
      </c>
      <c r="B6">
        <v>4</v>
      </c>
      <c r="C6" t="s">
        <v>3</v>
      </c>
      <c r="D6" t="s">
        <v>13</v>
      </c>
      <c r="E6" t="s">
        <v>15</v>
      </c>
      <c r="F6" t="s">
        <v>46</v>
      </c>
    </row>
    <row r="7" spans="1:6" x14ac:dyDescent="0.3">
      <c r="A7" t="str">
        <f t="shared" si="0"/>
        <v>Deferred Revenueamount&gt;1Dr</v>
      </c>
      <c r="B7">
        <v>5</v>
      </c>
      <c r="C7" t="s">
        <v>7</v>
      </c>
      <c r="D7" t="s">
        <v>12</v>
      </c>
      <c r="E7" t="s">
        <v>14</v>
      </c>
      <c r="F7" t="s">
        <v>45</v>
      </c>
    </row>
    <row r="8" spans="1:6" x14ac:dyDescent="0.3">
      <c r="A8" t="str">
        <f t="shared" si="0"/>
        <v>Deferred Revenueamount&gt;1Cr</v>
      </c>
      <c r="B8">
        <v>6</v>
      </c>
      <c r="C8" t="s">
        <v>7</v>
      </c>
      <c r="D8" t="s">
        <v>12</v>
      </c>
      <c r="E8" t="s">
        <v>15</v>
      </c>
      <c r="F8" t="s">
        <v>45</v>
      </c>
    </row>
    <row r="9" spans="1:6" x14ac:dyDescent="0.3">
      <c r="A9" t="str">
        <f t="shared" si="0"/>
        <v>Deferred Revenueamount&lt;1Dr</v>
      </c>
      <c r="B9">
        <v>7</v>
      </c>
      <c r="C9" t="s">
        <v>7</v>
      </c>
      <c r="D9" t="s">
        <v>13</v>
      </c>
      <c r="E9" t="s">
        <v>14</v>
      </c>
      <c r="F9" t="s">
        <v>46</v>
      </c>
    </row>
    <row r="10" spans="1:6" x14ac:dyDescent="0.3">
      <c r="A10" t="str">
        <f t="shared" si="0"/>
        <v>Deferred Revenueamount&lt;1Cr</v>
      </c>
      <c r="B10">
        <v>8</v>
      </c>
      <c r="C10" t="s">
        <v>7</v>
      </c>
      <c r="D10" t="s">
        <v>13</v>
      </c>
      <c r="E10" t="s">
        <v>15</v>
      </c>
      <c r="F10" t="s">
        <v>46</v>
      </c>
    </row>
    <row r="11" spans="1:6" x14ac:dyDescent="0.3">
      <c r="A11" t="str">
        <f t="shared" si="0"/>
        <v>A/Ramount&gt;1Dr</v>
      </c>
      <c r="B11">
        <v>9</v>
      </c>
      <c r="C11" t="s">
        <v>21</v>
      </c>
      <c r="D11" t="s">
        <v>12</v>
      </c>
      <c r="E11" t="s">
        <v>14</v>
      </c>
      <c r="F11" t="s">
        <v>45</v>
      </c>
    </row>
    <row r="12" spans="1:6" x14ac:dyDescent="0.3">
      <c r="A12" t="str">
        <f t="shared" si="0"/>
        <v>A/Ramount&gt;1Cr</v>
      </c>
      <c r="B12">
        <v>10</v>
      </c>
      <c r="C12" t="s">
        <v>21</v>
      </c>
      <c r="D12" t="s">
        <v>12</v>
      </c>
      <c r="E12" t="s">
        <v>15</v>
      </c>
      <c r="F12" t="s">
        <v>45</v>
      </c>
    </row>
    <row r="13" spans="1:6" x14ac:dyDescent="0.3">
      <c r="A13" t="str">
        <f t="shared" si="0"/>
        <v>A/Ramount&lt;1Dr</v>
      </c>
      <c r="B13">
        <v>11</v>
      </c>
      <c r="C13" t="s">
        <v>21</v>
      </c>
      <c r="D13" t="s">
        <v>13</v>
      </c>
      <c r="E13" t="s">
        <v>14</v>
      </c>
      <c r="F13" t="s">
        <v>46</v>
      </c>
    </row>
    <row r="14" spans="1:6" x14ac:dyDescent="0.3">
      <c r="A14" t="str">
        <f t="shared" si="0"/>
        <v>A/Ramount&lt;1Cr</v>
      </c>
      <c r="B14">
        <v>12</v>
      </c>
      <c r="C14" t="s">
        <v>21</v>
      </c>
      <c r="D14" t="s">
        <v>13</v>
      </c>
      <c r="E14" t="s">
        <v>15</v>
      </c>
      <c r="F14" t="s">
        <v>46</v>
      </c>
    </row>
    <row r="15" spans="1:6" x14ac:dyDescent="0.3">
      <c r="A15" t="str">
        <f t="shared" ref="A15" si="1">CONCATENATE(C15,D15,E15)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EF22-30EE-4777-AFD6-6D6C58F7AD40}">
  <sheetPr>
    <tabColor rgb="FFFFFF00"/>
  </sheetPr>
  <dimension ref="A1:E20"/>
  <sheetViews>
    <sheetView workbookViewId="0">
      <selection activeCell="D17" sqref="D17:D18"/>
    </sheetView>
  </sheetViews>
  <sheetFormatPr defaultRowHeight="14.4" x14ac:dyDescent="0.3"/>
  <cols>
    <col min="1" max="1" width="20" customWidth="1"/>
    <col min="2" max="2" width="24.5546875" customWidth="1"/>
    <col min="3" max="3" width="27.33203125" customWidth="1"/>
  </cols>
  <sheetData>
    <row r="1" spans="1:5" x14ac:dyDescent="0.3">
      <c r="A1" s="1" t="s">
        <v>8</v>
      </c>
    </row>
    <row r="2" spans="1:5" x14ac:dyDescent="0.3">
      <c r="A2" s="1" t="s">
        <v>40</v>
      </c>
    </row>
    <row r="3" spans="1:5" x14ac:dyDescent="0.3">
      <c r="A3" s="1" t="s">
        <v>39</v>
      </c>
      <c r="B3" s="3" t="s">
        <v>36</v>
      </c>
      <c r="C3" s="3" t="s">
        <v>38</v>
      </c>
      <c r="D3" s="1" t="s">
        <v>14</v>
      </c>
      <c r="E3" s="1" t="s">
        <v>15</v>
      </c>
    </row>
    <row r="4" spans="1:5" x14ac:dyDescent="0.3">
      <c r="A4">
        <f>ChartOfAccount!A3</f>
        <v>1000</v>
      </c>
      <c r="B4" t="str">
        <f>VLOOKUP(A4,ChartOfAccount!A3:$C$8,2,FALSE)</f>
        <v>Revenue 102</v>
      </c>
      <c r="C4" t="str">
        <f>VLOOKUP(A4,ChartOfAccount!A3:$C$8,3,FALSE)</f>
        <v>Revenue</v>
      </c>
      <c r="D4">
        <f ca="1">SUMIF(GLEntry!$E$3:$I$11,TrialBalance!A4,GLEntry!$I$3:$I$11)</f>
        <v>0</v>
      </c>
      <c r="E4">
        <f ca="1">SUMIF(GLEntry!$E$3:$J$11,TrialBalance!A4,GLEntry!$J$3:$J$11)</f>
        <v>-701.63934426229503</v>
      </c>
    </row>
    <row r="5" spans="1:5" x14ac:dyDescent="0.3">
      <c r="A5">
        <f>ChartOfAccount!A4</f>
        <v>2000</v>
      </c>
      <c r="B5" t="str">
        <f>VLOOKUP(A5,ChartOfAccount!A4:$C$8,2,FALSE)</f>
        <v>Revenue 103</v>
      </c>
      <c r="C5" t="str">
        <f>VLOOKUP(A5,ChartOfAccount!A4:$C$8,3,FALSE)</f>
        <v>Revenue</v>
      </c>
      <c r="D5">
        <f ca="1">SUMIF(GLEntry!$E$3:$I$11,TrialBalance!A5,GLEntry!$I$3:$I$11)</f>
        <v>0</v>
      </c>
      <c r="E5">
        <f ca="1">SUMIF(GLEntry!$E$3:$J$11,TrialBalance!A5,GLEntry!$J$3:$J$11)</f>
        <v>0</v>
      </c>
    </row>
    <row r="6" spans="1:5" x14ac:dyDescent="0.3">
      <c r="A6">
        <f>ChartOfAccount!A5</f>
        <v>3000</v>
      </c>
      <c r="B6" t="str">
        <f>VLOOKUP(A6,ChartOfAccount!A5:$C$8,2,FALSE)</f>
        <v>Account Rec</v>
      </c>
      <c r="C6" t="str">
        <f>VLOOKUP(A6,ChartOfAccount!A5:$C$8,3,FALSE)</f>
        <v>A/R</v>
      </c>
      <c r="D6">
        <f ca="1">SUMIF(GLEntry!$E$3:$I$11,TrialBalance!A6,GLEntry!$I$3:$I$11)</f>
        <v>1200</v>
      </c>
      <c r="E6">
        <f ca="1">SUMIF(GLEntry!$E$3:$J$11,TrialBalance!A6,GLEntry!$J$3:$J$11)</f>
        <v>0</v>
      </c>
    </row>
    <row r="7" spans="1:5" x14ac:dyDescent="0.3">
      <c r="A7">
        <f>ChartOfAccount!A6</f>
        <v>4000</v>
      </c>
      <c r="B7" t="str">
        <f>VLOOKUP(A7,ChartOfAccount!A6:$C$8,2,FALSE)</f>
        <v>Account Rec</v>
      </c>
      <c r="C7" t="str">
        <f>VLOOKUP(A7,ChartOfAccount!A6:$C$8,3,FALSE)</f>
        <v>A/R</v>
      </c>
      <c r="D7">
        <f ca="1">SUMIF(GLEntry!$E$3:$I$11,TrialBalance!A7,GLEntry!$I$3:$I$11)</f>
        <v>600</v>
      </c>
      <c r="E7">
        <f ca="1">SUMIF(GLEntry!$E$3:$J$11,TrialBalance!A7,GLEntry!$J$3:$J$11)</f>
        <v>0</v>
      </c>
    </row>
    <row r="8" spans="1:5" x14ac:dyDescent="0.3">
      <c r="A8">
        <f>ChartOfAccount!A7</f>
        <v>5000</v>
      </c>
      <c r="B8" t="str">
        <f>VLOOKUP(A8,ChartOfAccount!A7:$C$8,2,FALSE)</f>
        <v>Deferred Revenue 102</v>
      </c>
      <c r="C8" t="str">
        <f>VLOOKUP(A8,ChartOfAccount!A7:$C$8,3,FALSE)</f>
        <v>Deferred Revenue</v>
      </c>
      <c r="D8">
        <f ca="1">SUMIF(GLEntry!$E$3:$I$11,TrialBalance!A8,GLEntry!$I$3:$I$11)</f>
        <v>701.63934426229503</v>
      </c>
      <c r="E8">
        <f ca="1">SUMIF(GLEntry!$E$3:$J$11,TrialBalance!A8,GLEntry!$J$3:$J$11)</f>
        <v>-1800</v>
      </c>
    </row>
    <row r="9" spans="1:5" x14ac:dyDescent="0.3">
      <c r="A9">
        <f>ChartOfAccount!A8</f>
        <v>6000</v>
      </c>
      <c r="B9" t="str">
        <f>VLOOKUP(A9,ChartOfAccount!A8:$C$8,2,FALSE)</f>
        <v>Deferred Revenue 103</v>
      </c>
      <c r="C9" t="str">
        <f>VLOOKUP(A9,ChartOfAccount!A8:$C$8,3,FALSE)</f>
        <v>Deferred Revenue</v>
      </c>
      <c r="D9">
        <f ca="1">SUMIF(GLEntry!$E$3:$I$11,TrialBalance!A9,GLEntry!$I$3:$I$11)</f>
        <v>0</v>
      </c>
      <c r="E9">
        <f ca="1">SUMIF(GLEntry!$E$3:$J$11,TrialBalance!A9,GLEntry!$J$3:$J$11)</f>
        <v>0</v>
      </c>
    </row>
    <row r="10" spans="1:5" x14ac:dyDescent="0.3">
      <c r="D10" s="1">
        <f ca="1">SUM(D4:D9)</f>
        <v>2501.6393442622948</v>
      </c>
      <c r="E10" s="1">
        <f ca="1">SUM(E4:E9)</f>
        <v>-2501.6393442622948</v>
      </c>
    </row>
    <row r="13" spans="1:5" x14ac:dyDescent="0.3">
      <c r="A13" s="1" t="s">
        <v>41</v>
      </c>
    </row>
    <row r="14" spans="1:5" x14ac:dyDescent="0.3">
      <c r="A14" s="1" t="s">
        <v>39</v>
      </c>
      <c r="B14" s="3" t="s">
        <v>36</v>
      </c>
      <c r="C14" s="3" t="s">
        <v>38</v>
      </c>
      <c r="D14" s="1" t="s">
        <v>42</v>
      </c>
    </row>
    <row r="15" spans="1:5" x14ac:dyDescent="0.3">
      <c r="A15">
        <f>A4</f>
        <v>1000</v>
      </c>
      <c r="B15" t="str">
        <f t="shared" ref="B15:C15" si="0">B4</f>
        <v>Revenue 102</v>
      </c>
      <c r="C15" t="str">
        <f t="shared" si="0"/>
        <v>Revenue</v>
      </c>
      <c r="D15">
        <f ca="1">ABS(D4+E4)</f>
        <v>701.63934426229503</v>
      </c>
    </row>
    <row r="16" spans="1:5" x14ac:dyDescent="0.3">
      <c r="A16">
        <f>A5</f>
        <v>2000</v>
      </c>
      <c r="B16" t="str">
        <f>B5</f>
        <v>Revenue 103</v>
      </c>
      <c r="C16" t="str">
        <f>C5</f>
        <v>Revenue</v>
      </c>
      <c r="D16">
        <f t="shared" ref="D16:D20" ca="1" si="1">ABS(D5+E5)</f>
        <v>0</v>
      </c>
    </row>
    <row r="17" spans="1:4" x14ac:dyDescent="0.3">
      <c r="A17">
        <f>A6</f>
        <v>3000</v>
      </c>
      <c r="B17" t="str">
        <f>B6</f>
        <v>Account Rec</v>
      </c>
      <c r="C17" t="str">
        <f>C6</f>
        <v>A/R</v>
      </c>
      <c r="D17">
        <f t="shared" ca="1" si="1"/>
        <v>1200</v>
      </c>
    </row>
    <row r="18" spans="1:4" x14ac:dyDescent="0.3">
      <c r="A18">
        <f t="shared" ref="A18:C18" si="2">A7</f>
        <v>4000</v>
      </c>
      <c r="B18" t="str">
        <f t="shared" si="2"/>
        <v>Account Rec</v>
      </c>
      <c r="C18" t="str">
        <f t="shared" si="2"/>
        <v>A/R</v>
      </c>
      <c r="D18">
        <f t="shared" ca="1" si="1"/>
        <v>600</v>
      </c>
    </row>
    <row r="19" spans="1:4" x14ac:dyDescent="0.3">
      <c r="A19">
        <f t="shared" ref="A19:C19" si="3">A8</f>
        <v>5000</v>
      </c>
      <c r="B19" t="str">
        <f t="shared" si="3"/>
        <v>Deferred Revenue 102</v>
      </c>
      <c r="C19" t="str">
        <f t="shared" si="3"/>
        <v>Deferred Revenue</v>
      </c>
      <c r="D19">
        <f t="shared" ca="1" si="1"/>
        <v>1098.360655737705</v>
      </c>
    </row>
    <row r="20" spans="1:4" x14ac:dyDescent="0.3">
      <c r="A20">
        <f t="shared" ref="A20:C20" si="4">A9</f>
        <v>6000</v>
      </c>
      <c r="B20" t="str">
        <f t="shared" si="4"/>
        <v>Deferred Revenue 103</v>
      </c>
      <c r="C20" t="str">
        <f t="shared" si="4"/>
        <v>Deferred Revenue</v>
      </c>
      <c r="D20">
        <f t="shared" ca="1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CA5A-7012-4EA8-A020-49F4B5295433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CEDB-30CF-4700-969D-7FAA42CBF9DB}">
  <sheetPr>
    <tabColor rgb="FFFF0000"/>
  </sheetPr>
  <dimension ref="A1:G2"/>
  <sheetViews>
    <sheetView workbookViewId="0">
      <selection activeCell="G2" sqref="G2"/>
    </sheetView>
  </sheetViews>
  <sheetFormatPr defaultRowHeight="14.4" x14ac:dyDescent="0.3"/>
  <sheetData>
    <row r="1" spans="1:7" x14ac:dyDescent="0.3">
      <c r="A1" s="1" t="s">
        <v>105</v>
      </c>
      <c r="B1" s="1" t="s">
        <v>54</v>
      </c>
      <c r="C1" s="1" t="s">
        <v>32</v>
      </c>
      <c r="D1" s="1" t="s">
        <v>33</v>
      </c>
      <c r="E1" s="1" t="s">
        <v>35</v>
      </c>
      <c r="F1" s="1" t="s">
        <v>77</v>
      </c>
      <c r="G1" s="1" t="s">
        <v>117</v>
      </c>
    </row>
    <row r="2" spans="1:7" x14ac:dyDescent="0.3">
      <c r="A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8A72-0C43-42B9-A327-08FBBCA541E4}">
  <sheetPr>
    <tabColor rgb="FF92D050"/>
  </sheetPr>
  <dimension ref="A1:D7"/>
  <sheetViews>
    <sheetView zoomScale="67" workbookViewId="0">
      <selection activeCell="A10" sqref="A10"/>
    </sheetView>
  </sheetViews>
  <sheetFormatPr defaultRowHeight="14.4" x14ac:dyDescent="0.3"/>
  <cols>
    <col min="2" max="2" width="42.5546875" customWidth="1"/>
    <col min="3" max="3" width="17.33203125" customWidth="1"/>
    <col min="4" max="4" width="19.33203125" customWidth="1"/>
  </cols>
  <sheetData>
    <row r="1" spans="1:4" x14ac:dyDescent="0.3">
      <c r="A1" s="1" t="s">
        <v>0</v>
      </c>
    </row>
    <row r="3" spans="1:4" x14ac:dyDescent="0.3">
      <c r="A3" s="1" t="s">
        <v>1</v>
      </c>
      <c r="B3" s="1" t="s">
        <v>2</v>
      </c>
      <c r="C3" s="1" t="s">
        <v>70</v>
      </c>
      <c r="D3" s="1" t="s">
        <v>106</v>
      </c>
    </row>
    <row r="4" spans="1:4" x14ac:dyDescent="0.3">
      <c r="A4">
        <v>1</v>
      </c>
      <c r="B4" t="s">
        <v>3</v>
      </c>
      <c r="C4">
        <v>0</v>
      </c>
      <c r="D4">
        <v>1</v>
      </c>
    </row>
    <row r="5" spans="1:4" x14ac:dyDescent="0.3">
      <c r="A5">
        <v>2</v>
      </c>
      <c r="B5" t="s">
        <v>4</v>
      </c>
      <c r="C5">
        <v>0</v>
      </c>
      <c r="D5">
        <v>1</v>
      </c>
    </row>
    <row r="6" spans="1:4" x14ac:dyDescent="0.3">
      <c r="A6">
        <v>3</v>
      </c>
      <c r="B6" t="s">
        <v>75</v>
      </c>
      <c r="C6">
        <v>1</v>
      </c>
      <c r="D6">
        <v>0</v>
      </c>
    </row>
    <row r="7" spans="1:4" x14ac:dyDescent="0.3">
      <c r="A7">
        <v>4</v>
      </c>
      <c r="B7" t="s">
        <v>76</v>
      </c>
      <c r="C7">
        <v>1</v>
      </c>
      <c r="D7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28CA-3D31-4BD9-B2C5-29FA9ADA07D3}">
  <sheetPr>
    <tabColor rgb="FF92D050"/>
  </sheetPr>
  <dimension ref="A1:D8"/>
  <sheetViews>
    <sheetView zoomScale="74" workbookViewId="0">
      <selection activeCell="A11" sqref="A11"/>
    </sheetView>
  </sheetViews>
  <sheetFormatPr defaultRowHeight="14.4" x14ac:dyDescent="0.3"/>
  <cols>
    <col min="2" max="2" width="27.44140625" customWidth="1"/>
    <col min="3" max="3" width="33.5546875" customWidth="1"/>
  </cols>
  <sheetData>
    <row r="1" spans="1:4" x14ac:dyDescent="0.3">
      <c r="A1" s="1" t="s">
        <v>0</v>
      </c>
    </row>
    <row r="2" spans="1:4" x14ac:dyDescent="0.3">
      <c r="A2" s="1" t="s">
        <v>1</v>
      </c>
      <c r="B2" s="1" t="s">
        <v>47</v>
      </c>
      <c r="C2" s="1" t="s">
        <v>30</v>
      </c>
      <c r="D2" s="1" t="s">
        <v>65</v>
      </c>
    </row>
    <row r="3" spans="1:4" x14ac:dyDescent="0.3">
      <c r="A3">
        <v>1</v>
      </c>
      <c r="B3" t="s">
        <v>48</v>
      </c>
      <c r="C3" t="s">
        <v>24</v>
      </c>
      <c r="D3">
        <v>1</v>
      </c>
    </row>
    <row r="4" spans="1:4" x14ac:dyDescent="0.3">
      <c r="A4">
        <v>2</v>
      </c>
      <c r="B4" t="s">
        <v>71</v>
      </c>
      <c r="C4" t="s">
        <v>72</v>
      </c>
      <c r="D4">
        <v>0</v>
      </c>
    </row>
    <row r="5" spans="1:4" x14ac:dyDescent="0.3">
      <c r="A5">
        <v>3</v>
      </c>
      <c r="B5" t="s">
        <v>73</v>
      </c>
      <c r="C5" t="s">
        <v>55</v>
      </c>
      <c r="D5">
        <v>0</v>
      </c>
    </row>
    <row r="6" spans="1:4" x14ac:dyDescent="0.3">
      <c r="A6">
        <v>4</v>
      </c>
      <c r="B6" t="s">
        <v>74</v>
      </c>
      <c r="C6" t="s">
        <v>84</v>
      </c>
      <c r="D6">
        <v>0</v>
      </c>
    </row>
    <row r="7" spans="1:4" x14ac:dyDescent="0.3">
      <c r="A7">
        <v>5</v>
      </c>
      <c r="B7" t="s">
        <v>78</v>
      </c>
      <c r="C7" t="s">
        <v>79</v>
      </c>
      <c r="D7">
        <v>0</v>
      </c>
    </row>
    <row r="8" spans="1:4" x14ac:dyDescent="0.3">
      <c r="A8">
        <v>6</v>
      </c>
      <c r="B8" t="s">
        <v>78</v>
      </c>
      <c r="C8" t="s">
        <v>92</v>
      </c>
      <c r="D8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AD74-B273-4877-8D52-2697CE797596}">
  <sheetPr>
    <tabColor rgb="FF92D050"/>
  </sheetPr>
  <dimension ref="A1:D7"/>
  <sheetViews>
    <sheetView zoomScale="66" workbookViewId="0">
      <selection activeCell="I3" sqref="I3"/>
    </sheetView>
  </sheetViews>
  <sheetFormatPr defaultRowHeight="14.4" x14ac:dyDescent="0.3"/>
  <cols>
    <col min="1" max="1" width="8.88671875" style="23"/>
    <col min="2" max="2" width="27.44140625" style="23" customWidth="1"/>
    <col min="3" max="3" width="33.5546875" style="23" customWidth="1"/>
    <col min="4" max="16384" width="8.88671875" style="23"/>
  </cols>
  <sheetData>
    <row r="1" spans="1:4" x14ac:dyDescent="0.3">
      <c r="A1" s="24" t="s">
        <v>0</v>
      </c>
    </row>
    <row r="2" spans="1:4" x14ac:dyDescent="0.3">
      <c r="A2" s="24" t="s">
        <v>1</v>
      </c>
      <c r="B2" s="24" t="s">
        <v>110</v>
      </c>
      <c r="C2" s="24" t="s">
        <v>111</v>
      </c>
      <c r="D2" s="24" t="s">
        <v>115</v>
      </c>
    </row>
    <row r="3" spans="1:4" x14ac:dyDescent="0.3">
      <c r="A3" s="23">
        <v>1</v>
      </c>
      <c r="B3" s="23">
        <f>Transactions!A4</f>
        <v>1</v>
      </c>
      <c r="C3" s="23" t="str">
        <f>Transactions!B4</f>
        <v>Revenue</v>
      </c>
      <c r="D3" s="23" t="s">
        <v>112</v>
      </c>
    </row>
    <row r="4" spans="1:4" x14ac:dyDescent="0.3">
      <c r="A4" s="23">
        <v>2</v>
      </c>
      <c r="B4" s="23">
        <f>Transactions!A5</f>
        <v>2</v>
      </c>
      <c r="C4" s="23" t="str">
        <f>Transactions!B5</f>
        <v>Invoice</v>
      </c>
      <c r="D4" s="23" t="s">
        <v>113</v>
      </c>
    </row>
    <row r="7" spans="1:4" x14ac:dyDescent="0.3">
      <c r="A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ED38-D7A5-4B7F-83FE-E4F83E1DD082}">
  <sheetPr>
    <tabColor rgb="FF92D050"/>
  </sheetPr>
  <dimension ref="A1:C5"/>
  <sheetViews>
    <sheetView workbookViewId="0">
      <selection activeCell="A7" sqref="A7"/>
    </sheetView>
  </sheetViews>
  <sheetFormatPr defaultRowHeight="14.4" x14ac:dyDescent="0.3"/>
  <cols>
    <col min="2" max="2" width="18.6640625" customWidth="1"/>
    <col min="3" max="3" width="17.44140625" customWidth="1"/>
  </cols>
  <sheetData>
    <row r="1" spans="1:3" x14ac:dyDescent="0.3">
      <c r="A1" s="1" t="s">
        <v>0</v>
      </c>
    </row>
    <row r="2" spans="1:3" x14ac:dyDescent="0.3">
      <c r="A2" s="1" t="s">
        <v>1</v>
      </c>
      <c r="B2" s="1" t="s">
        <v>6</v>
      </c>
      <c r="C2" s="1" t="s">
        <v>5</v>
      </c>
    </row>
    <row r="3" spans="1:3" x14ac:dyDescent="0.3">
      <c r="A3">
        <v>1</v>
      </c>
      <c r="B3" t="s">
        <v>3</v>
      </c>
      <c r="C3" t="s">
        <v>50</v>
      </c>
    </row>
    <row r="4" spans="1:3" x14ac:dyDescent="0.3">
      <c r="A4">
        <v>2</v>
      </c>
      <c r="B4" t="s">
        <v>7</v>
      </c>
      <c r="C4" t="s">
        <v>51</v>
      </c>
    </row>
    <row r="5" spans="1:3" x14ac:dyDescent="0.3">
      <c r="A5">
        <v>3</v>
      </c>
      <c r="B5" t="s">
        <v>21</v>
      </c>
      <c r="C5" t="s">
        <v>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1F1F-0AE8-4620-9672-DF7CF5BD0A12}">
  <sheetPr>
    <tabColor rgb="FF92D050"/>
  </sheetPr>
  <dimension ref="A1:H15"/>
  <sheetViews>
    <sheetView workbookViewId="0">
      <selection activeCell="A17" sqref="A17"/>
    </sheetView>
  </sheetViews>
  <sheetFormatPr defaultRowHeight="14.4" x14ac:dyDescent="0.3"/>
  <cols>
    <col min="1" max="1" width="21.77734375" customWidth="1"/>
    <col min="2" max="2" width="36.109375" customWidth="1"/>
    <col min="3" max="3" width="31.21875" customWidth="1"/>
    <col min="4" max="4" width="31.5546875" customWidth="1"/>
    <col min="5" max="5" width="25.6640625" customWidth="1"/>
    <col min="6" max="6" width="29.6640625" customWidth="1"/>
  </cols>
  <sheetData>
    <row r="1" spans="1:8" x14ac:dyDescent="0.3">
      <c r="A1" s="1" t="s">
        <v>0</v>
      </c>
      <c r="F1" s="1" t="s">
        <v>8</v>
      </c>
      <c r="G1" s="1" t="s">
        <v>8</v>
      </c>
    </row>
    <row r="2" spans="1:8" x14ac:dyDescent="0.3">
      <c r="B2" s="1"/>
      <c r="F2" s="1"/>
      <c r="G2" s="1"/>
    </row>
    <row r="3" spans="1:8" x14ac:dyDescent="0.3">
      <c r="A3" s="6" t="s">
        <v>49</v>
      </c>
      <c r="B3" s="9" t="s">
        <v>16</v>
      </c>
      <c r="C3" s="6" t="s">
        <v>11</v>
      </c>
      <c r="D3" s="5" t="s">
        <v>17</v>
      </c>
      <c r="E3" s="4" t="s">
        <v>18</v>
      </c>
      <c r="F3" s="7" t="s">
        <v>44</v>
      </c>
      <c r="G3" s="7" t="s">
        <v>20</v>
      </c>
      <c r="H3" s="12" t="s">
        <v>10</v>
      </c>
    </row>
    <row r="4" spans="1:8" x14ac:dyDescent="0.3">
      <c r="A4" s="13">
        <v>1</v>
      </c>
      <c r="B4" s="14" t="s">
        <v>3</v>
      </c>
      <c r="C4" s="14" t="s">
        <v>45</v>
      </c>
      <c r="D4" s="14" t="s">
        <v>14</v>
      </c>
      <c r="E4" s="14" t="s">
        <v>7</v>
      </c>
      <c r="F4" s="14" t="str">
        <f>CONCATENATE(E4,C4,D4)</f>
        <v>Deferred Revenueamount&gt;1Dr</v>
      </c>
      <c r="G4" s="14">
        <f>VLOOKUP(F4,GLRule!$A$2:$B$15,2,FALSE)</f>
        <v>5</v>
      </c>
      <c r="H4" s="14" t="str">
        <f>VLOOKUP(F4,GLRule!$A$3:$D$14,4,FALSE)</f>
        <v>Positive</v>
      </c>
    </row>
    <row r="5" spans="1:8" x14ac:dyDescent="0.3">
      <c r="A5" s="14">
        <v>2</v>
      </c>
      <c r="B5" s="14" t="s">
        <v>3</v>
      </c>
      <c r="C5" s="14" t="s">
        <v>45</v>
      </c>
      <c r="D5" s="14" t="s">
        <v>15</v>
      </c>
      <c r="E5" s="14" t="s">
        <v>3</v>
      </c>
      <c r="F5" s="14" t="str">
        <f t="shared" ref="F5:F7" si="0">CONCATENATE(E5,C5,D5)</f>
        <v>Revenueamount&gt;1Cr</v>
      </c>
      <c r="G5" s="14">
        <f>VLOOKUP(F5,GLRule!$A$2:$B$15,2,FALSE)</f>
        <v>2</v>
      </c>
      <c r="H5" s="14" t="str">
        <f>VLOOKUP(F5,GLRule!$A$3:$D$14,4,FALSE)</f>
        <v>Positive</v>
      </c>
    </row>
    <row r="6" spans="1:8" x14ac:dyDescent="0.3">
      <c r="A6" s="14">
        <v>3</v>
      </c>
      <c r="B6" s="14" t="s">
        <v>4</v>
      </c>
      <c r="C6" s="14" t="s">
        <v>45</v>
      </c>
      <c r="D6" s="14" t="s">
        <v>14</v>
      </c>
      <c r="E6" s="14" t="s">
        <v>21</v>
      </c>
      <c r="F6" s="14" t="str">
        <f t="shared" si="0"/>
        <v>A/Ramount&gt;1Dr</v>
      </c>
      <c r="G6" s="14">
        <f>VLOOKUP(F6,GLRule!$A$2:$B$15,2,FALSE)</f>
        <v>9</v>
      </c>
      <c r="H6" s="14" t="str">
        <f>VLOOKUP(F6,GLRule!$A$3:$D$14,4,FALSE)</f>
        <v>Positive</v>
      </c>
    </row>
    <row r="7" spans="1:8" x14ac:dyDescent="0.3">
      <c r="A7" s="14">
        <v>4</v>
      </c>
      <c r="B7" s="14" t="s">
        <v>4</v>
      </c>
      <c r="C7" s="14" t="s">
        <v>45</v>
      </c>
      <c r="D7" s="14" t="s">
        <v>15</v>
      </c>
      <c r="E7" s="14" t="s">
        <v>7</v>
      </c>
      <c r="F7" s="14" t="str">
        <f t="shared" si="0"/>
        <v>Deferred Revenueamount&gt;1Cr</v>
      </c>
      <c r="G7" s="14">
        <f>VLOOKUP(F7,GLRule!$A$2:$B$15,2,FALSE)</f>
        <v>6</v>
      </c>
      <c r="H7" s="14" t="str">
        <f>VLOOKUP(F7,GLRule!$A$3:$D$14,4,FALSE)</f>
        <v>Positive</v>
      </c>
    </row>
    <row r="8" spans="1:8" x14ac:dyDescent="0.3">
      <c r="A8" s="8" t="str">
        <f>_xlfn.CONCAT("R",A4)</f>
        <v>R1</v>
      </c>
      <c r="B8" s="8" t="str">
        <f>B4</f>
        <v>Revenue</v>
      </c>
      <c r="C8" s="8" t="str">
        <f>IF(C4="amount&gt;1","amount&lt;1","amount&gt;1")</f>
        <v>amount&lt;1</v>
      </c>
      <c r="D8" s="8" t="str">
        <f>IF(D4="Dr","Cr","Dr")</f>
        <v>Cr</v>
      </c>
      <c r="E8" s="8" t="str">
        <f>E4</f>
        <v>Deferred Revenue</v>
      </c>
      <c r="F8" s="8" t="str">
        <f>CONCATENATE(E8,C8,D8)</f>
        <v>Deferred Revenueamount&lt;1Cr</v>
      </c>
      <c r="G8" s="8">
        <f>VLOOKUP(F8,GLRule!$A$2:$B$15,2,FALSE)</f>
        <v>8</v>
      </c>
      <c r="H8" s="8" t="str">
        <f>VLOOKUP(F8,GLRule!$A$3:$D$14,4,FALSE)</f>
        <v>Negative</v>
      </c>
    </row>
    <row r="9" spans="1:8" x14ac:dyDescent="0.3">
      <c r="A9" s="8" t="str">
        <f>_xlfn.CONCAT("R",A5)</f>
        <v>R2</v>
      </c>
      <c r="B9" s="8" t="str">
        <f>B5</f>
        <v>Revenue</v>
      </c>
      <c r="C9" s="8" t="str">
        <f>IF(C5="amount&gt;1","amount&lt;1","amount&gt;1")</f>
        <v>amount&lt;1</v>
      </c>
      <c r="D9" s="8" t="str">
        <f>IF(D5="Dr","Cr","Dr")</f>
        <v>Dr</v>
      </c>
      <c r="E9" s="8" t="str">
        <f>E5</f>
        <v>Revenue</v>
      </c>
      <c r="F9" s="8" t="str">
        <f t="shared" ref="F9:F11" si="1">CONCATENATE(E9,C9,D9)</f>
        <v>Revenueamount&lt;1Dr</v>
      </c>
      <c r="G9" s="8">
        <f>VLOOKUP(F9,GLRule!$A$2:$B$15,2,FALSE)</f>
        <v>3</v>
      </c>
      <c r="H9" s="8" t="str">
        <f>VLOOKUP(F9,GLRule!$A$3:$D$14,4,FALSE)</f>
        <v>Negative</v>
      </c>
    </row>
    <row r="10" spans="1:8" x14ac:dyDescent="0.3">
      <c r="A10" s="8" t="str">
        <f>_xlfn.CONCAT("R",A6)</f>
        <v>R3</v>
      </c>
      <c r="B10" s="8" t="str">
        <f>B6</f>
        <v>Invoice</v>
      </c>
      <c r="C10" s="8" t="str">
        <f>IF(C6="amount&gt;1","amount&lt;1","amount&gt;1")</f>
        <v>amount&lt;1</v>
      </c>
      <c r="D10" s="8" t="str">
        <f>IF(D6="Dr","Cr","Dr")</f>
        <v>Cr</v>
      </c>
      <c r="E10" s="8" t="str">
        <f>E6</f>
        <v>A/R</v>
      </c>
      <c r="F10" s="8" t="str">
        <f t="shared" si="1"/>
        <v>A/Ramount&lt;1Cr</v>
      </c>
      <c r="G10" s="8">
        <f>VLOOKUP(F10,GLRule!$A$2:$B$15,2,FALSE)</f>
        <v>12</v>
      </c>
      <c r="H10" s="8" t="str">
        <f>VLOOKUP(F10,GLRule!$A$3:$D$14,4,FALSE)</f>
        <v>Negative</v>
      </c>
    </row>
    <row r="11" spans="1:8" x14ac:dyDescent="0.3">
      <c r="A11" s="8" t="str">
        <f>_xlfn.CONCAT("R",A7)</f>
        <v>R4</v>
      </c>
      <c r="B11" s="8" t="str">
        <f>B7</f>
        <v>Invoice</v>
      </c>
      <c r="C11" s="8" t="str">
        <f>IF(C7="amount&gt;1","amount&lt;1","amount&gt;1")</f>
        <v>amount&lt;1</v>
      </c>
      <c r="D11" s="8" t="str">
        <f>IF(D7="Dr","Cr","Dr")</f>
        <v>Dr</v>
      </c>
      <c r="E11" s="8" t="str">
        <f>E7</f>
        <v>Deferred Revenue</v>
      </c>
      <c r="F11" s="8" t="str">
        <f t="shared" si="1"/>
        <v>Deferred Revenueamount&lt;1Dr</v>
      </c>
      <c r="G11" s="8">
        <f>VLOOKUP(F11,GLRule!$A$2:$B$15,2,FALSE)</f>
        <v>7</v>
      </c>
      <c r="H11" s="8" t="str">
        <f>VLOOKUP(F11,GLRule!$A$3:$D$14,4,FALSE)</f>
        <v>Negative</v>
      </c>
    </row>
    <row r="14" spans="1:8" x14ac:dyDescent="0.3">
      <c r="A14" s="15" t="s">
        <v>0</v>
      </c>
    </row>
    <row r="15" spans="1:8" x14ac:dyDescent="0.3">
      <c r="A15" s="16" t="s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05F7-0B63-4F8D-93FA-9A52BE4AD812}">
  <sheetPr>
    <tabColor rgb="FF92D050"/>
  </sheetPr>
  <dimension ref="A1:D8"/>
  <sheetViews>
    <sheetView topLeftCell="A8" workbookViewId="0">
      <selection activeCell="A10" sqref="A10"/>
    </sheetView>
  </sheetViews>
  <sheetFormatPr defaultRowHeight="14.4" x14ac:dyDescent="0.3"/>
  <cols>
    <col min="1" max="1" width="27.109375" customWidth="1"/>
    <col min="2" max="2" width="22" customWidth="1"/>
    <col min="3" max="3" width="32.109375" customWidth="1"/>
  </cols>
  <sheetData>
    <row r="1" spans="1:4" x14ac:dyDescent="0.3">
      <c r="A1" s="1" t="s">
        <v>0</v>
      </c>
    </row>
    <row r="2" spans="1:4" x14ac:dyDescent="0.3">
      <c r="A2" s="1" t="s">
        <v>22</v>
      </c>
      <c r="B2" s="1" t="s">
        <v>23</v>
      </c>
      <c r="C2" s="1" t="s">
        <v>6</v>
      </c>
      <c r="D2" s="1" t="s">
        <v>24</v>
      </c>
    </row>
    <row r="3" spans="1:4" x14ac:dyDescent="0.3">
      <c r="A3">
        <v>1000</v>
      </c>
      <c r="B3" t="s">
        <v>25</v>
      </c>
      <c r="C3" t="s">
        <v>3</v>
      </c>
      <c r="D3">
        <v>102</v>
      </c>
    </row>
    <row r="4" spans="1:4" x14ac:dyDescent="0.3">
      <c r="A4">
        <v>2000</v>
      </c>
      <c r="B4" t="s">
        <v>26</v>
      </c>
      <c r="C4" t="s">
        <v>3</v>
      </c>
      <c r="D4">
        <v>103</v>
      </c>
    </row>
    <row r="5" spans="1:4" x14ac:dyDescent="0.3">
      <c r="A5">
        <v>3000</v>
      </c>
      <c r="B5" t="s">
        <v>27</v>
      </c>
      <c r="C5" t="s">
        <v>21</v>
      </c>
      <c r="D5">
        <v>102</v>
      </c>
    </row>
    <row r="6" spans="1:4" x14ac:dyDescent="0.3">
      <c r="A6">
        <v>4000</v>
      </c>
      <c r="B6" t="s">
        <v>27</v>
      </c>
      <c r="C6" t="s">
        <v>21</v>
      </c>
      <c r="D6">
        <v>103</v>
      </c>
    </row>
    <row r="7" spans="1:4" x14ac:dyDescent="0.3">
      <c r="A7">
        <v>5000</v>
      </c>
      <c r="B7" t="s">
        <v>28</v>
      </c>
      <c r="C7" t="s">
        <v>7</v>
      </c>
      <c r="D7">
        <v>102</v>
      </c>
    </row>
    <row r="8" spans="1:4" x14ac:dyDescent="0.3">
      <c r="A8">
        <v>6000</v>
      </c>
      <c r="B8" t="s">
        <v>29</v>
      </c>
      <c r="C8" t="s">
        <v>7</v>
      </c>
      <c r="D8">
        <v>103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FCDF-602B-4CCB-87F0-440DB84772D7}">
  <sheetPr>
    <tabColor rgb="FFFFC000"/>
  </sheetPr>
  <dimension ref="A1:G8"/>
  <sheetViews>
    <sheetView workbookViewId="0">
      <selection activeCell="A10" sqref="A10"/>
    </sheetView>
  </sheetViews>
  <sheetFormatPr defaultRowHeight="14.4" x14ac:dyDescent="0.3"/>
  <cols>
    <col min="1" max="1" width="24.77734375" customWidth="1"/>
    <col min="2" max="2" width="18.21875" customWidth="1"/>
    <col min="3" max="3" width="20.44140625" customWidth="1"/>
    <col min="5" max="5" width="22.77734375" customWidth="1"/>
    <col min="6" max="6" width="21.44140625" customWidth="1"/>
  </cols>
  <sheetData>
    <row r="1" spans="1:7" x14ac:dyDescent="0.3">
      <c r="A1" s="1" t="s">
        <v>43</v>
      </c>
    </row>
    <row r="2" spans="1:7" x14ac:dyDescent="0.3">
      <c r="A2" s="1" t="s">
        <v>54</v>
      </c>
      <c r="B2" s="1" t="s">
        <v>32</v>
      </c>
      <c r="C2" s="1" t="s">
        <v>33</v>
      </c>
      <c r="D2" s="1" t="s">
        <v>35</v>
      </c>
      <c r="E2" s="1" t="s">
        <v>77</v>
      </c>
      <c r="F2" s="17" t="s">
        <v>10</v>
      </c>
      <c r="G2" s="1"/>
    </row>
    <row r="3" spans="1:7" x14ac:dyDescent="0.3">
      <c r="A3" s="2">
        <v>45296</v>
      </c>
      <c r="B3" t="s">
        <v>34</v>
      </c>
      <c r="C3" t="s">
        <v>4</v>
      </c>
      <c r="D3">
        <v>1200</v>
      </c>
      <c r="E3">
        <v>1</v>
      </c>
      <c r="F3" s="18" t="str">
        <f>IF(D3&lt;0,"Negative","Positive")</f>
        <v>Positive</v>
      </c>
    </row>
    <row r="4" spans="1:7" x14ac:dyDescent="0.3">
      <c r="A4" s="2">
        <v>45296</v>
      </c>
      <c r="B4" t="s">
        <v>34</v>
      </c>
      <c r="C4" t="str">
        <f>Transactions!B6</f>
        <v>Sales Price</v>
      </c>
      <c r="D4">
        <v>100</v>
      </c>
      <c r="E4">
        <v>1</v>
      </c>
      <c r="F4" s="18" t="str">
        <f>IF(D4&lt;0,"Negative","Positive")</f>
        <v>Positive</v>
      </c>
    </row>
    <row r="5" spans="1:7" x14ac:dyDescent="0.3">
      <c r="A5" s="2">
        <v>45296</v>
      </c>
      <c r="B5" t="str">
        <f>B4</f>
        <v>SO1</v>
      </c>
      <c r="C5" t="str">
        <f>Transactions!B7</f>
        <v>Sales Quantity</v>
      </c>
      <c r="D5">
        <v>12</v>
      </c>
      <c r="E5">
        <v>1</v>
      </c>
      <c r="F5" s="18" t="str">
        <f>IF(D5&lt;0,"Negative","Positive")</f>
        <v>Positive</v>
      </c>
    </row>
    <row r="6" spans="1:7" x14ac:dyDescent="0.3">
      <c r="A6" s="2">
        <v>45296</v>
      </c>
      <c r="B6" t="s">
        <v>34</v>
      </c>
      <c r="C6" t="s">
        <v>4</v>
      </c>
      <c r="D6">
        <v>600</v>
      </c>
      <c r="E6">
        <v>2</v>
      </c>
      <c r="F6" s="18" t="str">
        <f t="shared" ref="F6:F8" si="0">IF(D6&lt;0,"Negative","Positive")</f>
        <v>Positive</v>
      </c>
    </row>
    <row r="7" spans="1:7" x14ac:dyDescent="0.3">
      <c r="A7" s="2">
        <v>45296</v>
      </c>
      <c r="B7" t="s">
        <v>34</v>
      </c>
      <c r="C7" t="str">
        <f>C4</f>
        <v>Sales Price</v>
      </c>
      <c r="D7">
        <v>50</v>
      </c>
      <c r="E7">
        <v>2</v>
      </c>
      <c r="F7" s="18" t="str">
        <f t="shared" si="0"/>
        <v>Positive</v>
      </c>
    </row>
    <row r="8" spans="1:7" x14ac:dyDescent="0.3">
      <c r="A8" s="2">
        <v>45296</v>
      </c>
      <c r="B8" t="str">
        <f>B7</f>
        <v>SO1</v>
      </c>
      <c r="C8" t="str">
        <f>C5</f>
        <v>Sales Quantity</v>
      </c>
      <c r="D8">
        <v>12</v>
      </c>
      <c r="E8">
        <v>2</v>
      </c>
      <c r="F8" s="18" t="str">
        <f t="shared" si="0"/>
        <v>Positive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CheatSheet</vt:lpstr>
      <vt:lpstr>UI-Home</vt:lpstr>
      <vt:lpstr>Transactions</vt:lpstr>
      <vt:lpstr>TransactionAttributes</vt:lpstr>
      <vt:lpstr>TransactionBalance</vt:lpstr>
      <vt:lpstr>AccountType</vt:lpstr>
      <vt:lpstr>Subledger Account Mappings</vt:lpstr>
      <vt:lpstr>ChartOfAccount</vt:lpstr>
      <vt:lpstr>TransactionInput</vt:lpstr>
      <vt:lpstr>InstrumentAttributeValue</vt:lpstr>
      <vt:lpstr>Model_Input</vt:lpstr>
      <vt:lpstr>Model_Calc</vt:lpstr>
      <vt:lpstr>Model_Output</vt:lpstr>
      <vt:lpstr>AccountingPeriod</vt:lpstr>
      <vt:lpstr>TransactionHistory</vt:lpstr>
      <vt:lpstr>InstrumentAttributeHistory</vt:lpstr>
      <vt:lpstr>GLEntry</vt:lpstr>
      <vt:lpstr>GLRule</vt:lpstr>
      <vt:lpstr>TrialBalance</vt:lpstr>
      <vt:lpstr>AdjustmentError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dcterms:created xsi:type="dcterms:W3CDTF">2024-02-24T05:30:44Z</dcterms:created>
  <dcterms:modified xsi:type="dcterms:W3CDTF">2024-03-01T12:01:49Z</dcterms:modified>
</cp:coreProperties>
</file>