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hmed\Desktop\Personal\AccountingCentral\"/>
    </mc:Choice>
  </mc:AlternateContent>
  <xr:revisionPtr revIDLastSave="0" documentId="13_ncr:1_{843B5F6D-FEA0-4B1C-80DE-66C83BED0E53}" xr6:coauthVersionLast="47" xr6:coauthVersionMax="47" xr10:uidLastSave="{00000000-0000-0000-0000-000000000000}"/>
  <bookViews>
    <workbookView xWindow="-108" yWindow="-108" windowWidth="23256" windowHeight="12576" firstSheet="29" activeTab="33" xr2:uid="{2D73F9B0-1F42-4AF3-889C-CC98CBADD685}"/>
  </bookViews>
  <sheets>
    <sheet name="CheatSheet" sheetId="19" r:id="rId1"/>
    <sheet name="UI-Home" sheetId="20" r:id="rId2"/>
    <sheet name="AccRules_Transactions" sheetId="1" r:id="rId3"/>
    <sheet name="AccRules_Attributes" sheetId="6" r:id="rId4"/>
    <sheet name="AccRules_Aggregation" sheetId="21" r:id="rId5"/>
    <sheet name="AccRules_AccountType" sheetId="2" r:id="rId6"/>
    <sheet name="Acc_Subledger Account Mappings" sheetId="4" r:id="rId7"/>
    <sheet name="Acc_ChartOfAccount" sheetId="5" r:id="rId8"/>
    <sheet name="TransactionInput" sheetId="7" r:id="rId9"/>
    <sheet name="InstrumentAttributeValue" sheetId="12" r:id="rId10"/>
    <sheet name="ModelParameters" sheetId="23" r:id="rId11"/>
    <sheet name="ModelName (1)" sheetId="37" r:id="rId12"/>
    <sheet name="Model_Input (1)" sheetId="29" r:id="rId13"/>
    <sheet name="Model_calc (1)" sheetId="30" r:id="rId14"/>
    <sheet name="Output_Attributes (1)" sheetId="24" r:id="rId15"/>
    <sheet name="Output_Transactions (1)" sheetId="31" r:id="rId16"/>
    <sheet name="AccountingPeriod (1)" sheetId="34" r:id="rId17"/>
    <sheet name="TransactionHistory (1)" sheetId="32" r:id="rId18"/>
    <sheet name="InstrumentAttributeHistory (1)" sheetId="33" r:id="rId19"/>
    <sheet name="AggregationHistory (1)" sheetId="35" r:id="rId20"/>
    <sheet name="ModelName (2)" sheetId="38" r:id="rId21"/>
    <sheet name="Model_Input (2)" sheetId="39" r:id="rId22"/>
    <sheet name="Model_calc (2)" sheetId="40" r:id="rId23"/>
    <sheet name="Output_Transactions (2)" sheetId="42" r:id="rId24"/>
    <sheet name="TransactionHistory (2)" sheetId="43" r:id="rId25"/>
    <sheet name="ModelName (3)" sheetId="44" r:id="rId26"/>
    <sheet name="Model_Input (3)" sheetId="16" r:id="rId27"/>
    <sheet name="Model_Calc (3)" sheetId="15" r:id="rId28"/>
    <sheet name="Output_Transactions (3)" sheetId="17" r:id="rId29"/>
    <sheet name="AccountingPeriod (3)" sheetId="11" r:id="rId30"/>
    <sheet name="TransactionHistory (3)" sheetId="14" r:id="rId31"/>
    <sheet name="InstrumentAttributeHistory (3)" sheetId="13" r:id="rId32"/>
    <sheet name="AggregationHistory (3)" sheetId="45" r:id="rId33"/>
    <sheet name="GLEntry" sheetId="8" r:id="rId34"/>
    <sheet name="GLRule" sheetId="3" state="hidden" r:id="rId35"/>
    <sheet name="TrialBalance" sheetId="9" r:id="rId36"/>
    <sheet name="Replay Example" sheetId="22" r:id="rId37"/>
    <sheet name="Reclass Example" sheetId="27" r:id="rId38"/>
    <sheet name="AdjustmentError" sheetId="18" r:id="rId39"/>
    <sheet name="Sheet1" sheetId="25" state="hidden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I9" i="8"/>
  <c r="E17" i="45"/>
  <c r="E16" i="45"/>
  <c r="E15" i="45"/>
  <c r="E14" i="45"/>
  <c r="E13" i="45"/>
  <c r="E12" i="45"/>
  <c r="E11" i="45"/>
  <c r="E10" i="45"/>
  <c r="E9" i="45"/>
  <c r="E8" i="45"/>
  <c r="E7" i="45"/>
  <c r="E6" i="45"/>
  <c r="B7" i="45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D17" i="45"/>
  <c r="D16" i="45"/>
  <c r="D15" i="45"/>
  <c r="D14" i="45"/>
  <c r="D13" i="45"/>
  <c r="D12" i="45"/>
  <c r="D11" i="45"/>
  <c r="D10" i="45"/>
  <c r="D9" i="45"/>
  <c r="D8" i="45"/>
  <c r="D7" i="45"/>
  <c r="D6" i="45"/>
  <c r="B6" i="45"/>
  <c r="A6" i="45"/>
  <c r="D5" i="45"/>
  <c r="E5" i="45" s="1"/>
  <c r="C5" i="45"/>
  <c r="A5" i="45"/>
  <c r="D4" i="45"/>
  <c r="E4" i="45" s="1"/>
  <c r="C4" i="45"/>
  <c r="B4" i="45"/>
  <c r="B5" i="45" s="1"/>
  <c r="D3" i="45"/>
  <c r="E3" i="45" s="1"/>
  <c r="C3" i="45"/>
  <c r="B3" i="45"/>
  <c r="H5" i="13"/>
  <c r="G6" i="13"/>
  <c r="G5" i="13"/>
  <c r="A6" i="13"/>
  <c r="A5" i="13"/>
  <c r="B3" i="13"/>
  <c r="B2" i="29" s="1"/>
  <c r="C3" i="13"/>
  <c r="C2" i="29" s="1"/>
  <c r="D3" i="13"/>
  <c r="D2" i="29" s="1"/>
  <c r="G3" i="13"/>
  <c r="F2" i="16" s="1"/>
  <c r="H3" i="13"/>
  <c r="I3" i="13"/>
  <c r="H2" i="16" s="1"/>
  <c r="J3" i="13"/>
  <c r="I2" i="16" s="1"/>
  <c r="I5" i="15" s="1"/>
  <c r="B7" i="15" s="1"/>
  <c r="A4" i="13"/>
  <c r="A3" i="13" s="1"/>
  <c r="B4" i="13"/>
  <c r="B5" i="13" s="1"/>
  <c r="C4" i="13"/>
  <c r="C6" i="13" s="1"/>
  <c r="D4" i="13"/>
  <c r="G4" i="13"/>
  <c r="H4" i="13"/>
  <c r="H6" i="13" s="1"/>
  <c r="I4" i="13"/>
  <c r="I6" i="13" s="1"/>
  <c r="J4" i="13"/>
  <c r="J6" i="13" s="1"/>
  <c r="E2" i="16"/>
  <c r="E5" i="15" s="1"/>
  <c r="G2" i="16"/>
  <c r="I31" i="14"/>
  <c r="I32" i="14" s="1"/>
  <c r="I33" i="14" s="1"/>
  <c r="I34" i="14" s="1"/>
  <c r="I35" i="14" s="1"/>
  <c r="I36" i="14" s="1"/>
  <c r="I37" i="14" s="1"/>
  <c r="I38" i="14" s="1"/>
  <c r="I39" i="14" s="1"/>
  <c r="I40" i="14" s="1"/>
  <c r="I30" i="14"/>
  <c r="H31" i="14"/>
  <c r="H32" i="14" s="1"/>
  <c r="H33" i="14" s="1"/>
  <c r="H34" i="14" s="1"/>
  <c r="H35" i="14" s="1"/>
  <c r="H36" i="14" s="1"/>
  <c r="H37" i="14" s="1"/>
  <c r="H38" i="14" s="1"/>
  <c r="H39" i="14" s="1"/>
  <c r="H40" i="14" s="1"/>
  <c r="H30" i="14"/>
  <c r="D40" i="14"/>
  <c r="D39" i="14"/>
  <c r="D38" i="14"/>
  <c r="D37" i="14"/>
  <c r="D36" i="14"/>
  <c r="D35" i="14"/>
  <c r="D34" i="14"/>
  <c r="D33" i="14"/>
  <c r="D32" i="14"/>
  <c r="D31" i="14"/>
  <c r="D30" i="14"/>
  <c r="A30" i="14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29" i="14"/>
  <c r="I29" i="14"/>
  <c r="H29" i="14"/>
  <c r="E29" i="14"/>
  <c r="D29" i="14"/>
  <c r="B3" i="16"/>
  <c r="D2" i="15" s="1"/>
  <c r="B10" i="15" s="1"/>
  <c r="D28" i="14"/>
  <c r="D27" i="14"/>
  <c r="D26" i="14"/>
  <c r="D25" i="14"/>
  <c r="D24" i="14"/>
  <c r="D23" i="14"/>
  <c r="D22" i="14"/>
  <c r="D21" i="14"/>
  <c r="D20" i="14"/>
  <c r="D19" i="14"/>
  <c r="D18" i="14"/>
  <c r="G17" i="14"/>
  <c r="A17" i="14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16" i="14"/>
  <c r="B16" i="14"/>
  <c r="G15" i="14"/>
  <c r="F15" i="14"/>
  <c r="E15" i="14"/>
  <c r="E16" i="14" s="1"/>
  <c r="D15" i="14"/>
  <c r="D16" i="14" s="1"/>
  <c r="C15" i="14"/>
  <c r="B15" i="14"/>
  <c r="B14" i="14"/>
  <c r="B13" i="14"/>
  <c r="B12" i="14"/>
  <c r="B11" i="14"/>
  <c r="B10" i="14"/>
  <c r="B9" i="14"/>
  <c r="A9" i="14"/>
  <c r="A10" i="14" s="1"/>
  <c r="A11" i="14" s="1"/>
  <c r="A12" i="14" s="1"/>
  <c r="A13" i="14" s="1"/>
  <c r="A14" i="14" s="1"/>
  <c r="A15" i="14" s="1"/>
  <c r="A16" i="14" s="1"/>
  <c r="B8" i="14"/>
  <c r="F7" i="14"/>
  <c r="E7" i="14"/>
  <c r="E8" i="14" s="1"/>
  <c r="B7" i="14"/>
  <c r="B6" i="14"/>
  <c r="G5" i="14"/>
  <c r="F5" i="14"/>
  <c r="F6" i="14" s="1"/>
  <c r="E5" i="14"/>
  <c r="E6" i="14" s="1"/>
  <c r="D5" i="14"/>
  <c r="D6" i="14" s="1"/>
  <c r="D7" i="14" s="1"/>
  <c r="D8" i="14" s="1"/>
  <c r="C5" i="14"/>
  <c r="C6" i="14" s="1"/>
  <c r="C7" i="14" s="1"/>
  <c r="C8" i="14" s="1"/>
  <c r="B5" i="14"/>
  <c r="G4" i="14"/>
  <c r="F4" i="14"/>
  <c r="E4" i="14"/>
  <c r="D4" i="14"/>
  <c r="C4" i="14"/>
  <c r="B4" i="14"/>
  <c r="G3" i="14"/>
  <c r="F3" i="14"/>
  <c r="I3" i="8" s="1"/>
  <c r="J4" i="8" s="1"/>
  <c r="E3" i="14"/>
  <c r="D3" i="14"/>
  <c r="C3" i="14"/>
  <c r="B3" i="14"/>
  <c r="E2" i="15"/>
  <c r="B2" i="15"/>
  <c r="D3" i="16"/>
  <c r="E16" i="43"/>
  <c r="D16" i="43"/>
  <c r="B16" i="43"/>
  <c r="B15" i="43"/>
  <c r="F15" i="43"/>
  <c r="E15" i="43"/>
  <c r="D15" i="43"/>
  <c r="C16" i="43"/>
  <c r="C15" i="43"/>
  <c r="A15" i="43"/>
  <c r="A16" i="43" s="1"/>
  <c r="B14" i="43"/>
  <c r="B13" i="43"/>
  <c r="B12" i="43"/>
  <c r="B11" i="43"/>
  <c r="B10" i="43"/>
  <c r="B9" i="43"/>
  <c r="A9" i="43"/>
  <c r="A10" i="43" s="1"/>
  <c r="A11" i="43" s="1"/>
  <c r="A12" i="43" s="1"/>
  <c r="A13" i="43" s="1"/>
  <c r="A14" i="43" s="1"/>
  <c r="F7" i="43"/>
  <c r="E7" i="43"/>
  <c r="E8" i="43" s="1"/>
  <c r="G5" i="43"/>
  <c r="F5" i="43"/>
  <c r="F6" i="43" s="1"/>
  <c r="E5" i="43"/>
  <c r="E6" i="43" s="1"/>
  <c r="D5" i="43"/>
  <c r="D6" i="43" s="1"/>
  <c r="D7" i="43" s="1"/>
  <c r="D8" i="43" s="1"/>
  <c r="C5" i="43"/>
  <c r="C6" i="43" s="1"/>
  <c r="B5" i="43"/>
  <c r="G4" i="43"/>
  <c r="F4" i="43"/>
  <c r="E4" i="43"/>
  <c r="D4" i="43"/>
  <c r="C4" i="43"/>
  <c r="B4" i="43"/>
  <c r="G3" i="43"/>
  <c r="F3" i="43"/>
  <c r="E3" i="43"/>
  <c r="D3" i="43"/>
  <c r="C3" i="43"/>
  <c r="B3" i="43"/>
  <c r="C5" i="32"/>
  <c r="C6" i="32" s="1"/>
  <c r="D5" i="32"/>
  <c r="D6" i="32" s="1"/>
  <c r="D7" i="32" s="1"/>
  <c r="D8" i="32" s="1"/>
  <c r="E5" i="32"/>
  <c r="F5" i="32"/>
  <c r="E6" i="32"/>
  <c r="F6" i="32"/>
  <c r="E7" i="32"/>
  <c r="E8" i="32" s="1"/>
  <c r="F7" i="32"/>
  <c r="A9" i="32"/>
  <c r="B9" i="32"/>
  <c r="A10" i="32"/>
  <c r="B10" i="32"/>
  <c r="A11" i="32"/>
  <c r="A12" i="32" s="1"/>
  <c r="A13" i="32" s="1"/>
  <c r="A14" i="32" s="1"/>
  <c r="B11" i="32"/>
  <c r="B12" i="32"/>
  <c r="B13" i="32"/>
  <c r="B14" i="32"/>
  <c r="D2" i="42"/>
  <c r="B2" i="42"/>
  <c r="B4" i="40"/>
  <c r="B7" i="40" s="1"/>
  <c r="B2" i="40"/>
  <c r="B1" i="40"/>
  <c r="C5" i="39"/>
  <c r="B5" i="39"/>
  <c r="B3" i="39"/>
  <c r="B2" i="39"/>
  <c r="F2" i="42"/>
  <c r="G15" i="43" s="1"/>
  <c r="C3" i="16" s="1"/>
  <c r="D2" i="40"/>
  <c r="D1" i="40"/>
  <c r="E2" i="39"/>
  <c r="G1" i="40" s="1"/>
  <c r="D2" i="39"/>
  <c r="D3" i="39" s="1"/>
  <c r="C4" i="39" s="1"/>
  <c r="D4" i="35"/>
  <c r="E4" i="35" s="1"/>
  <c r="B3" i="31"/>
  <c r="C3" i="31"/>
  <c r="E3" i="31"/>
  <c r="D3" i="31"/>
  <c r="B12" i="30"/>
  <c r="E6" i="29"/>
  <c r="D6" i="29"/>
  <c r="C6" i="29"/>
  <c r="B6" i="29"/>
  <c r="A5" i="35"/>
  <c r="C5" i="35"/>
  <c r="C4" i="35"/>
  <c r="C3" i="35"/>
  <c r="B3" i="33"/>
  <c r="B11" i="33" s="1"/>
  <c r="F9" i="33" s="1"/>
  <c r="C3" i="33"/>
  <c r="D3" i="33"/>
  <c r="D11" i="33" s="1"/>
  <c r="G3" i="33"/>
  <c r="H3" i="33"/>
  <c r="H11" i="33" s="1"/>
  <c r="I3" i="33"/>
  <c r="I11" i="33" s="1"/>
  <c r="J3" i="33"/>
  <c r="J11" i="33" s="1"/>
  <c r="A4" i="33"/>
  <c r="A12" i="33" s="1"/>
  <c r="B4" i="33"/>
  <c r="B12" i="33" s="1"/>
  <c r="F10" i="33" s="1"/>
  <c r="C4" i="33"/>
  <c r="C12" i="33" s="1"/>
  <c r="D4" i="33"/>
  <c r="D12" i="33" s="1"/>
  <c r="G4" i="33"/>
  <c r="G12" i="33" s="1"/>
  <c r="H4" i="33"/>
  <c r="H12" i="33" s="1"/>
  <c r="I4" i="33"/>
  <c r="I12" i="33" s="1"/>
  <c r="J4" i="33"/>
  <c r="J12" i="33" s="1"/>
  <c r="C11" i="33"/>
  <c r="G11" i="33"/>
  <c r="F7" i="34"/>
  <c r="F8" i="34" s="1"/>
  <c r="F9" i="34" s="1"/>
  <c r="F10" i="34" s="1"/>
  <c r="F11" i="34" s="1"/>
  <c r="F12" i="34" s="1"/>
  <c r="F13" i="34" s="1"/>
  <c r="F14" i="34" s="1"/>
  <c r="F15" i="34" s="1"/>
  <c r="F16" i="34" s="1"/>
  <c r="F17" i="34" s="1"/>
  <c r="D6" i="34"/>
  <c r="A6" i="34"/>
  <c r="E6" i="34" s="1"/>
  <c r="A7" i="34" s="1"/>
  <c r="G4" i="32"/>
  <c r="F4" i="32"/>
  <c r="E4" i="32"/>
  <c r="D4" i="32"/>
  <c r="C4" i="32"/>
  <c r="G3" i="32"/>
  <c r="F3" i="32"/>
  <c r="E3" i="32"/>
  <c r="D3" i="32"/>
  <c r="C3" i="32"/>
  <c r="B3" i="32" s="1"/>
  <c r="D2" i="31"/>
  <c r="E4" i="29"/>
  <c r="E5" i="29" s="1"/>
  <c r="G2" i="30" s="1"/>
  <c r="F2" i="31"/>
  <c r="F3" i="31" s="1"/>
  <c r="D4" i="29"/>
  <c r="D5" i="29" s="1"/>
  <c r="D2" i="30"/>
  <c r="D3" i="30" s="1"/>
  <c r="D1" i="30"/>
  <c r="B2" i="30"/>
  <c r="B1" i="30"/>
  <c r="B5" i="29"/>
  <c r="B4" i="29"/>
  <c r="I2" i="29"/>
  <c r="G2" i="29"/>
  <c r="E2" i="29"/>
  <c r="A36" i="22"/>
  <c r="B158" i="27"/>
  <c r="C159" i="27"/>
  <c r="E157" i="27"/>
  <c r="D156" i="27"/>
  <c r="B142" i="27"/>
  <c r="B141" i="27"/>
  <c r="B139" i="27"/>
  <c r="B138" i="27"/>
  <c r="G142" i="27"/>
  <c r="F142" i="27"/>
  <c r="E142" i="27"/>
  <c r="D142" i="27"/>
  <c r="H144" i="27"/>
  <c r="E150" i="27" s="1"/>
  <c r="G145" i="27"/>
  <c r="G144" i="27"/>
  <c r="E144" i="27"/>
  <c r="E149" i="27" s="1"/>
  <c r="D145" i="27"/>
  <c r="D144" i="27"/>
  <c r="C144" i="27"/>
  <c r="C145" i="27" s="1"/>
  <c r="D141" i="27"/>
  <c r="G138" i="27"/>
  <c r="G139" i="27" s="1"/>
  <c r="G141" i="27" s="1"/>
  <c r="F138" i="27"/>
  <c r="F139" i="27" s="1"/>
  <c r="F141" i="27" s="1"/>
  <c r="F144" i="27" s="1"/>
  <c r="F145" i="27" s="1"/>
  <c r="E138" i="27"/>
  <c r="C149" i="27" s="1"/>
  <c r="V40" i="27"/>
  <c r="V42" i="27" s="1"/>
  <c r="V41" i="27"/>
  <c r="V43" i="27" s="1"/>
  <c r="W41" i="27"/>
  <c r="W43" i="27" s="1"/>
  <c r="W40" i="27"/>
  <c r="W42" i="27" s="1"/>
  <c r="U41" i="27"/>
  <c r="U43" i="27" s="1"/>
  <c r="U40" i="27"/>
  <c r="U42" i="27" s="1"/>
  <c r="T43" i="27"/>
  <c r="T40" i="27"/>
  <c r="T42" i="27" s="1"/>
  <c r="S41" i="27"/>
  <c r="S40" i="27"/>
  <c r="S42" i="27" s="1"/>
  <c r="S43" i="27" s="1"/>
  <c r="R40" i="27"/>
  <c r="R41" i="27" s="1"/>
  <c r="R42" i="27" s="1"/>
  <c r="R43" i="27" s="1"/>
  <c r="B21" i="27"/>
  <c r="E139" i="27" s="1"/>
  <c r="K117" i="27"/>
  <c r="K134" i="27" s="1"/>
  <c r="J117" i="27"/>
  <c r="J134" i="27" s="1"/>
  <c r="K116" i="27"/>
  <c r="K133" i="27" s="1"/>
  <c r="J116" i="27"/>
  <c r="J133" i="27" s="1"/>
  <c r="K115" i="27"/>
  <c r="K132" i="27" s="1"/>
  <c r="J115" i="27"/>
  <c r="J132" i="27" s="1"/>
  <c r="K114" i="27"/>
  <c r="K131" i="27" s="1"/>
  <c r="J114" i="27"/>
  <c r="J131" i="27" s="1"/>
  <c r="K113" i="27"/>
  <c r="K130" i="27" s="1"/>
  <c r="J113" i="27"/>
  <c r="J130" i="27" s="1"/>
  <c r="K112" i="27"/>
  <c r="K129" i="27" s="1"/>
  <c r="J112" i="27"/>
  <c r="J129" i="27" s="1"/>
  <c r="K111" i="27"/>
  <c r="K128" i="27" s="1"/>
  <c r="J111" i="27"/>
  <c r="J128" i="27" s="1"/>
  <c r="H111" i="27"/>
  <c r="K110" i="27"/>
  <c r="K127" i="27" s="1"/>
  <c r="J110" i="27"/>
  <c r="J127" i="27" s="1"/>
  <c r="H110" i="27"/>
  <c r="K109" i="27"/>
  <c r="K126" i="27" s="1"/>
  <c r="J109" i="27"/>
  <c r="J126" i="27" s="1"/>
  <c r="H109" i="27"/>
  <c r="N108" i="27"/>
  <c r="N109" i="27" s="1"/>
  <c r="N110" i="27" s="1"/>
  <c r="N111" i="27" s="1"/>
  <c r="N112" i="27" s="1"/>
  <c r="N113" i="27" s="1"/>
  <c r="N114" i="27" s="1"/>
  <c r="N115" i="27" s="1"/>
  <c r="N116" i="27" s="1"/>
  <c r="N117" i="27" s="1"/>
  <c r="N118" i="27" s="1"/>
  <c r="N119" i="27" s="1"/>
  <c r="N120" i="27" s="1"/>
  <c r="M108" i="27"/>
  <c r="M109" i="27" s="1"/>
  <c r="M110" i="27" s="1"/>
  <c r="M111" i="27" s="1"/>
  <c r="M112" i="27" s="1"/>
  <c r="M113" i="27" s="1"/>
  <c r="M114" i="27" s="1"/>
  <c r="M115" i="27" s="1"/>
  <c r="M116" i="27" s="1"/>
  <c r="M117" i="27" s="1"/>
  <c r="M118" i="27" s="1"/>
  <c r="M119" i="27" s="1"/>
  <c r="M120" i="27" s="1"/>
  <c r="K108" i="27"/>
  <c r="K125" i="27" s="1"/>
  <c r="J108" i="27"/>
  <c r="J125" i="27" s="1"/>
  <c r="N107" i="27"/>
  <c r="M107" i="27"/>
  <c r="K107" i="27"/>
  <c r="K124" i="27" s="1"/>
  <c r="C139" i="27" s="1"/>
  <c r="C142" i="27" s="1"/>
  <c r="C141" i="27" s="1"/>
  <c r="J107" i="27"/>
  <c r="J124" i="27" s="1"/>
  <c r="N106" i="27"/>
  <c r="M106" i="27"/>
  <c r="K106" i="27"/>
  <c r="K123" i="27" s="1"/>
  <c r="C138" i="27" s="1"/>
  <c r="J106" i="27"/>
  <c r="J123" i="27" s="1"/>
  <c r="H93" i="27"/>
  <c r="H92" i="27"/>
  <c r="H91" i="27"/>
  <c r="N90" i="27"/>
  <c r="N91" i="27" s="1"/>
  <c r="N92" i="27" s="1"/>
  <c r="N93" i="27" s="1"/>
  <c r="N94" i="27" s="1"/>
  <c r="N95" i="27" s="1"/>
  <c r="N96" i="27" s="1"/>
  <c r="N97" i="27" s="1"/>
  <c r="N98" i="27" s="1"/>
  <c r="N99" i="27" s="1"/>
  <c r="N100" i="27" s="1"/>
  <c r="N101" i="27" s="1"/>
  <c r="N102" i="27" s="1"/>
  <c r="M90" i="27"/>
  <c r="M91" i="27" s="1"/>
  <c r="M92" i="27" s="1"/>
  <c r="M93" i="27" s="1"/>
  <c r="M94" i="27" s="1"/>
  <c r="M95" i="27" s="1"/>
  <c r="M96" i="27" s="1"/>
  <c r="M97" i="27" s="1"/>
  <c r="M98" i="27" s="1"/>
  <c r="M99" i="27" s="1"/>
  <c r="M100" i="27" s="1"/>
  <c r="M101" i="27" s="1"/>
  <c r="M102" i="27" s="1"/>
  <c r="K90" i="27"/>
  <c r="K91" i="27" s="1"/>
  <c r="K92" i="27" s="1"/>
  <c r="K93" i="27" s="1"/>
  <c r="K94" i="27" s="1"/>
  <c r="K95" i="27" s="1"/>
  <c r="K96" i="27" s="1"/>
  <c r="K97" i="27" s="1"/>
  <c r="K98" i="27" s="1"/>
  <c r="K99" i="27" s="1"/>
  <c r="K100" i="27" s="1"/>
  <c r="K101" i="27" s="1"/>
  <c r="K102" i="27" s="1"/>
  <c r="J90" i="27"/>
  <c r="J91" i="27" s="1"/>
  <c r="J92" i="27" s="1"/>
  <c r="J93" i="27" s="1"/>
  <c r="J94" i="27" s="1"/>
  <c r="J95" i="27" s="1"/>
  <c r="J96" i="27" s="1"/>
  <c r="J97" i="27" s="1"/>
  <c r="J98" i="27" s="1"/>
  <c r="J99" i="27" s="1"/>
  <c r="J100" i="27" s="1"/>
  <c r="J101" i="27" s="1"/>
  <c r="J102" i="27" s="1"/>
  <c r="N89" i="27"/>
  <c r="M89" i="27"/>
  <c r="K89" i="27"/>
  <c r="J89" i="27"/>
  <c r="N88" i="27"/>
  <c r="M88" i="27"/>
  <c r="K88" i="27"/>
  <c r="J88" i="27"/>
  <c r="N87" i="27"/>
  <c r="M87" i="27"/>
  <c r="K87" i="27"/>
  <c r="J87" i="27"/>
  <c r="N86" i="27"/>
  <c r="M86" i="27"/>
  <c r="K86" i="27"/>
  <c r="J86" i="27"/>
  <c r="N85" i="27"/>
  <c r="M85" i="27"/>
  <c r="K85" i="27"/>
  <c r="J85" i="27"/>
  <c r="N84" i="27"/>
  <c r="M84" i="27"/>
  <c r="K84" i="27"/>
  <c r="J84" i="27"/>
  <c r="N83" i="27"/>
  <c r="M83" i="27"/>
  <c r="K83" i="27"/>
  <c r="J83" i="27"/>
  <c r="N82" i="27"/>
  <c r="M82" i="27"/>
  <c r="K82" i="27"/>
  <c r="J82" i="27"/>
  <c r="N81" i="27"/>
  <c r="M81" i="27"/>
  <c r="K81" i="27"/>
  <c r="J81" i="27"/>
  <c r="N80" i="27"/>
  <c r="M80" i="27"/>
  <c r="K80" i="27"/>
  <c r="J80" i="27"/>
  <c r="N79" i="27"/>
  <c r="M79" i="27"/>
  <c r="K79" i="27"/>
  <c r="J79" i="27"/>
  <c r="B75" i="27"/>
  <c r="B74" i="27"/>
  <c r="B73" i="27"/>
  <c r="E73" i="27" s="1"/>
  <c r="B79" i="27" s="1"/>
  <c r="B72" i="27"/>
  <c r="N69" i="27"/>
  <c r="L69" i="27"/>
  <c r="K69" i="27"/>
  <c r="J69" i="27"/>
  <c r="I69" i="27"/>
  <c r="D69" i="27"/>
  <c r="C69" i="27"/>
  <c r="N68" i="27"/>
  <c r="M68" i="27"/>
  <c r="L68" i="27"/>
  <c r="K68" i="27"/>
  <c r="J68" i="27"/>
  <c r="I68" i="27"/>
  <c r="H68" i="27"/>
  <c r="H69" i="27" s="1"/>
  <c r="G68" i="27"/>
  <c r="F68" i="27"/>
  <c r="D68" i="27"/>
  <c r="C68" i="27"/>
  <c r="B68" i="27"/>
  <c r="B36" i="27"/>
  <c r="B35" i="27"/>
  <c r="B34" i="27"/>
  <c r="E34" i="27" s="1"/>
  <c r="B40" i="27" s="1"/>
  <c r="B33" i="27"/>
  <c r="F24" i="25"/>
  <c r="F25" i="25" s="1"/>
  <c r="E24" i="25"/>
  <c r="E25" i="25" s="1"/>
  <c r="D24" i="25"/>
  <c r="D25" i="25" s="1"/>
  <c r="C25" i="25"/>
  <c r="C24" i="25"/>
  <c r="D23" i="25"/>
  <c r="C23" i="25"/>
  <c r="D22" i="25"/>
  <c r="C22" i="25"/>
  <c r="G15" i="25"/>
  <c r="G12" i="25"/>
  <c r="G18" i="25" s="1"/>
  <c r="C5" i="25"/>
  <c r="J12" i="25"/>
  <c r="O12" i="25" s="1"/>
  <c r="J13" i="25" s="1"/>
  <c r="N13" i="25" s="1"/>
  <c r="K14" i="25" s="1"/>
  <c r="N14" i="25" s="1"/>
  <c r="K15" i="25" s="1"/>
  <c r="N15" i="25" s="1"/>
  <c r="K16" i="25" s="1"/>
  <c r="N16" i="25" s="1"/>
  <c r="K17" i="25" s="1"/>
  <c r="N17" i="25" s="1"/>
  <c r="K18" i="25" s="1"/>
  <c r="N18" i="25" s="1"/>
  <c r="K19" i="25" s="1"/>
  <c r="N19" i="25" s="1"/>
  <c r="K20" i="25" s="1"/>
  <c r="N20" i="25" s="1"/>
  <c r="K21" i="25" s="1"/>
  <c r="N21" i="25" s="1"/>
  <c r="K22" i="25" s="1"/>
  <c r="N22" i="25" s="1"/>
  <c r="L56" i="15"/>
  <c r="L55" i="15"/>
  <c r="K100" i="22"/>
  <c r="K97" i="22"/>
  <c r="K96" i="22"/>
  <c r="J100" i="22"/>
  <c r="J98" i="22"/>
  <c r="J96" i="22"/>
  <c r="K90" i="22"/>
  <c r="K91" i="22" s="1"/>
  <c r="K92" i="22" s="1"/>
  <c r="J90" i="22"/>
  <c r="J91" i="22" s="1"/>
  <c r="J92" i="22" s="1"/>
  <c r="K89" i="22"/>
  <c r="K106" i="22" s="1"/>
  <c r="J89" i="22"/>
  <c r="J106" i="22" s="1"/>
  <c r="K88" i="22"/>
  <c r="K105" i="22" s="1"/>
  <c r="J88" i="22"/>
  <c r="J105" i="22" s="1"/>
  <c r="K87" i="22"/>
  <c r="K104" i="22" s="1"/>
  <c r="J87" i="22"/>
  <c r="J104" i="22" s="1"/>
  <c r="K86" i="22"/>
  <c r="K103" i="22" s="1"/>
  <c r="J86" i="22"/>
  <c r="J103" i="22" s="1"/>
  <c r="K85" i="22"/>
  <c r="K102" i="22" s="1"/>
  <c r="J85" i="22"/>
  <c r="J102" i="22" s="1"/>
  <c r="K84" i="22"/>
  <c r="K101" i="22" s="1"/>
  <c r="J84" i="22"/>
  <c r="J101" i="22" s="1"/>
  <c r="K83" i="22"/>
  <c r="J83" i="22"/>
  <c r="K82" i="22"/>
  <c r="K99" i="22" s="1"/>
  <c r="J82" i="22"/>
  <c r="J99" i="22" s="1"/>
  <c r="K81" i="22"/>
  <c r="K98" i="22" s="1"/>
  <c r="J81" i="22"/>
  <c r="H83" i="22"/>
  <c r="H82" i="22"/>
  <c r="H81" i="22"/>
  <c r="N80" i="22"/>
  <c r="N81" i="22" s="1"/>
  <c r="N82" i="22" s="1"/>
  <c r="N83" i="22" s="1"/>
  <c r="N84" i="22" s="1"/>
  <c r="N85" i="22" s="1"/>
  <c r="N86" i="22" s="1"/>
  <c r="N87" i="22" s="1"/>
  <c r="N88" i="22" s="1"/>
  <c r="N89" i="22" s="1"/>
  <c r="N90" i="22" s="1"/>
  <c r="N91" i="22" s="1"/>
  <c r="N92" i="22" s="1"/>
  <c r="M80" i="22"/>
  <c r="M81" i="22" s="1"/>
  <c r="M82" i="22" s="1"/>
  <c r="M83" i="22" s="1"/>
  <c r="M84" i="22" s="1"/>
  <c r="M85" i="22" s="1"/>
  <c r="M86" i="22" s="1"/>
  <c r="M87" i="22" s="1"/>
  <c r="M88" i="22" s="1"/>
  <c r="M89" i="22" s="1"/>
  <c r="M90" i="22" s="1"/>
  <c r="M91" i="22" s="1"/>
  <c r="M92" i="22" s="1"/>
  <c r="K80" i="22"/>
  <c r="J80" i="22"/>
  <c r="J97" i="22" s="1"/>
  <c r="N79" i="22"/>
  <c r="M79" i="22"/>
  <c r="K79" i="22"/>
  <c r="J79" i="22"/>
  <c r="N78" i="22"/>
  <c r="M78" i="22"/>
  <c r="K78" i="22"/>
  <c r="K95" i="22" s="1"/>
  <c r="J78" i="22"/>
  <c r="J95" i="22" s="1"/>
  <c r="I78" i="22"/>
  <c r="N63" i="22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M63" i="22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K63" i="22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J63" i="22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I63" i="22"/>
  <c r="N41" i="22"/>
  <c r="M41" i="22"/>
  <c r="L41" i="22"/>
  <c r="K41" i="22"/>
  <c r="J41" i="22"/>
  <c r="I41" i="22"/>
  <c r="G41" i="22"/>
  <c r="D41" i="22"/>
  <c r="C41" i="22"/>
  <c r="F40" i="22"/>
  <c r="N40" i="22"/>
  <c r="M40" i="22"/>
  <c r="L40" i="22"/>
  <c r="K40" i="22"/>
  <c r="J40" i="22"/>
  <c r="I40" i="22"/>
  <c r="H40" i="22"/>
  <c r="H41" i="22" s="1"/>
  <c r="G40" i="22"/>
  <c r="D40" i="22"/>
  <c r="C40" i="22"/>
  <c r="B40" i="22"/>
  <c r="H65" i="22"/>
  <c r="H64" i="22"/>
  <c r="H63" i="22"/>
  <c r="N62" i="22"/>
  <c r="M62" i="22"/>
  <c r="K62" i="22"/>
  <c r="J62" i="22"/>
  <c r="N61" i="22"/>
  <c r="M61" i="22"/>
  <c r="K61" i="22"/>
  <c r="J61" i="22"/>
  <c r="N60" i="22"/>
  <c r="M60" i="22"/>
  <c r="K60" i="22"/>
  <c r="J60" i="22"/>
  <c r="N59" i="22"/>
  <c r="M59" i="22"/>
  <c r="K59" i="22"/>
  <c r="J59" i="22"/>
  <c r="N58" i="22"/>
  <c r="M58" i="22"/>
  <c r="K58" i="22"/>
  <c r="J58" i="22"/>
  <c r="N57" i="22"/>
  <c r="M57" i="22"/>
  <c r="K57" i="22"/>
  <c r="J57" i="22"/>
  <c r="N56" i="22"/>
  <c r="M56" i="22"/>
  <c r="K56" i="22"/>
  <c r="J56" i="22"/>
  <c r="N55" i="22"/>
  <c r="M55" i="22"/>
  <c r="K55" i="22"/>
  <c r="J55" i="22"/>
  <c r="N54" i="22"/>
  <c r="M54" i="22"/>
  <c r="K54" i="22"/>
  <c r="J54" i="22"/>
  <c r="N53" i="22"/>
  <c r="M53" i="22"/>
  <c r="K53" i="22"/>
  <c r="J53" i="22"/>
  <c r="N52" i="22"/>
  <c r="M52" i="22"/>
  <c r="K52" i="22"/>
  <c r="J52" i="22"/>
  <c r="N51" i="22"/>
  <c r="M51" i="22"/>
  <c r="K51" i="22"/>
  <c r="J51" i="22"/>
  <c r="B47" i="22"/>
  <c r="B46" i="22"/>
  <c r="B45" i="22"/>
  <c r="E45" i="22" s="1"/>
  <c r="B51" i="22" s="1"/>
  <c r="C51" i="22" s="1"/>
  <c r="B44" i="22"/>
  <c r="B12" i="22"/>
  <c r="B13" i="22"/>
  <c r="B11" i="22"/>
  <c r="E11" i="22" s="1"/>
  <c r="B17" i="22" s="1"/>
  <c r="I17" i="22" s="1"/>
  <c r="B10" i="22"/>
  <c r="F4" i="22"/>
  <c r="L9" i="15"/>
  <c r="C3" i="21"/>
  <c r="B4" i="21"/>
  <c r="B3" i="21"/>
  <c r="D2" i="17"/>
  <c r="E17" i="14" s="1"/>
  <c r="F2" i="17"/>
  <c r="I7" i="8"/>
  <c r="J8" i="8" s="1"/>
  <c r="D17" i="14"/>
  <c r="I9" i="15"/>
  <c r="F4" i="7"/>
  <c r="F11" i="4"/>
  <c r="F10" i="4"/>
  <c r="F9" i="4"/>
  <c r="F3" i="7"/>
  <c r="A11" i="4"/>
  <c r="A10" i="4"/>
  <c r="A9" i="4"/>
  <c r="A8" i="4"/>
  <c r="D11" i="4"/>
  <c r="D10" i="4"/>
  <c r="D9" i="4"/>
  <c r="D8" i="4"/>
  <c r="E11" i="4"/>
  <c r="E10" i="4"/>
  <c r="E9" i="4"/>
  <c r="E8" i="4"/>
  <c r="C11" i="4"/>
  <c r="C10" i="4"/>
  <c r="G10" i="4" s="1"/>
  <c r="C9" i="4"/>
  <c r="H9" i="4" s="1"/>
  <c r="C8" i="4"/>
  <c r="B11" i="4"/>
  <c r="B10" i="4"/>
  <c r="B9" i="4"/>
  <c r="B8" i="4"/>
  <c r="A6" i="11"/>
  <c r="B6" i="11" s="1"/>
  <c r="D6" i="11"/>
  <c r="E6" i="11" s="1"/>
  <c r="A7" i="11" s="1"/>
  <c r="D7" i="11" s="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C6" i="9"/>
  <c r="C5" i="9"/>
  <c r="C16" i="9" s="1"/>
  <c r="B5" i="9"/>
  <c r="A9" i="9"/>
  <c r="A20" i="9" s="1"/>
  <c r="A8" i="9"/>
  <c r="C8" i="9" s="1"/>
  <c r="C19" i="9" s="1"/>
  <c r="A7" i="9"/>
  <c r="C7" i="9" s="1"/>
  <c r="C18" i="9" s="1"/>
  <c r="A6" i="9"/>
  <c r="A17" i="9" s="1"/>
  <c r="A5" i="9"/>
  <c r="A4" i="9"/>
  <c r="C4" i="9" s="1"/>
  <c r="F10" i="8"/>
  <c r="F9" i="8"/>
  <c r="F8" i="8"/>
  <c r="F7" i="8"/>
  <c r="A14" i="3"/>
  <c r="A13" i="3"/>
  <c r="A12" i="3"/>
  <c r="A11" i="3"/>
  <c r="A10" i="3"/>
  <c r="A9" i="3"/>
  <c r="A8" i="3"/>
  <c r="A7" i="3"/>
  <c r="A6" i="3"/>
  <c r="A5" i="3"/>
  <c r="A4" i="3"/>
  <c r="A3" i="3"/>
  <c r="H4" i="8"/>
  <c r="H8" i="8" s="1"/>
  <c r="G8" i="8" s="1"/>
  <c r="A15" i="3"/>
  <c r="F7" i="4"/>
  <c r="H7" i="4" s="1"/>
  <c r="F6" i="4"/>
  <c r="H6" i="4" s="1"/>
  <c r="F5" i="4"/>
  <c r="H5" i="4" s="1"/>
  <c r="F4" i="4"/>
  <c r="H4" i="4" s="1"/>
  <c r="H6" i="8"/>
  <c r="H10" i="8" s="1"/>
  <c r="G10" i="8" s="1"/>
  <c r="H5" i="8"/>
  <c r="G5" i="8" s="1"/>
  <c r="F6" i="8"/>
  <c r="F5" i="8"/>
  <c r="A15" i="9"/>
  <c r="D4" i="8"/>
  <c r="D8" i="8" s="1"/>
  <c r="D3" i="8"/>
  <c r="D7" i="8" s="1"/>
  <c r="C3" i="8"/>
  <c r="C4" i="8" s="1"/>
  <c r="C5" i="8" s="1"/>
  <c r="C6" i="8" s="1"/>
  <c r="C7" i="8" s="1"/>
  <c r="C8" i="8" s="1"/>
  <c r="C9" i="8" s="1"/>
  <c r="C10" i="8" s="1"/>
  <c r="B4" i="9" l="1"/>
  <c r="A16" i="9"/>
  <c r="B6" i="9"/>
  <c r="B17" i="9" s="1"/>
  <c r="B6" i="13"/>
  <c r="F4" i="13" s="1"/>
  <c r="F3" i="13"/>
  <c r="D2" i="16"/>
  <c r="D5" i="15" s="1"/>
  <c r="D5" i="13"/>
  <c r="D6" i="13" s="1"/>
  <c r="H2" i="29"/>
  <c r="C2" i="16"/>
  <c r="C5" i="15" s="1"/>
  <c r="B2" i="16"/>
  <c r="B5" i="15" s="1"/>
  <c r="B8" i="15" s="1"/>
  <c r="D8" i="15" s="1"/>
  <c r="H9" i="15" s="1"/>
  <c r="B2" i="17" s="1"/>
  <c r="C17" i="14" s="1"/>
  <c r="C29" i="14" s="1"/>
  <c r="I5" i="13"/>
  <c r="C5" i="13"/>
  <c r="J5" i="13"/>
  <c r="F2" i="29"/>
  <c r="A3" i="8"/>
  <c r="A4" i="8" s="1"/>
  <c r="A7" i="8" s="1"/>
  <c r="G5" i="32"/>
  <c r="B6" i="43"/>
  <c r="C7" i="43"/>
  <c r="B6" i="32"/>
  <c r="C7" i="32"/>
  <c r="B5" i="32"/>
  <c r="D5" i="35"/>
  <c r="E5" i="35" s="1"/>
  <c r="E3" i="39"/>
  <c r="F1" i="40"/>
  <c r="B4" i="35"/>
  <c r="B5" i="35" s="1"/>
  <c r="B4" i="32"/>
  <c r="B3" i="35"/>
  <c r="B3" i="30"/>
  <c r="G1" i="30"/>
  <c r="B10" i="30" s="1"/>
  <c r="B2" i="31" s="1"/>
  <c r="F1" i="30"/>
  <c r="A3" i="33"/>
  <c r="A11" i="33" s="1"/>
  <c r="D7" i="34"/>
  <c r="E7" i="34" s="1"/>
  <c r="A8" i="34" s="1"/>
  <c r="C7" i="34"/>
  <c r="B7" i="34"/>
  <c r="B6" i="34"/>
  <c r="C6" i="34"/>
  <c r="B3" i="29"/>
  <c r="B5" i="30" s="1"/>
  <c r="B7" i="30" s="1"/>
  <c r="E2" i="24" s="1"/>
  <c r="K11" i="33" s="1"/>
  <c r="K12" i="33" s="1"/>
  <c r="D3" i="29"/>
  <c r="C3" i="29"/>
  <c r="E3" i="29"/>
  <c r="B6" i="30" s="1"/>
  <c r="F3" i="29"/>
  <c r="D5" i="30" s="1"/>
  <c r="D6" i="30" s="1"/>
  <c r="D7" i="30" s="1"/>
  <c r="F5" i="15"/>
  <c r="A14" i="15" s="1"/>
  <c r="G5" i="15"/>
  <c r="H5" i="15"/>
  <c r="E145" i="27"/>
  <c r="E141" i="27"/>
  <c r="D149" i="27"/>
  <c r="D138" i="27"/>
  <c r="B76" i="27"/>
  <c r="B37" i="27"/>
  <c r="J118" i="27"/>
  <c r="J119" i="27" s="1"/>
  <c r="J120" i="27" s="1"/>
  <c r="C40" i="27"/>
  <c r="B41" i="27"/>
  <c r="I40" i="27"/>
  <c r="B80" i="27"/>
  <c r="I91" i="27"/>
  <c r="C79" i="27"/>
  <c r="K118" i="27"/>
  <c r="K119" i="27" s="1"/>
  <c r="K120" i="27" s="1"/>
  <c r="L58" i="15"/>
  <c r="L59" i="15" s="1"/>
  <c r="L60" i="15" s="1"/>
  <c r="L61" i="15" s="1"/>
  <c r="L57" i="15"/>
  <c r="H17" i="22"/>
  <c r="I51" i="22"/>
  <c r="I81" i="22" s="1"/>
  <c r="B48" i="22"/>
  <c r="B52" i="22"/>
  <c r="I64" i="22" s="1"/>
  <c r="C17" i="22"/>
  <c r="B18" i="22"/>
  <c r="I18" i="22" s="1"/>
  <c r="I79" i="22" s="1"/>
  <c r="B14" i="22"/>
  <c r="C2" i="17"/>
  <c r="B14" i="15"/>
  <c r="B15" i="15" s="1"/>
  <c r="D5" i="8"/>
  <c r="D6" i="8" s="1"/>
  <c r="D10" i="8" s="1"/>
  <c r="C6" i="11"/>
  <c r="H11" i="4"/>
  <c r="G11" i="4"/>
  <c r="H10" i="4"/>
  <c r="G9" i="4"/>
  <c r="H9" i="8"/>
  <c r="G9" i="8" s="1"/>
  <c r="A19" i="9"/>
  <c r="E7" i="11"/>
  <c r="A8" i="11" s="1"/>
  <c r="B8" i="11" s="1"/>
  <c r="C7" i="11"/>
  <c r="B7" i="11"/>
  <c r="H3" i="8"/>
  <c r="G4" i="8"/>
  <c r="G6" i="8"/>
  <c r="B8" i="9"/>
  <c r="B19" i="9" s="1"/>
  <c r="B9" i="9"/>
  <c r="B20" i="9" s="1"/>
  <c r="F3" i="8"/>
  <c r="B15" i="9" s="1"/>
  <c r="F4" i="8"/>
  <c r="B7" i="9"/>
  <c r="B18" i="9" s="1"/>
  <c r="A18" i="9"/>
  <c r="C9" i="9"/>
  <c r="C20" i="9" s="1"/>
  <c r="C17" i="9"/>
  <c r="B16" i="9"/>
  <c r="G4" i="4"/>
  <c r="G6" i="4"/>
  <c r="G5" i="4"/>
  <c r="G7" i="4"/>
  <c r="B9" i="15" l="1"/>
  <c r="B11" i="15" s="1"/>
  <c r="B7" i="43"/>
  <c r="C8" i="43"/>
  <c r="B8" i="43" s="1"/>
  <c r="C8" i="32"/>
  <c r="B8" i="32" s="1"/>
  <c r="B7" i="32"/>
  <c r="C2" i="42"/>
  <c r="C2" i="24"/>
  <c r="D13" i="30"/>
  <c r="D12" i="30"/>
  <c r="E2" i="31"/>
  <c r="B13" i="30"/>
  <c r="C2" i="31"/>
  <c r="B2" i="24"/>
  <c r="D8" i="34"/>
  <c r="E8" i="34" s="1"/>
  <c r="A9" i="34" s="1"/>
  <c r="C8" i="34"/>
  <c r="B8" i="34"/>
  <c r="B145" i="27"/>
  <c r="B144" i="27" s="1"/>
  <c r="D79" i="27"/>
  <c r="L91" i="27" s="1"/>
  <c r="D40" i="27"/>
  <c r="L40" i="27" s="1"/>
  <c r="B81" i="27"/>
  <c r="I92" i="27"/>
  <c r="C80" i="27"/>
  <c r="D80" i="27" s="1"/>
  <c r="L92" i="27" s="1"/>
  <c r="H40" i="27"/>
  <c r="H123" i="27" s="1"/>
  <c r="I79" i="27"/>
  <c r="I109" i="27" s="1"/>
  <c r="I106" i="27"/>
  <c r="B42" i="27"/>
  <c r="I41" i="27"/>
  <c r="C41" i="27"/>
  <c r="D41" i="27" s="1"/>
  <c r="L41" i="27" s="1"/>
  <c r="X42" i="27" s="1"/>
  <c r="Y43" i="27" s="1"/>
  <c r="B16" i="15"/>
  <c r="H10" i="15"/>
  <c r="H95" i="22"/>
  <c r="H78" i="22"/>
  <c r="H18" i="22"/>
  <c r="I52" i="22"/>
  <c r="I82" i="22" s="1"/>
  <c r="D51" i="22"/>
  <c r="L63" i="22" s="1"/>
  <c r="B53" i="22"/>
  <c r="I65" i="22" s="1"/>
  <c r="C52" i="22"/>
  <c r="D52" i="22" s="1"/>
  <c r="L64" i="22" s="1"/>
  <c r="D17" i="22"/>
  <c r="L17" i="22" s="1"/>
  <c r="C18" i="22"/>
  <c r="D18" i="22" s="1"/>
  <c r="L18" i="22" s="1"/>
  <c r="B19" i="22"/>
  <c r="I19" i="22" s="1"/>
  <c r="I80" i="22" s="1"/>
  <c r="C14" i="15"/>
  <c r="B17" i="14"/>
  <c r="B29" i="14" s="1"/>
  <c r="A5" i="8"/>
  <c r="D9" i="8"/>
  <c r="C15" i="9"/>
  <c r="D8" i="11"/>
  <c r="E8" i="11" s="1"/>
  <c r="A9" i="11" s="1"/>
  <c r="C8" i="11"/>
  <c r="G3" i="8"/>
  <c r="H7" i="8"/>
  <c r="D3" i="35" l="1"/>
  <c r="C9" i="34"/>
  <c r="B9" i="34"/>
  <c r="D9" i="34"/>
  <c r="E9" i="34" s="1"/>
  <c r="A10" i="34" s="1"/>
  <c r="D14" i="15"/>
  <c r="L106" i="27"/>
  <c r="X40" i="27"/>
  <c r="I138" i="27" s="1"/>
  <c r="H139" i="27" s="1"/>
  <c r="L79" i="27"/>
  <c r="L109" i="27" s="1"/>
  <c r="C42" i="27"/>
  <c r="D42" i="27" s="1"/>
  <c r="L42" i="27" s="1"/>
  <c r="I42" i="27"/>
  <c r="B43" i="27"/>
  <c r="L80" i="27"/>
  <c r="L110" i="27" s="1"/>
  <c r="L107" i="27"/>
  <c r="I107" i="27"/>
  <c r="H41" i="27"/>
  <c r="H124" i="27" s="1"/>
  <c r="I80" i="27"/>
  <c r="I110" i="27" s="1"/>
  <c r="H106" i="27"/>
  <c r="C81" i="27"/>
  <c r="D81" i="27" s="1"/>
  <c r="L93" i="27" s="1"/>
  <c r="B82" i="27"/>
  <c r="I93" i="27"/>
  <c r="B17" i="15"/>
  <c r="H11" i="15"/>
  <c r="B3" i="17"/>
  <c r="C18" i="14" s="1"/>
  <c r="I10" i="15"/>
  <c r="H79" i="22"/>
  <c r="H96" i="22"/>
  <c r="L52" i="22"/>
  <c r="L82" i="22" s="1"/>
  <c r="L79" i="22"/>
  <c r="L51" i="22"/>
  <c r="L78" i="22"/>
  <c r="H19" i="22"/>
  <c r="I53" i="22"/>
  <c r="I83" i="22" s="1"/>
  <c r="C53" i="22"/>
  <c r="D53" i="22" s="1"/>
  <c r="L65" i="22" s="1"/>
  <c r="B54" i="22"/>
  <c r="I66" i="22" s="1"/>
  <c r="B20" i="22"/>
  <c r="I20" i="22" s="1"/>
  <c r="C19" i="22"/>
  <c r="D19" i="22" s="1"/>
  <c r="L19" i="22" s="1"/>
  <c r="C15" i="15"/>
  <c r="A9" i="8"/>
  <c r="A6" i="8"/>
  <c r="A8" i="8" s="1"/>
  <c r="C16" i="15"/>
  <c r="D16" i="15" s="1"/>
  <c r="K11" i="15" s="1"/>
  <c r="G7" i="8"/>
  <c r="D9" i="9" s="1"/>
  <c r="D7" i="9"/>
  <c r="C9" i="11"/>
  <c r="D9" i="11"/>
  <c r="E9" i="11" s="1"/>
  <c r="A10" i="11" s="1"/>
  <c r="B10" i="11" s="1"/>
  <c r="B9" i="11"/>
  <c r="B18" i="14" l="1"/>
  <c r="B30" i="14" s="1"/>
  <c r="C30" i="14"/>
  <c r="E3" i="35"/>
  <c r="B4" i="39"/>
  <c r="B3" i="40" s="1"/>
  <c r="B8" i="40" s="1"/>
  <c r="E2" i="42" s="1"/>
  <c r="B10" i="34"/>
  <c r="D10" i="34"/>
  <c r="E10" i="34" s="1"/>
  <c r="A11" i="34" s="1"/>
  <c r="C10" i="34"/>
  <c r="Y41" i="27"/>
  <c r="C150" i="27"/>
  <c r="I94" i="27"/>
  <c r="C82" i="27"/>
  <c r="D82" i="27" s="1"/>
  <c r="L94" i="27" s="1"/>
  <c r="B83" i="27"/>
  <c r="H107" i="27"/>
  <c r="B44" i="27"/>
  <c r="I43" i="27"/>
  <c r="C43" i="27"/>
  <c r="D43" i="27" s="1"/>
  <c r="L43" i="27" s="1"/>
  <c r="I81" i="27"/>
  <c r="I111" i="27" s="1"/>
  <c r="I108" i="27"/>
  <c r="H42" i="27"/>
  <c r="H125" i="27" s="1"/>
  <c r="L108" i="27"/>
  <c r="L81" i="27"/>
  <c r="L111" i="27" s="1"/>
  <c r="E4" i="17"/>
  <c r="F19" i="14" s="1"/>
  <c r="J10" i="15"/>
  <c r="D3" i="17" s="1"/>
  <c r="E18" i="14" s="1"/>
  <c r="E30" i="14" s="1"/>
  <c r="C3" i="17"/>
  <c r="B4" i="17"/>
  <c r="C19" i="14" s="1"/>
  <c r="I11" i="15"/>
  <c r="B18" i="15"/>
  <c r="H12" i="15"/>
  <c r="B5" i="17" s="1"/>
  <c r="C20" i="14" s="1"/>
  <c r="H97" i="22"/>
  <c r="H80" i="22"/>
  <c r="L81" i="22"/>
  <c r="L53" i="22"/>
  <c r="L83" i="22" s="1"/>
  <c r="L80" i="22"/>
  <c r="I54" i="22"/>
  <c r="H20" i="22"/>
  <c r="H98" i="22" s="1"/>
  <c r="C54" i="22"/>
  <c r="D54" i="22" s="1"/>
  <c r="L66" i="22" s="1"/>
  <c r="B55" i="22"/>
  <c r="I67" i="22" s="1"/>
  <c r="B21" i="22"/>
  <c r="I21" i="22" s="1"/>
  <c r="C20" i="22"/>
  <c r="D20" i="22" s="1"/>
  <c r="L20" i="22" s="1"/>
  <c r="L54" i="22" s="1"/>
  <c r="A10" i="8"/>
  <c r="D15" i="15"/>
  <c r="K10" i="15" s="1"/>
  <c r="C17" i="15"/>
  <c r="D17" i="15" s="1"/>
  <c r="K12" i="15" s="1"/>
  <c r="E5" i="17" s="1"/>
  <c r="F20" i="14" s="1"/>
  <c r="E6" i="9"/>
  <c r="E7" i="9"/>
  <c r="D18" i="9" s="1"/>
  <c r="E9" i="9"/>
  <c r="D20" i="9" s="1"/>
  <c r="E5" i="9"/>
  <c r="D5" i="9"/>
  <c r="D6" i="9"/>
  <c r="E8" i="9"/>
  <c r="D4" i="9"/>
  <c r="D10" i="11"/>
  <c r="E10" i="11" s="1"/>
  <c r="A11" i="11" s="1"/>
  <c r="C10" i="11"/>
  <c r="B20" i="14" l="1"/>
  <c r="B32" i="14" s="1"/>
  <c r="C32" i="14"/>
  <c r="C31" i="14"/>
  <c r="B19" i="14"/>
  <c r="B31" i="14" s="1"/>
  <c r="B11" i="34"/>
  <c r="D11" i="34"/>
  <c r="E11" i="34" s="1"/>
  <c r="A12" i="34" s="1"/>
  <c r="C11" i="34"/>
  <c r="I82" i="27"/>
  <c r="H43" i="27"/>
  <c r="H126" i="27" s="1"/>
  <c r="C44" i="27"/>
  <c r="D44" i="27" s="1"/>
  <c r="L44" i="27" s="1"/>
  <c r="L83" i="27" s="1"/>
  <c r="I44" i="27"/>
  <c r="B45" i="27"/>
  <c r="I95" i="27"/>
  <c r="C83" i="27"/>
  <c r="D83" i="27" s="1"/>
  <c r="L95" i="27" s="1"/>
  <c r="B84" i="27"/>
  <c r="L82" i="27"/>
  <c r="L112" i="27" s="1"/>
  <c r="H108" i="27"/>
  <c r="E3" i="17"/>
  <c r="F18" i="14" s="1"/>
  <c r="L10" i="15"/>
  <c r="B19" i="15"/>
  <c r="H13" i="15"/>
  <c r="B6" i="17" s="1"/>
  <c r="C21" i="14" s="1"/>
  <c r="I12" i="15"/>
  <c r="J11" i="15"/>
  <c r="C4" i="17"/>
  <c r="H54" i="22"/>
  <c r="I84" i="22"/>
  <c r="L84" i="22"/>
  <c r="I55" i="22"/>
  <c r="H21" i="22"/>
  <c r="H99" i="22" s="1"/>
  <c r="C55" i="22"/>
  <c r="D55" i="22" s="1"/>
  <c r="L67" i="22" s="1"/>
  <c r="B56" i="22"/>
  <c r="I68" i="22" s="1"/>
  <c r="B22" i="22"/>
  <c r="I22" i="22" s="1"/>
  <c r="C21" i="22"/>
  <c r="D21" i="22" s="1"/>
  <c r="L21" i="22" s="1"/>
  <c r="L55" i="22" s="1"/>
  <c r="C18" i="15"/>
  <c r="D17" i="9"/>
  <c r="D16" i="9"/>
  <c r="D11" i="11"/>
  <c r="E11" i="11" s="1"/>
  <c r="A12" i="11" s="1"/>
  <c r="C11" i="11"/>
  <c r="B11" i="11"/>
  <c r="B21" i="14" l="1"/>
  <c r="B33" i="14" s="1"/>
  <c r="C33" i="14"/>
  <c r="D12" i="34"/>
  <c r="E12" i="34" s="1"/>
  <c r="A13" i="34" s="1"/>
  <c r="C12" i="34"/>
  <c r="B12" i="34"/>
  <c r="B46" i="27"/>
  <c r="I45" i="27"/>
  <c r="C45" i="27"/>
  <c r="D45" i="27" s="1"/>
  <c r="L45" i="27" s="1"/>
  <c r="L84" i="27" s="1"/>
  <c r="I83" i="27"/>
  <c r="H44" i="27"/>
  <c r="H127" i="27" s="1"/>
  <c r="B85" i="27"/>
  <c r="C84" i="27"/>
  <c r="D84" i="27" s="1"/>
  <c r="L96" i="27" s="1"/>
  <c r="I96" i="27"/>
  <c r="L113" i="27"/>
  <c r="H82" i="27"/>
  <c r="I112" i="27"/>
  <c r="J12" i="15"/>
  <c r="D4" i="17"/>
  <c r="E19" i="14" s="1"/>
  <c r="E31" i="14" s="1"/>
  <c r="B20" i="15"/>
  <c r="H14" i="15"/>
  <c r="B7" i="17" s="1"/>
  <c r="C22" i="14" s="1"/>
  <c r="I13" i="15"/>
  <c r="C5" i="17"/>
  <c r="F3" i="17"/>
  <c r="G18" i="14" s="1"/>
  <c r="L11" i="15"/>
  <c r="H55" i="22"/>
  <c r="I85" i="22"/>
  <c r="L85" i="22"/>
  <c r="H66" i="22"/>
  <c r="H84" i="22"/>
  <c r="I56" i="22"/>
  <c r="H22" i="22"/>
  <c r="H100" i="22" s="1"/>
  <c r="B57" i="22"/>
  <c r="I69" i="22" s="1"/>
  <c r="C56" i="22"/>
  <c r="D56" i="22" s="1"/>
  <c r="L68" i="22" s="1"/>
  <c r="B23" i="22"/>
  <c r="I23" i="22" s="1"/>
  <c r="C22" i="22"/>
  <c r="D22" i="22" s="1"/>
  <c r="L22" i="22" s="1"/>
  <c r="D18" i="15"/>
  <c r="K13" i="15" s="1"/>
  <c r="E6" i="17" s="1"/>
  <c r="F21" i="14" s="1"/>
  <c r="C19" i="15"/>
  <c r="D19" i="15" s="1"/>
  <c r="K14" i="15" s="1"/>
  <c r="E7" i="17" s="1"/>
  <c r="F22" i="14" s="1"/>
  <c r="D12" i="11"/>
  <c r="E12" i="11" s="1"/>
  <c r="A13" i="11" s="1"/>
  <c r="D13" i="11" s="1"/>
  <c r="E13" i="11" s="1"/>
  <c r="A14" i="11" s="1"/>
  <c r="B12" i="11"/>
  <c r="C12" i="11"/>
  <c r="B22" i="14" l="1"/>
  <c r="B34" i="14" s="1"/>
  <c r="C34" i="14"/>
  <c r="D13" i="34"/>
  <c r="E13" i="34" s="1"/>
  <c r="A14" i="34" s="1"/>
  <c r="C13" i="34"/>
  <c r="B13" i="34"/>
  <c r="B86" i="27"/>
  <c r="C85" i="27"/>
  <c r="D85" i="27" s="1"/>
  <c r="L97" i="27" s="1"/>
  <c r="I97" i="27"/>
  <c r="H83" i="27"/>
  <c r="I113" i="27"/>
  <c r="L114" i="27"/>
  <c r="H45" i="27"/>
  <c r="H128" i="27" s="1"/>
  <c r="I84" i="27"/>
  <c r="C46" i="27"/>
  <c r="D46" i="27" s="1"/>
  <c r="L46" i="27" s="1"/>
  <c r="B47" i="27"/>
  <c r="I46" i="27"/>
  <c r="H94" i="27"/>
  <c r="H112" i="27"/>
  <c r="L12" i="15"/>
  <c r="F4" i="17"/>
  <c r="I14" i="15"/>
  <c r="C6" i="17"/>
  <c r="B21" i="15"/>
  <c r="H15" i="15"/>
  <c r="B8" i="17" s="1"/>
  <c r="C23" i="14" s="1"/>
  <c r="J13" i="15"/>
  <c r="D5" i="17"/>
  <c r="E20" i="14" s="1"/>
  <c r="E32" i="14" s="1"/>
  <c r="H56" i="22"/>
  <c r="I86" i="22"/>
  <c r="L56" i="22"/>
  <c r="H67" i="22"/>
  <c r="H85" i="22"/>
  <c r="I57" i="22"/>
  <c r="H23" i="22"/>
  <c r="H101" i="22" s="1"/>
  <c r="C57" i="22"/>
  <c r="D57" i="22" s="1"/>
  <c r="L69" i="22" s="1"/>
  <c r="B58" i="22"/>
  <c r="I70" i="22" s="1"/>
  <c r="B24" i="22"/>
  <c r="I24" i="22" s="1"/>
  <c r="C23" i="22"/>
  <c r="D23" i="22" s="1"/>
  <c r="L23" i="22" s="1"/>
  <c r="L57" i="22" s="1"/>
  <c r="L87" i="22" s="1"/>
  <c r="C20" i="15"/>
  <c r="C13" i="11"/>
  <c r="B13" i="11"/>
  <c r="D14" i="11"/>
  <c r="E14" i="11" s="1"/>
  <c r="A15" i="11" s="1"/>
  <c r="B14" i="11"/>
  <c r="C14" i="11"/>
  <c r="C35" i="14" l="1"/>
  <c r="B23" i="14"/>
  <c r="B35" i="14" s="1"/>
  <c r="G19" i="14"/>
  <c r="G7" i="14"/>
  <c r="G7" i="32"/>
  <c r="G7" i="43"/>
  <c r="D14" i="34"/>
  <c r="E14" i="34" s="1"/>
  <c r="A15" i="34" s="1"/>
  <c r="C14" i="34"/>
  <c r="B14" i="34"/>
  <c r="I85" i="27"/>
  <c r="H46" i="27"/>
  <c r="H129" i="27" s="1"/>
  <c r="I114" i="27"/>
  <c r="H84" i="27"/>
  <c r="L85" i="27"/>
  <c r="L115" i="27" s="1"/>
  <c r="H113" i="27"/>
  <c r="H95" i="27"/>
  <c r="C86" i="27"/>
  <c r="D86" i="27" s="1"/>
  <c r="L98" i="27" s="1"/>
  <c r="B87" i="27"/>
  <c r="I98" i="27"/>
  <c r="B48" i="27"/>
  <c r="I47" i="27"/>
  <c r="C47" i="27"/>
  <c r="D47" i="27" s="1"/>
  <c r="L47" i="27" s="1"/>
  <c r="L86" i="27" s="1"/>
  <c r="B22" i="15"/>
  <c r="H16" i="15"/>
  <c r="B9" i="17" s="1"/>
  <c r="C24" i="14" s="1"/>
  <c r="I15" i="15"/>
  <c r="C7" i="17"/>
  <c r="J14" i="15"/>
  <c r="D6" i="17"/>
  <c r="E21" i="14" s="1"/>
  <c r="E33" i="14" s="1"/>
  <c r="L13" i="15"/>
  <c r="F5" i="17"/>
  <c r="G20" i="14" s="1"/>
  <c r="H57" i="22"/>
  <c r="I87" i="22"/>
  <c r="L86" i="22"/>
  <c r="H68" i="22"/>
  <c r="H86" i="22"/>
  <c r="I58" i="22"/>
  <c r="H24" i="22"/>
  <c r="H102" i="22" s="1"/>
  <c r="B59" i="22"/>
  <c r="I71" i="22" s="1"/>
  <c r="C58" i="22"/>
  <c r="D58" i="22" s="1"/>
  <c r="L70" i="22" s="1"/>
  <c r="B25" i="22"/>
  <c r="I25" i="22" s="1"/>
  <c r="C24" i="22"/>
  <c r="D24" i="22" s="1"/>
  <c r="L24" i="22" s="1"/>
  <c r="L58" i="22" s="1"/>
  <c r="D20" i="15"/>
  <c r="K15" i="15" s="1"/>
  <c r="E8" i="17" s="1"/>
  <c r="F23" i="14" s="1"/>
  <c r="C21" i="15"/>
  <c r="D21" i="15" s="1"/>
  <c r="K16" i="15" s="1"/>
  <c r="E9" i="17" s="1"/>
  <c r="F24" i="14" s="1"/>
  <c r="D15" i="11"/>
  <c r="E15" i="11" s="1"/>
  <c r="A16" i="11" s="1"/>
  <c r="B15" i="11"/>
  <c r="C15" i="11"/>
  <c r="B24" i="14" l="1"/>
  <c r="B36" i="14" s="1"/>
  <c r="C36" i="14"/>
  <c r="B15" i="34"/>
  <c r="C15" i="34"/>
  <c r="D15" i="34"/>
  <c r="E15" i="34" s="1"/>
  <c r="A16" i="34" s="1"/>
  <c r="I99" i="27"/>
  <c r="C87" i="27"/>
  <c r="D87" i="27" s="1"/>
  <c r="L99" i="27" s="1"/>
  <c r="B88" i="27"/>
  <c r="H96" i="27"/>
  <c r="H114" i="27"/>
  <c r="L116" i="27"/>
  <c r="I86" i="27"/>
  <c r="H47" i="27"/>
  <c r="H130" i="27" s="1"/>
  <c r="H85" i="27"/>
  <c r="I115" i="27"/>
  <c r="C48" i="27"/>
  <c r="D48" i="27" s="1"/>
  <c r="L48" i="27" s="1"/>
  <c r="L87" i="27" s="1"/>
  <c r="I48" i="27"/>
  <c r="B49" i="27"/>
  <c r="L14" i="15"/>
  <c r="F6" i="17"/>
  <c r="G21" i="14" s="1"/>
  <c r="J15" i="15"/>
  <c r="D7" i="17"/>
  <c r="E22" i="14" s="1"/>
  <c r="E34" i="14" s="1"/>
  <c r="I16" i="15"/>
  <c r="C8" i="17"/>
  <c r="B23" i="15"/>
  <c r="H17" i="15"/>
  <c r="B10" i="17" s="1"/>
  <c r="C25" i="14" s="1"/>
  <c r="H58" i="22"/>
  <c r="I88" i="22"/>
  <c r="L88" i="22"/>
  <c r="H69" i="22"/>
  <c r="H87" i="22"/>
  <c r="I59" i="22"/>
  <c r="H25" i="22"/>
  <c r="H103" i="22" s="1"/>
  <c r="B60" i="22"/>
  <c r="I72" i="22" s="1"/>
  <c r="C59" i="22"/>
  <c r="D59" i="22" s="1"/>
  <c r="L71" i="22" s="1"/>
  <c r="B26" i="22"/>
  <c r="I26" i="22" s="1"/>
  <c r="C25" i="22"/>
  <c r="D25" i="22" s="1"/>
  <c r="L25" i="22" s="1"/>
  <c r="L59" i="22" s="1"/>
  <c r="L89" i="22" s="1"/>
  <c r="C22" i="15"/>
  <c r="D22" i="15" s="1"/>
  <c r="K17" i="15" s="1"/>
  <c r="E10" i="17" s="1"/>
  <c r="F25" i="14" s="1"/>
  <c r="D16" i="11"/>
  <c r="E16" i="11" s="1"/>
  <c r="A17" i="11" s="1"/>
  <c r="C16" i="11"/>
  <c r="B16" i="11"/>
  <c r="B25" i="14" l="1"/>
  <c r="B37" i="14" s="1"/>
  <c r="C37" i="14"/>
  <c r="B16" i="34"/>
  <c r="D16" i="34"/>
  <c r="E16" i="34" s="1"/>
  <c r="A17" i="34" s="1"/>
  <c r="C16" i="34"/>
  <c r="L117" i="27"/>
  <c r="C88" i="27"/>
  <c r="D88" i="27" s="1"/>
  <c r="L100" i="27" s="1"/>
  <c r="I100" i="27"/>
  <c r="B89" i="27"/>
  <c r="B50" i="27"/>
  <c r="I49" i="27"/>
  <c r="C49" i="27"/>
  <c r="D49" i="27" s="1"/>
  <c r="L49" i="27" s="1"/>
  <c r="L88" i="27" s="1"/>
  <c r="I87" i="27"/>
  <c r="H48" i="27"/>
  <c r="H131" i="27" s="1"/>
  <c r="H97" i="27"/>
  <c r="H115" i="27"/>
  <c r="I116" i="27"/>
  <c r="H86" i="27"/>
  <c r="B24" i="15"/>
  <c r="H18" i="15"/>
  <c r="B11" i="17" s="1"/>
  <c r="C26" i="14" s="1"/>
  <c r="I17" i="15"/>
  <c r="C9" i="17"/>
  <c r="J16" i="15"/>
  <c r="D8" i="17"/>
  <c r="E23" i="14" s="1"/>
  <c r="E35" i="14" s="1"/>
  <c r="L15" i="15"/>
  <c r="F7" i="17"/>
  <c r="G22" i="14" s="1"/>
  <c r="H59" i="22"/>
  <c r="I89" i="22"/>
  <c r="H70" i="22"/>
  <c r="H88" i="22"/>
  <c r="H26" i="22"/>
  <c r="H104" i="22" s="1"/>
  <c r="I60" i="22"/>
  <c r="B61" i="22"/>
  <c r="I73" i="22" s="1"/>
  <c r="C60" i="22"/>
  <c r="D60" i="22" s="1"/>
  <c r="L72" i="22" s="1"/>
  <c r="B27" i="22"/>
  <c r="I27" i="22" s="1"/>
  <c r="C26" i="22"/>
  <c r="D26" i="22" s="1"/>
  <c r="L26" i="22" s="1"/>
  <c r="L60" i="22" s="1"/>
  <c r="C23" i="15"/>
  <c r="D17" i="11"/>
  <c r="E17" i="11" s="1"/>
  <c r="B17" i="11"/>
  <c r="C17" i="11"/>
  <c r="B26" i="14" l="1"/>
  <c r="B38" i="14" s="1"/>
  <c r="C38" i="14"/>
  <c r="D17" i="34"/>
  <c r="E17" i="34" s="1"/>
  <c r="C17" i="34"/>
  <c r="B17" i="34"/>
  <c r="L118" i="27"/>
  <c r="C50" i="27"/>
  <c r="D50" i="27" s="1"/>
  <c r="L50" i="27" s="1"/>
  <c r="L89" i="27" s="1"/>
  <c r="I50" i="27"/>
  <c r="B51" i="27"/>
  <c r="I101" i="27"/>
  <c r="C89" i="27"/>
  <c r="D89" i="27" s="1"/>
  <c r="L101" i="27" s="1"/>
  <c r="B90" i="27"/>
  <c r="I88" i="27"/>
  <c r="H49" i="27"/>
  <c r="H132" i="27" s="1"/>
  <c r="H87" i="27"/>
  <c r="I117" i="27"/>
  <c r="H116" i="27"/>
  <c r="H98" i="27"/>
  <c r="L16" i="15"/>
  <c r="F8" i="17"/>
  <c r="G23" i="14" s="1"/>
  <c r="I18" i="15"/>
  <c r="C10" i="17"/>
  <c r="J17" i="15"/>
  <c r="D9" i="17"/>
  <c r="E24" i="14" s="1"/>
  <c r="E36" i="14" s="1"/>
  <c r="B25" i="15"/>
  <c r="C25" i="15" s="1"/>
  <c r="D25" i="15" s="1"/>
  <c r="K20" i="15" s="1"/>
  <c r="E13" i="17" s="1"/>
  <c r="F28" i="14" s="1"/>
  <c r="H19" i="15"/>
  <c r="B12" i="17" s="1"/>
  <c r="C27" i="14" s="1"/>
  <c r="H60" i="22"/>
  <c r="I90" i="22"/>
  <c r="H71" i="22"/>
  <c r="H89" i="22"/>
  <c r="L90" i="22"/>
  <c r="H27" i="22"/>
  <c r="H105" i="22" s="1"/>
  <c r="I61" i="22"/>
  <c r="C61" i="22"/>
  <c r="D61" i="22" s="1"/>
  <c r="L73" i="22" s="1"/>
  <c r="B62" i="22"/>
  <c r="B28" i="22"/>
  <c r="C27" i="22"/>
  <c r="D27" i="22" s="1"/>
  <c r="L27" i="22" s="1"/>
  <c r="L61" i="22" s="1"/>
  <c r="L91" i="22" s="1"/>
  <c r="D23" i="15"/>
  <c r="K18" i="15" s="1"/>
  <c r="E11" i="17" s="1"/>
  <c r="F26" i="14" s="1"/>
  <c r="C24" i="15"/>
  <c r="D24" i="15" s="1"/>
  <c r="K19" i="15" s="1"/>
  <c r="E12" i="17" s="1"/>
  <c r="F27" i="14" s="1"/>
  <c r="G17" i="11"/>
  <c r="G16" i="11"/>
  <c r="G8" i="11"/>
  <c r="G12" i="11"/>
  <c r="G10" i="11"/>
  <c r="G9" i="11"/>
  <c r="G7" i="11"/>
  <c r="G15" i="11"/>
  <c r="G14" i="11"/>
  <c r="G13" i="11"/>
  <c r="G11" i="11"/>
  <c r="G6" i="11"/>
  <c r="F8" i="4"/>
  <c r="B27" i="14" l="1"/>
  <c r="B39" i="14" s="1"/>
  <c r="C39" i="14"/>
  <c r="G17" i="34"/>
  <c r="G10" i="34"/>
  <c r="G15" i="34"/>
  <c r="G8" i="34"/>
  <c r="G16" i="34"/>
  <c r="G13" i="34"/>
  <c r="G11" i="34"/>
  <c r="G6" i="34"/>
  <c r="G9" i="34"/>
  <c r="G7" i="34"/>
  <c r="G12" i="34"/>
  <c r="G14" i="34"/>
  <c r="H88" i="27"/>
  <c r="I118" i="27"/>
  <c r="I102" i="27"/>
  <c r="C90" i="27"/>
  <c r="D90" i="27" s="1"/>
  <c r="L102" i="27" s="1"/>
  <c r="H99" i="27"/>
  <c r="H117" i="27"/>
  <c r="I51" i="27"/>
  <c r="C51" i="27"/>
  <c r="D51" i="27" s="1"/>
  <c r="L51" i="27" s="1"/>
  <c r="I89" i="27"/>
  <c r="H50" i="27"/>
  <c r="H133" i="27" s="1"/>
  <c r="L119" i="27"/>
  <c r="B26" i="15"/>
  <c r="H20" i="15"/>
  <c r="B13" i="17" s="1"/>
  <c r="C28" i="14" s="1"/>
  <c r="J18" i="15"/>
  <c r="D10" i="17"/>
  <c r="E25" i="14" s="1"/>
  <c r="E37" i="14" s="1"/>
  <c r="I19" i="15"/>
  <c r="C11" i="17"/>
  <c r="L17" i="15"/>
  <c r="F9" i="17"/>
  <c r="G24" i="14" s="1"/>
  <c r="C62" i="22"/>
  <c r="D62" i="22" s="1"/>
  <c r="L74" i="22" s="1"/>
  <c r="I74" i="22"/>
  <c r="H61" i="22"/>
  <c r="I91" i="22"/>
  <c r="H72" i="22"/>
  <c r="H90" i="22"/>
  <c r="C28" i="22"/>
  <c r="D28" i="22" s="1"/>
  <c r="L28" i="22" s="1"/>
  <c r="I28" i="22"/>
  <c r="G8" i="4"/>
  <c r="H8" i="4"/>
  <c r="B28" i="14" l="1"/>
  <c r="B40" i="14" s="1"/>
  <c r="C40" i="14"/>
  <c r="L90" i="27"/>
  <c r="L120" i="27" s="1"/>
  <c r="L52" i="27"/>
  <c r="H51" i="27"/>
  <c r="H134" i="27" s="1"/>
  <c r="I90" i="27"/>
  <c r="I119" i="27"/>
  <c r="H89" i="27"/>
  <c r="H118" i="27"/>
  <c r="H100" i="27"/>
  <c r="I20" i="15"/>
  <c r="C13" i="17" s="1"/>
  <c r="C12" i="17"/>
  <c r="L18" i="15"/>
  <c r="F10" i="17"/>
  <c r="G25" i="14" s="1"/>
  <c r="J19" i="15"/>
  <c r="D11" i="17"/>
  <c r="E26" i="14" s="1"/>
  <c r="E38" i="14" s="1"/>
  <c r="B27" i="15"/>
  <c r="H21" i="15"/>
  <c r="C26" i="15"/>
  <c r="D26" i="15" s="1"/>
  <c r="K21" i="15" s="1"/>
  <c r="L62" i="22"/>
  <c r="L92" i="22" s="1"/>
  <c r="L29" i="22"/>
  <c r="H73" i="22"/>
  <c r="H91" i="22"/>
  <c r="L75" i="22"/>
  <c r="H28" i="22"/>
  <c r="H106" i="22" s="1"/>
  <c r="I62" i="22"/>
  <c r="H90" i="27" l="1"/>
  <c r="I120" i="27"/>
  <c r="L121" i="27"/>
  <c r="H101" i="27"/>
  <c r="H119" i="27"/>
  <c r="L103" i="27"/>
  <c r="B28" i="15"/>
  <c r="H22" i="15"/>
  <c r="B3" i="24" s="1"/>
  <c r="C27" i="15"/>
  <c r="D27" i="15" s="1"/>
  <c r="K22" i="15" s="1"/>
  <c r="F3" i="24" s="1"/>
  <c r="I21" i="15"/>
  <c r="B14" i="17"/>
  <c r="E14" i="17"/>
  <c r="J20" i="15"/>
  <c r="D13" i="17" s="1"/>
  <c r="E28" i="14" s="1"/>
  <c r="E40" i="14" s="1"/>
  <c r="D12" i="17"/>
  <c r="E27" i="14" s="1"/>
  <c r="E39" i="14" s="1"/>
  <c r="L19" i="15"/>
  <c r="F11" i="17"/>
  <c r="G26" i="14" s="1"/>
  <c r="H62" i="22"/>
  <c r="I92" i="22"/>
  <c r="L93" i="22"/>
  <c r="L130" i="27" l="1"/>
  <c r="L131" i="27"/>
  <c r="L129" i="27"/>
  <c r="L128" i="27"/>
  <c r="I145" i="27" s="1"/>
  <c r="H120" i="27"/>
  <c r="H102" i="27"/>
  <c r="L134" i="27"/>
  <c r="L20" i="15"/>
  <c r="F12" i="17"/>
  <c r="G27" i="14" s="1"/>
  <c r="E15" i="17"/>
  <c r="J21" i="15"/>
  <c r="D14" i="17" s="1"/>
  <c r="C14" i="17"/>
  <c r="I22" i="15"/>
  <c r="C3" i="24" s="1"/>
  <c r="B15" i="17"/>
  <c r="B29" i="15"/>
  <c r="H23" i="15"/>
  <c r="B4" i="24" s="1"/>
  <c r="C28" i="15"/>
  <c r="D28" i="15" s="1"/>
  <c r="K23" i="15" s="1"/>
  <c r="F4" i="24" s="1"/>
  <c r="H74" i="22"/>
  <c r="H92" i="22"/>
  <c r="L132" i="27" l="1"/>
  <c r="L133" i="27"/>
  <c r="L124" i="27"/>
  <c r="D158" i="27" s="1"/>
  <c r="E158" i="27" s="1"/>
  <c r="B159" i="27" s="1"/>
  <c r="L123" i="27"/>
  <c r="D157" i="27" s="1"/>
  <c r="L125" i="27"/>
  <c r="D159" i="27" s="1"/>
  <c r="L126" i="27"/>
  <c r="L127" i="27"/>
  <c r="E16" i="17"/>
  <c r="J22" i="15"/>
  <c r="C15" i="17"/>
  <c r="I23" i="15"/>
  <c r="C4" i="24" s="1"/>
  <c r="B16" i="17"/>
  <c r="B30" i="15"/>
  <c r="H24" i="15"/>
  <c r="B5" i="24" s="1"/>
  <c r="C29" i="15"/>
  <c r="D29" i="15" s="1"/>
  <c r="K24" i="15" s="1"/>
  <c r="F5" i="24" s="1"/>
  <c r="F13" i="17"/>
  <c r="G28" i="14" s="1"/>
  <c r="L21" i="15"/>
  <c r="L104" i="22"/>
  <c r="L102" i="22"/>
  <c r="L103" i="22"/>
  <c r="L96" i="22"/>
  <c r="L98" i="22"/>
  <c r="L105" i="22"/>
  <c r="L106" i="22"/>
  <c r="L101" i="22"/>
  <c r="L95" i="22"/>
  <c r="L99" i="22"/>
  <c r="L97" i="22"/>
  <c r="L100" i="22"/>
  <c r="H141" i="27" l="1"/>
  <c r="L135" i="27"/>
  <c r="D15" i="17"/>
  <c r="E3" i="24"/>
  <c r="F14" i="17"/>
  <c r="L22" i="15"/>
  <c r="G3" i="24" s="1"/>
  <c r="E17" i="17"/>
  <c r="I24" i="15"/>
  <c r="C5" i="24" s="1"/>
  <c r="B17" i="17"/>
  <c r="B31" i="15"/>
  <c r="H25" i="15"/>
  <c r="B6" i="24" s="1"/>
  <c r="C30" i="15"/>
  <c r="D30" i="15" s="1"/>
  <c r="K25" i="15" s="1"/>
  <c r="F6" i="24" s="1"/>
  <c r="J23" i="15"/>
  <c r="C16" i="17"/>
  <c r="L107" i="22"/>
  <c r="I142" i="27" l="1"/>
  <c r="B150" i="27" s="1"/>
  <c r="D150" i="27"/>
  <c r="F159" i="27" s="1"/>
  <c r="D16" i="17"/>
  <c r="E4" i="24"/>
  <c r="B32" i="15"/>
  <c r="H26" i="15"/>
  <c r="B7" i="24" s="1"/>
  <c r="C31" i="15"/>
  <c r="D31" i="15" s="1"/>
  <c r="K26" i="15" s="1"/>
  <c r="F7" i="24" s="1"/>
  <c r="F15" i="17"/>
  <c r="L23" i="15"/>
  <c r="G4" i="24" s="1"/>
  <c r="E18" i="17"/>
  <c r="I25" i="15"/>
  <c r="C6" i="24" s="1"/>
  <c r="B18" i="17"/>
  <c r="J24" i="15"/>
  <c r="C17" i="17"/>
  <c r="F150" i="27" l="1"/>
  <c r="D17" i="17"/>
  <c r="E5" i="24"/>
  <c r="F16" i="17"/>
  <c r="L24" i="15"/>
  <c r="G5" i="24" s="1"/>
  <c r="J25" i="15"/>
  <c r="C18" i="17"/>
  <c r="E19" i="17"/>
  <c r="I26" i="15"/>
  <c r="C7" i="24" s="1"/>
  <c r="B19" i="17"/>
  <c r="B33" i="15"/>
  <c r="H27" i="15"/>
  <c r="B8" i="24" s="1"/>
  <c r="C32" i="15"/>
  <c r="D32" i="15" s="1"/>
  <c r="K27" i="15" s="1"/>
  <c r="F8" i="24" s="1"/>
  <c r="D18" i="17" l="1"/>
  <c r="E6" i="24"/>
  <c r="I27" i="15"/>
  <c r="C8" i="24" s="1"/>
  <c r="B20" i="17"/>
  <c r="J26" i="15"/>
  <c r="C19" i="17"/>
  <c r="E20" i="17"/>
  <c r="F17" i="17"/>
  <c r="L25" i="15"/>
  <c r="G6" i="24" s="1"/>
  <c r="B34" i="15"/>
  <c r="H28" i="15"/>
  <c r="B9" i="24" s="1"/>
  <c r="C33" i="15"/>
  <c r="D33" i="15" s="1"/>
  <c r="K28" i="15" s="1"/>
  <c r="F9" i="24" s="1"/>
  <c r="D19" i="17" l="1"/>
  <c r="E7" i="24"/>
  <c r="F18" i="17"/>
  <c r="L26" i="15"/>
  <c r="G7" i="24" s="1"/>
  <c r="E21" i="17"/>
  <c r="I28" i="15"/>
  <c r="C9" i="24" s="1"/>
  <c r="B21" i="17"/>
  <c r="B35" i="15"/>
  <c r="H29" i="15"/>
  <c r="B10" i="24" s="1"/>
  <c r="C34" i="15"/>
  <c r="D34" i="15" s="1"/>
  <c r="K29" i="15" s="1"/>
  <c r="F10" i="24" s="1"/>
  <c r="J27" i="15"/>
  <c r="C20" i="17"/>
  <c r="D20" i="17" l="1"/>
  <c r="E8" i="24"/>
  <c r="I29" i="15"/>
  <c r="C10" i="24" s="1"/>
  <c r="B22" i="17"/>
  <c r="E22" i="17"/>
  <c r="B36" i="15"/>
  <c r="H30" i="15"/>
  <c r="B11" i="24" s="1"/>
  <c r="C35" i="15"/>
  <c r="D35" i="15" s="1"/>
  <c r="K30" i="15" s="1"/>
  <c r="F11" i="24" s="1"/>
  <c r="J28" i="15"/>
  <c r="C21" i="17"/>
  <c r="F19" i="17"/>
  <c r="L27" i="15"/>
  <c r="G8" i="24" s="1"/>
  <c r="D21" i="17" l="1"/>
  <c r="E9" i="24"/>
  <c r="B37" i="15"/>
  <c r="H31" i="15"/>
  <c r="B12" i="24" s="1"/>
  <c r="C36" i="15"/>
  <c r="D36" i="15" s="1"/>
  <c r="K31" i="15" s="1"/>
  <c r="F12" i="24" s="1"/>
  <c r="E23" i="17"/>
  <c r="F20" i="17"/>
  <c r="L28" i="15"/>
  <c r="G9" i="24" s="1"/>
  <c r="I30" i="15"/>
  <c r="C11" i="24" s="1"/>
  <c r="B23" i="17"/>
  <c r="J29" i="15"/>
  <c r="C22" i="17"/>
  <c r="D22" i="17" l="1"/>
  <c r="E10" i="24"/>
  <c r="F21" i="17"/>
  <c r="L29" i="15"/>
  <c r="G10" i="24" s="1"/>
  <c r="J30" i="15"/>
  <c r="C23" i="17"/>
  <c r="E24" i="17"/>
  <c r="B24" i="17"/>
  <c r="I31" i="15"/>
  <c r="C12" i="24" s="1"/>
  <c r="B38" i="15"/>
  <c r="H32" i="15"/>
  <c r="B13" i="24" s="1"/>
  <c r="C37" i="15"/>
  <c r="D37" i="15" s="1"/>
  <c r="K32" i="15" s="1"/>
  <c r="F13" i="24" s="1"/>
  <c r="D23" i="17" l="1"/>
  <c r="E11" i="24"/>
  <c r="J31" i="15"/>
  <c r="C24" i="17"/>
  <c r="I32" i="15"/>
  <c r="C13" i="24" s="1"/>
  <c r="B25" i="17"/>
  <c r="B39" i="15"/>
  <c r="H33" i="15"/>
  <c r="B14" i="24" s="1"/>
  <c r="C38" i="15"/>
  <c r="D38" i="15" s="1"/>
  <c r="K33" i="15" s="1"/>
  <c r="F14" i="24" s="1"/>
  <c r="F22" i="17"/>
  <c r="L30" i="15"/>
  <c r="G11" i="24" s="1"/>
  <c r="E25" i="17"/>
  <c r="D24" i="17" l="1"/>
  <c r="E12" i="24"/>
  <c r="F23" i="17"/>
  <c r="L31" i="15"/>
  <c r="G12" i="24" s="1"/>
  <c r="E26" i="17"/>
  <c r="I33" i="15"/>
  <c r="C14" i="24" s="1"/>
  <c r="B26" i="17"/>
  <c r="B40" i="15"/>
  <c r="H34" i="15"/>
  <c r="B15" i="24" s="1"/>
  <c r="C39" i="15"/>
  <c r="D39" i="15" s="1"/>
  <c r="K34" i="15" s="1"/>
  <c r="F15" i="24" s="1"/>
  <c r="J32" i="15"/>
  <c r="C25" i="17"/>
  <c r="D25" i="17" l="1"/>
  <c r="E13" i="24"/>
  <c r="I34" i="15"/>
  <c r="C15" i="24" s="1"/>
  <c r="B27" i="17"/>
  <c r="J33" i="15"/>
  <c r="C26" i="17"/>
  <c r="F24" i="17"/>
  <c r="L32" i="15"/>
  <c r="B41" i="15"/>
  <c r="H35" i="15"/>
  <c r="B16" i="24" s="1"/>
  <c r="C40" i="15"/>
  <c r="D40" i="15" s="1"/>
  <c r="K35" i="15" s="1"/>
  <c r="F16" i="24" s="1"/>
  <c r="E27" i="17"/>
  <c r="G13" i="24" l="1"/>
  <c r="L33" i="15"/>
  <c r="D26" i="17"/>
  <c r="E14" i="24"/>
  <c r="E28" i="17"/>
  <c r="I35" i="15"/>
  <c r="C16" i="24" s="1"/>
  <c r="B28" i="17"/>
  <c r="B42" i="15"/>
  <c r="H36" i="15"/>
  <c r="B17" i="24" s="1"/>
  <c r="C41" i="15"/>
  <c r="D41" i="15" s="1"/>
  <c r="K36" i="15" s="1"/>
  <c r="F17" i="24" s="1"/>
  <c r="F25" i="17"/>
  <c r="J34" i="15"/>
  <c r="C27" i="17"/>
  <c r="G14" i="24" l="1"/>
  <c r="F26" i="17"/>
  <c r="L34" i="15"/>
  <c r="D27" i="17"/>
  <c r="E15" i="24"/>
  <c r="B43" i="15"/>
  <c r="H37" i="15"/>
  <c r="B18" i="24" s="1"/>
  <c r="C42" i="15"/>
  <c r="D42" i="15" s="1"/>
  <c r="K37" i="15" s="1"/>
  <c r="F18" i="24" s="1"/>
  <c r="I36" i="15"/>
  <c r="C17" i="24" s="1"/>
  <c r="B29" i="17"/>
  <c r="E29" i="17"/>
  <c r="J35" i="15"/>
  <c r="C28" i="17"/>
  <c r="G15" i="24" l="1"/>
  <c r="L35" i="15"/>
  <c r="F27" i="17"/>
  <c r="D28" i="17"/>
  <c r="E16" i="24"/>
  <c r="J36" i="15"/>
  <c r="C29" i="17"/>
  <c r="E30" i="17"/>
  <c r="I37" i="15"/>
  <c r="C18" i="24" s="1"/>
  <c r="B30" i="17"/>
  <c r="B44" i="15"/>
  <c r="H38" i="15"/>
  <c r="B19" i="24" s="1"/>
  <c r="C43" i="15"/>
  <c r="D43" i="15" s="1"/>
  <c r="K38" i="15" s="1"/>
  <c r="F19" i="24" s="1"/>
  <c r="G16" i="24" l="1"/>
  <c r="L36" i="15"/>
  <c r="F28" i="17"/>
  <c r="D29" i="17"/>
  <c r="E17" i="24"/>
  <c r="B45" i="15"/>
  <c r="H39" i="15"/>
  <c r="B20" i="24" s="1"/>
  <c r="C44" i="15"/>
  <c r="D44" i="15" s="1"/>
  <c r="K39" i="15" s="1"/>
  <c r="F20" i="24" s="1"/>
  <c r="J37" i="15"/>
  <c r="C30" i="17"/>
  <c r="I38" i="15"/>
  <c r="C19" i="24" s="1"/>
  <c r="B31" i="17"/>
  <c r="E31" i="17"/>
  <c r="G17" i="24" l="1"/>
  <c r="F29" i="17"/>
  <c r="L37" i="15"/>
  <c r="D30" i="17"/>
  <c r="E18" i="24"/>
  <c r="E32" i="17"/>
  <c r="I39" i="15"/>
  <c r="C20" i="24" s="1"/>
  <c r="B32" i="17"/>
  <c r="J38" i="15"/>
  <c r="C31" i="17"/>
  <c r="B46" i="15"/>
  <c r="H40" i="15"/>
  <c r="B21" i="24" s="1"/>
  <c r="C45" i="15"/>
  <c r="D45" i="15" s="1"/>
  <c r="K40" i="15" s="1"/>
  <c r="F21" i="24" s="1"/>
  <c r="G18" i="24" l="1"/>
  <c r="F30" i="17"/>
  <c r="L38" i="15"/>
  <c r="D31" i="17"/>
  <c r="E19" i="24"/>
  <c r="B47" i="15"/>
  <c r="H41" i="15"/>
  <c r="B22" i="24" s="1"/>
  <c r="C46" i="15"/>
  <c r="D46" i="15" s="1"/>
  <c r="K41" i="15" s="1"/>
  <c r="F22" i="24" s="1"/>
  <c r="J39" i="15"/>
  <c r="C32" i="17"/>
  <c r="E33" i="17"/>
  <c r="I40" i="15"/>
  <c r="C21" i="24" s="1"/>
  <c r="B33" i="17"/>
  <c r="G19" i="24" l="1"/>
  <c r="F31" i="17"/>
  <c r="L39" i="15"/>
  <c r="D32" i="17"/>
  <c r="E20" i="24"/>
  <c r="E34" i="17"/>
  <c r="J40" i="15"/>
  <c r="C33" i="17"/>
  <c r="I41" i="15"/>
  <c r="C22" i="24" s="1"/>
  <c r="B34" i="17"/>
  <c r="B48" i="15"/>
  <c r="H42" i="15"/>
  <c r="B23" i="24" s="1"/>
  <c r="C47" i="15"/>
  <c r="D47" i="15" s="1"/>
  <c r="K42" i="15" s="1"/>
  <c r="F23" i="24" s="1"/>
  <c r="G20" i="24" l="1"/>
  <c r="L40" i="15"/>
  <c r="F32" i="17"/>
  <c r="D33" i="17"/>
  <c r="E21" i="24"/>
  <c r="I42" i="15"/>
  <c r="C23" i="24" s="1"/>
  <c r="B35" i="17"/>
  <c r="B49" i="15"/>
  <c r="H43" i="15"/>
  <c r="B24" i="24" s="1"/>
  <c r="C48" i="15"/>
  <c r="D48" i="15" s="1"/>
  <c r="K43" i="15" s="1"/>
  <c r="F24" i="24" s="1"/>
  <c r="E35" i="17"/>
  <c r="J41" i="15"/>
  <c r="C34" i="17"/>
  <c r="G21" i="24" l="1"/>
  <c r="F33" i="17"/>
  <c r="L41" i="15"/>
  <c r="D34" i="17"/>
  <c r="E22" i="24"/>
  <c r="E36" i="17"/>
  <c r="I43" i="15"/>
  <c r="C24" i="24" s="1"/>
  <c r="B36" i="17"/>
  <c r="B50" i="15"/>
  <c r="H44" i="15"/>
  <c r="B25" i="24" s="1"/>
  <c r="C49" i="15"/>
  <c r="D49" i="15" s="1"/>
  <c r="K44" i="15" s="1"/>
  <c r="F25" i="24" s="1"/>
  <c r="J42" i="15"/>
  <c r="C35" i="17"/>
  <c r="G22" i="24" l="1"/>
  <c r="L42" i="15"/>
  <c r="F34" i="17"/>
  <c r="D35" i="17"/>
  <c r="E23" i="24"/>
  <c r="I44" i="15"/>
  <c r="C25" i="24" s="1"/>
  <c r="B37" i="17"/>
  <c r="E37" i="17"/>
  <c r="J43" i="15"/>
  <c r="C36" i="17"/>
  <c r="B51" i="15"/>
  <c r="H45" i="15"/>
  <c r="B26" i="24" s="1"/>
  <c r="C50" i="15"/>
  <c r="D50" i="15" s="1"/>
  <c r="K45" i="15" s="1"/>
  <c r="F26" i="24" s="1"/>
  <c r="K9" i="15"/>
  <c r="E2" i="17" s="1"/>
  <c r="F17" i="14" s="1"/>
  <c r="G23" i="24" l="1"/>
  <c r="L43" i="15"/>
  <c r="F35" i="17"/>
  <c r="D36" i="17"/>
  <c r="E24" i="24"/>
  <c r="E38" i="17"/>
  <c r="I45" i="15"/>
  <c r="C26" i="24" s="1"/>
  <c r="B38" i="17"/>
  <c r="B52" i="15"/>
  <c r="H46" i="15"/>
  <c r="B27" i="24" s="1"/>
  <c r="C51" i="15"/>
  <c r="D51" i="15" s="1"/>
  <c r="K46" i="15" s="1"/>
  <c r="F27" i="24" s="1"/>
  <c r="J44" i="15"/>
  <c r="C37" i="17"/>
  <c r="I5" i="8"/>
  <c r="J6" i="8" s="1"/>
  <c r="E4" i="9" s="1"/>
  <c r="J10" i="8"/>
  <c r="D8" i="9"/>
  <c r="G24" i="24" l="1"/>
  <c r="F36" i="17"/>
  <c r="L44" i="15"/>
  <c r="D37" i="17"/>
  <c r="E25" i="24"/>
  <c r="B53" i="15"/>
  <c r="H47" i="15"/>
  <c r="B28" i="24" s="1"/>
  <c r="C52" i="15"/>
  <c r="D52" i="15" s="1"/>
  <c r="K47" i="15" s="1"/>
  <c r="F28" i="24" s="1"/>
  <c r="E39" i="17"/>
  <c r="I46" i="15"/>
  <c r="C27" i="24" s="1"/>
  <c r="B39" i="17"/>
  <c r="J45" i="15"/>
  <c r="C38" i="17"/>
  <c r="E10" i="9"/>
  <c r="D15" i="9"/>
  <c r="D19" i="9"/>
  <c r="D10" i="9"/>
  <c r="G25" i="24" l="1"/>
  <c r="F37" i="17"/>
  <c r="L45" i="15"/>
  <c r="D38" i="17"/>
  <c r="E26" i="24"/>
  <c r="J46" i="15"/>
  <c r="C39" i="17"/>
  <c r="E40" i="17"/>
  <c r="I47" i="15"/>
  <c r="C28" i="24" s="1"/>
  <c r="B40" i="17"/>
  <c r="B54" i="15"/>
  <c r="H48" i="15"/>
  <c r="B29" i="24" s="1"/>
  <c r="C53" i="15"/>
  <c r="G26" i="24" l="1"/>
  <c r="F38" i="17"/>
  <c r="L46" i="15"/>
  <c r="D39" i="17"/>
  <c r="E27" i="24"/>
  <c r="D53" i="15"/>
  <c r="K48" i="15" s="1"/>
  <c r="F29" i="24" s="1"/>
  <c r="I48" i="15"/>
  <c r="C29" i="24" s="1"/>
  <c r="B41" i="17"/>
  <c r="B55" i="15"/>
  <c r="H49" i="15"/>
  <c r="B30" i="24" s="1"/>
  <c r="C54" i="15"/>
  <c r="D54" i="15" s="1"/>
  <c r="K49" i="15" s="1"/>
  <c r="F30" i="24" s="1"/>
  <c r="J47" i="15"/>
  <c r="C40" i="17"/>
  <c r="G27" i="24" l="1"/>
  <c r="F39" i="17"/>
  <c r="L47" i="15"/>
  <c r="D40" i="17"/>
  <c r="E28" i="24"/>
  <c r="I49" i="15"/>
  <c r="C30" i="24" s="1"/>
  <c r="B42" i="17"/>
  <c r="L49" i="15"/>
  <c r="G30" i="24" s="1"/>
  <c r="E42" i="17"/>
  <c r="B56" i="15"/>
  <c r="H50" i="15"/>
  <c r="B31" i="24" s="1"/>
  <c r="C55" i="15"/>
  <c r="D55" i="15" s="1"/>
  <c r="K50" i="15" s="1"/>
  <c r="F31" i="24" s="1"/>
  <c r="J48" i="15"/>
  <c r="C41" i="17"/>
  <c r="L48" i="15"/>
  <c r="G29" i="24" s="1"/>
  <c r="E41" i="17"/>
  <c r="G28" i="24" l="1"/>
  <c r="F40" i="17"/>
  <c r="D41" i="17"/>
  <c r="E29" i="24"/>
  <c r="F41" i="17"/>
  <c r="L50" i="15"/>
  <c r="G31" i="24" s="1"/>
  <c r="E43" i="17"/>
  <c r="I50" i="15"/>
  <c r="C31" i="24" s="1"/>
  <c r="B43" i="17"/>
  <c r="F42" i="17"/>
  <c r="B57" i="15"/>
  <c r="H51" i="15"/>
  <c r="B32" i="24" s="1"/>
  <c r="C56" i="15"/>
  <c r="D56" i="15" s="1"/>
  <c r="K51" i="15" s="1"/>
  <c r="F32" i="24" s="1"/>
  <c r="J49" i="15"/>
  <c r="C42" i="17"/>
  <c r="D42" i="17" l="1"/>
  <c r="E30" i="24"/>
  <c r="I51" i="15"/>
  <c r="C32" i="24" s="1"/>
  <c r="B44" i="17"/>
  <c r="F43" i="17"/>
  <c r="B58" i="15"/>
  <c r="H52" i="15"/>
  <c r="B33" i="24" s="1"/>
  <c r="C57" i="15"/>
  <c r="D57" i="15" s="1"/>
  <c r="K52" i="15" s="1"/>
  <c r="F33" i="24" s="1"/>
  <c r="L51" i="15"/>
  <c r="G32" i="24" s="1"/>
  <c r="E44" i="17"/>
  <c r="J50" i="15"/>
  <c r="C43" i="17"/>
  <c r="D43" i="17" l="1"/>
  <c r="E31" i="24"/>
  <c r="E45" i="17"/>
  <c r="L52" i="15"/>
  <c r="G33" i="24" s="1"/>
  <c r="I52" i="15"/>
  <c r="C33" i="24" s="1"/>
  <c r="B45" i="17"/>
  <c r="F44" i="17"/>
  <c r="B59" i="15"/>
  <c r="H53" i="15"/>
  <c r="B34" i="24" s="1"/>
  <c r="C58" i="15"/>
  <c r="D58" i="15" s="1"/>
  <c r="K53" i="15" s="1"/>
  <c r="F34" i="24" s="1"/>
  <c r="J51" i="15"/>
  <c r="C44" i="17"/>
  <c r="D44" i="17" l="1"/>
  <c r="E32" i="24"/>
  <c r="I53" i="15"/>
  <c r="C34" i="24" s="1"/>
  <c r="B46" i="17"/>
  <c r="L53" i="15"/>
  <c r="G34" i="24" s="1"/>
  <c r="E46" i="17"/>
  <c r="J52" i="15"/>
  <c r="C45" i="17"/>
  <c r="H54" i="15"/>
  <c r="B35" i="24" s="1"/>
  <c r="C59" i="15"/>
  <c r="F45" i="17"/>
  <c r="D45" i="17" l="1"/>
  <c r="E33" i="24"/>
  <c r="I54" i="15"/>
  <c r="C35" i="24" s="1"/>
  <c r="B47" i="17"/>
  <c r="D59" i="15"/>
  <c r="G14" i="15"/>
  <c r="F17" i="15" s="1"/>
  <c r="F46" i="17"/>
  <c r="J53" i="15"/>
  <c r="C46" i="17"/>
  <c r="M33" i="15" l="1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9" i="15"/>
  <c r="M47" i="15"/>
  <c r="M48" i="15"/>
  <c r="M50" i="15"/>
  <c r="M51" i="15"/>
  <c r="M52" i="15"/>
  <c r="M53" i="15"/>
  <c r="G46" i="17" s="1"/>
  <c r="D46" i="17"/>
  <c r="E34" i="24"/>
  <c r="M9" i="15"/>
  <c r="M10" i="15"/>
  <c r="G3" i="17" s="1"/>
  <c r="M11" i="15"/>
  <c r="G4" i="17" s="1"/>
  <c r="M12" i="15"/>
  <c r="G5" i="17" s="1"/>
  <c r="M13" i="15"/>
  <c r="G6" i="17" s="1"/>
  <c r="M14" i="15"/>
  <c r="G7" i="17" s="1"/>
  <c r="M15" i="15"/>
  <c r="G8" i="17" s="1"/>
  <c r="M16" i="15"/>
  <c r="G9" i="17" s="1"/>
  <c r="M17" i="15"/>
  <c r="G10" i="17" s="1"/>
  <c r="M18" i="15"/>
  <c r="G11" i="17" s="1"/>
  <c r="M19" i="15"/>
  <c r="G12" i="17" s="1"/>
  <c r="M20" i="15"/>
  <c r="G13" i="17" s="1"/>
  <c r="M21" i="15"/>
  <c r="G14" i="17" s="1"/>
  <c r="M22" i="15"/>
  <c r="M23" i="15"/>
  <c r="M24" i="15"/>
  <c r="M25" i="15"/>
  <c r="M26" i="15"/>
  <c r="M27" i="15"/>
  <c r="M28" i="15"/>
  <c r="M29" i="15"/>
  <c r="M30" i="15"/>
  <c r="M31" i="15"/>
  <c r="M32" i="15"/>
  <c r="F14" i="15"/>
  <c r="G17" i="15" s="1"/>
  <c r="K54" i="15"/>
  <c r="F35" i="24" s="1"/>
  <c r="C47" i="17"/>
  <c r="J54" i="15"/>
  <c r="H34" i="24" l="1"/>
  <c r="G37" i="17"/>
  <c r="H25" i="24"/>
  <c r="G36" i="17"/>
  <c r="H24" i="24"/>
  <c r="G35" i="17"/>
  <c r="H23" i="24"/>
  <c r="H22" i="24"/>
  <c r="G34" i="17"/>
  <c r="G44" i="17"/>
  <c r="H32" i="24"/>
  <c r="G32" i="17"/>
  <c r="H20" i="24"/>
  <c r="G43" i="17"/>
  <c r="H31" i="24"/>
  <c r="G31" i="17"/>
  <c r="H19" i="24"/>
  <c r="H21" i="24"/>
  <c r="G33" i="17"/>
  <c r="H28" i="24"/>
  <c r="G40" i="17"/>
  <c r="G42" i="17"/>
  <c r="H30" i="24"/>
  <c r="G28" i="17"/>
  <c r="H16" i="24"/>
  <c r="G45" i="17"/>
  <c r="H33" i="24"/>
  <c r="G41" i="17"/>
  <c r="H29" i="24"/>
  <c r="H15" i="24"/>
  <c r="G27" i="17"/>
  <c r="G30" i="17"/>
  <c r="H18" i="24"/>
  <c r="H17" i="24"/>
  <c r="G29" i="17"/>
  <c r="H27" i="24"/>
  <c r="G39" i="17"/>
  <c r="G38" i="17"/>
  <c r="H26" i="24"/>
  <c r="G26" i="17"/>
  <c r="H14" i="24"/>
  <c r="G2" i="17"/>
  <c r="G2" i="31"/>
  <c r="G3" i="31" s="1"/>
  <c r="G2" i="42"/>
  <c r="G20" i="17"/>
  <c r="H8" i="24"/>
  <c r="G19" i="17"/>
  <c r="H7" i="24"/>
  <c r="D47" i="17"/>
  <c r="E35" i="24"/>
  <c r="G16" i="17"/>
  <c r="H4" i="24"/>
  <c r="G18" i="17"/>
  <c r="H6" i="24"/>
  <c r="G17" i="17"/>
  <c r="H5" i="24"/>
  <c r="G21" i="17"/>
  <c r="H9" i="24"/>
  <c r="G15" i="17"/>
  <c r="H3" i="24"/>
  <c r="G25" i="17"/>
  <c r="H13" i="24"/>
  <c r="G24" i="17"/>
  <c r="H12" i="24"/>
  <c r="G23" i="17"/>
  <c r="H11" i="24"/>
  <c r="G22" i="17"/>
  <c r="H10" i="24"/>
  <c r="E47" i="17"/>
  <c r="L54" i="15"/>
  <c r="G35" i="24" s="1"/>
  <c r="M54" i="15" l="1"/>
  <c r="F47" i="17"/>
  <c r="G47" i="17" l="1"/>
  <c r="H35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tc={2953EC6C-8533-42B3-A00F-BDD3E76167EA}</author>
  </authors>
  <commentList>
    <comment ref="D2" authorId="0" shapeId="0" xr:uid="{2953EC6C-8533-42B3-A00F-BDD3E76167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tc={12DED173-71FD-4AEE-B409-35B3636CC91B}</author>
  </authors>
  <commentList>
    <comment ref="H3" authorId="0" shapeId="0" xr:uid="{12DED173-71FD-4AEE-B409-35B3636CC91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</text>
    </comment>
  </commentList>
</comments>
</file>

<file path=xl/sharedStrings.xml><?xml version="1.0" encoding="utf-8"?>
<sst xmlns="http://schemas.openxmlformats.org/spreadsheetml/2006/main" count="1116" uniqueCount="259">
  <si>
    <t>Client Reference Data</t>
  </si>
  <si>
    <t>Id</t>
  </si>
  <si>
    <t>Name</t>
  </si>
  <si>
    <t>Revenue</t>
  </si>
  <si>
    <t>AccountType</t>
  </si>
  <si>
    <t>AccountSubType</t>
  </si>
  <si>
    <t>Deferred Revenue</t>
  </si>
  <si>
    <t>System Generated</t>
  </si>
  <si>
    <t>ID</t>
  </si>
  <si>
    <t>Sign</t>
  </si>
  <si>
    <t>Criteria</t>
  </si>
  <si>
    <t>Positive</t>
  </si>
  <si>
    <t>Negative</t>
  </si>
  <si>
    <t>Dr</t>
  </si>
  <si>
    <t>Cr</t>
  </si>
  <si>
    <t>Transaction Type</t>
  </si>
  <si>
    <t>Dr/Cr</t>
  </si>
  <si>
    <t>Account SubType</t>
  </si>
  <si>
    <t>Rule</t>
  </si>
  <si>
    <t>Ruleid</t>
  </si>
  <si>
    <t>A/R</t>
  </si>
  <si>
    <t>AccountNumber</t>
  </si>
  <si>
    <t>Account Name</t>
  </si>
  <si>
    <t>ProductType</t>
  </si>
  <si>
    <t>Account Rec</t>
  </si>
  <si>
    <t>AttributeName</t>
  </si>
  <si>
    <t>EffectiveDate</t>
  </si>
  <si>
    <t>InstrumentId</t>
  </si>
  <si>
    <t>TransactionType</t>
  </si>
  <si>
    <t>SO1</t>
  </si>
  <si>
    <t>Amount</t>
  </si>
  <si>
    <t>GL Account Name</t>
  </si>
  <si>
    <t>GL Account Type</t>
  </si>
  <si>
    <t>GL Account Subtype</t>
  </si>
  <si>
    <t>GL Account Number</t>
  </si>
  <si>
    <t>Trial Balance</t>
  </si>
  <si>
    <t>GLAccountBalance</t>
  </si>
  <si>
    <t>Balance</t>
  </si>
  <si>
    <t>Client Activity Data</t>
  </si>
  <si>
    <t>Helper Column</t>
  </si>
  <si>
    <t>amount&gt;1</t>
  </si>
  <si>
    <t>amount&lt;1</t>
  </si>
  <si>
    <t>UserField</t>
  </si>
  <si>
    <t>UserField1</t>
  </si>
  <si>
    <t>MappingId</t>
  </si>
  <si>
    <t>Income Statement</t>
  </si>
  <si>
    <t>Balance Sheet</t>
  </si>
  <si>
    <t>Period</t>
  </si>
  <si>
    <t>2024-1</t>
  </si>
  <si>
    <t>TransactionDate</t>
  </si>
  <si>
    <t>StartDate</t>
  </si>
  <si>
    <t>EndDate</t>
  </si>
  <si>
    <t>CalendarMonth</t>
  </si>
  <si>
    <t>Year</t>
  </si>
  <si>
    <t>Days</t>
  </si>
  <si>
    <t>Fiscal Period</t>
  </si>
  <si>
    <t>Configuration</t>
  </si>
  <si>
    <t>AccountingPeriod</t>
  </si>
  <si>
    <t>Status</t>
  </si>
  <si>
    <t>Open</t>
  </si>
  <si>
    <t>Reclassable</t>
  </si>
  <si>
    <t>Reclass</t>
  </si>
  <si>
    <t>Versionid</t>
  </si>
  <si>
    <t>TransactionId</t>
  </si>
  <si>
    <t>Accounting Period</t>
  </si>
  <si>
    <t>isAdjustment</t>
  </si>
  <si>
    <t>UserField2</t>
  </si>
  <si>
    <t>OrderDate</t>
  </si>
  <si>
    <t>UserField3</t>
  </si>
  <si>
    <t>UserField4</t>
  </si>
  <si>
    <t>Sales Price</t>
  </si>
  <si>
    <t>Sales Quantity</t>
  </si>
  <si>
    <t>AtrributeId</t>
  </si>
  <si>
    <t>UserField5</t>
  </si>
  <si>
    <t>ProductName</t>
  </si>
  <si>
    <t>SaaS</t>
  </si>
  <si>
    <t>Training</t>
  </si>
  <si>
    <t>MaturtiyDate</t>
  </si>
  <si>
    <t>Endate</t>
  </si>
  <si>
    <t>Number Of Days</t>
  </si>
  <si>
    <t>Start Date</t>
  </si>
  <si>
    <t>End of month</t>
  </si>
  <si>
    <t>Perday Revenue</t>
  </si>
  <si>
    <t>RecognitionMethod</t>
  </si>
  <si>
    <t>Ratable</t>
  </si>
  <si>
    <t>PointInTime</t>
  </si>
  <si>
    <t>UserField6</t>
  </si>
  <si>
    <t>SystemGenerated</t>
  </si>
  <si>
    <t>Transactions</t>
  </si>
  <si>
    <t>Attributes</t>
  </si>
  <si>
    <t>Recon</t>
  </si>
  <si>
    <t>Total Days</t>
  </si>
  <si>
    <t>Total Revenue</t>
  </si>
  <si>
    <t>Skip</t>
  </si>
  <si>
    <t>BatchId</t>
  </si>
  <si>
    <t>IsGL</t>
  </si>
  <si>
    <t>ReferenceData</t>
  </si>
  <si>
    <t>ModelData</t>
  </si>
  <si>
    <t>ActivityData</t>
  </si>
  <si>
    <t>Transaction ID</t>
  </si>
  <si>
    <t>Transaction Name</t>
  </si>
  <si>
    <t>Income</t>
  </si>
  <si>
    <t>Invoice &amp; Credits</t>
  </si>
  <si>
    <t>Workflow</t>
  </si>
  <si>
    <t>Metric Name</t>
  </si>
  <si>
    <t>FiscalPeriodStartDate</t>
  </si>
  <si>
    <t>ErrorMessage</t>
  </si>
  <si>
    <t>Error</t>
  </si>
  <si>
    <t>Sale Price</t>
  </si>
  <si>
    <t>Sale Quantity</t>
  </si>
  <si>
    <t>UserField7</t>
  </si>
  <si>
    <t>UserField8</t>
  </si>
  <si>
    <t>dataType</t>
  </si>
  <si>
    <t>String</t>
  </si>
  <si>
    <t>Date</t>
  </si>
  <si>
    <t>Numeric</t>
  </si>
  <si>
    <t>Billing</t>
  </si>
  <si>
    <t>Extended Sale Price</t>
  </si>
  <si>
    <t>Effective Date</t>
  </si>
  <si>
    <t>VersionId</t>
  </si>
  <si>
    <t>Transaction</t>
  </si>
  <si>
    <t>Attribute</t>
  </si>
  <si>
    <t>EOMONTH</t>
  </si>
  <si>
    <t>Calc</t>
  </si>
  <si>
    <t>Transaction History</t>
  </si>
  <si>
    <t>Accounting Period Closed till 2024-3</t>
  </si>
  <si>
    <t>Current Open Period</t>
  </si>
  <si>
    <t>2024-4</t>
  </si>
  <si>
    <t>Attributeinput</t>
  </si>
  <si>
    <t>AttributeHistory</t>
  </si>
  <si>
    <t>TransactionHistory Table</t>
  </si>
  <si>
    <t>TransactionReport</t>
  </si>
  <si>
    <t>Show GL only till current open period</t>
  </si>
  <si>
    <t>Create Calc with only Open record</t>
  </si>
  <si>
    <t>Enddate</t>
  </si>
  <si>
    <t>Replay Example</t>
  </si>
  <si>
    <t>Day 1</t>
  </si>
  <si>
    <t>Day 2</t>
  </si>
  <si>
    <t>TransactionHistory Calc in memory</t>
  </si>
  <si>
    <t>Description</t>
  </si>
  <si>
    <t>This fill fetch the transaction history table for a given period and get whatever transaction is being called . E.g if you want to call billing transaction type then Parameter would be Get.Transaction.Billing</t>
  </si>
  <si>
    <t>Get.InstrumentAttribute.Open</t>
  </si>
  <si>
    <t>Get.InstrumentAttribute.LastClosed</t>
  </si>
  <si>
    <t>Get.Transaction.{TransactionName}</t>
  </si>
  <si>
    <t>This will fetch current open attribute from attribute history table</t>
  </si>
  <si>
    <t>This will fetch last closed attribute from attribute history table</t>
  </si>
  <si>
    <t>Get.Balance.{MetricName}</t>
  </si>
  <si>
    <t>This fill fetch the Balance for a given period and get whatever metric is being called . E.g if you want to call income balance then Parameter would be Get.Balance.Income</t>
  </si>
  <si>
    <t>Get.Transaction.Billing</t>
  </si>
  <si>
    <t>Run Period</t>
  </si>
  <si>
    <t>Get.ExecutionPeriod</t>
  </si>
  <si>
    <t>Get Parameters</t>
  </si>
  <si>
    <t>Get Values</t>
  </si>
  <si>
    <t>Example</t>
  </si>
  <si>
    <t>You want to get Amount and effective date for revenue transaction</t>
  </si>
  <si>
    <t>Get.Transaction.Revenue</t>
  </si>
  <si>
    <t>#EffectiveDate</t>
  </si>
  <si>
    <t>Rest of the columns will be used for values starts with #</t>
  </si>
  <si>
    <t>#Amount</t>
  </si>
  <si>
    <t>If there is a change in any attribute create a new version (Only if effective date is different). If Effectivedate is same , overwrite the current version</t>
  </si>
  <si>
    <t>Update.Attribute</t>
  </si>
  <si>
    <t>AttributeID</t>
  </si>
  <si>
    <t>Nullable</t>
  </si>
  <si>
    <t>No</t>
  </si>
  <si>
    <t>Yes</t>
  </si>
  <si>
    <t>UserField9</t>
  </si>
  <si>
    <t>ExtendedSalesPrice</t>
  </si>
  <si>
    <t>System Generated after model execution</t>
  </si>
  <si>
    <t>INPUT</t>
  </si>
  <si>
    <t>Output</t>
  </si>
  <si>
    <t>Parameter</t>
  </si>
  <si>
    <t>Column</t>
  </si>
  <si>
    <t>A1</t>
  </si>
  <si>
    <t>Post.Transactions</t>
  </si>
  <si>
    <t>Values</t>
  </si>
  <si>
    <t>B1</t>
  </si>
  <si>
    <t>C1</t>
  </si>
  <si>
    <t>D1</t>
  </si>
  <si>
    <t>B</t>
  </si>
  <si>
    <t>C</t>
  </si>
  <si>
    <t>D</t>
  </si>
  <si>
    <t>E</t>
  </si>
  <si>
    <t>F</t>
  </si>
  <si>
    <t>G</t>
  </si>
  <si>
    <t>H</t>
  </si>
  <si>
    <t>#{attributeName}</t>
  </si>
  <si>
    <t>E1</t>
  </si>
  <si>
    <t>If you want to update extended sales price column after calc then paramenter would be #extendedSalesPrice</t>
  </si>
  <si>
    <t>Sheet Name: Output_Transactions</t>
  </si>
  <si>
    <t>Sheet Name: Output_Attributes</t>
  </si>
  <si>
    <t>This Should be given in Column A of Input , Sheet Name = "Model_Input"</t>
  </si>
  <si>
    <t>Unbilled</t>
  </si>
  <si>
    <t>Rev</t>
  </si>
  <si>
    <t>Un</t>
  </si>
  <si>
    <t>Bg def</t>
  </si>
  <si>
    <t>new bi</t>
  </si>
  <si>
    <t>rev</t>
  </si>
  <si>
    <t>end def</t>
  </si>
  <si>
    <t>clo un</t>
  </si>
  <si>
    <t>Def Rev</t>
  </si>
  <si>
    <t>Clearing</t>
  </si>
  <si>
    <t>Billed</t>
  </si>
  <si>
    <t>Def</t>
  </si>
  <si>
    <t>Def Revenue</t>
  </si>
  <si>
    <t>AR</t>
  </si>
  <si>
    <t>Total</t>
  </si>
  <si>
    <t>Account</t>
  </si>
  <si>
    <t>Note: This will create a new attribute record after model execution</t>
  </si>
  <si>
    <t>Each new attribute version will rewind all the prior transactions and rebook with new transaction if there is a change</t>
  </si>
  <si>
    <t>Reference Tables</t>
  </si>
  <si>
    <t>Chart Of Accounts</t>
  </si>
  <si>
    <t>BillingStatus</t>
  </si>
  <si>
    <t>Unbilled Receivable</t>
  </si>
  <si>
    <t>Subledger Mapping</t>
  </si>
  <si>
    <t>Billing Status</t>
  </si>
  <si>
    <t>General Ledger</t>
  </si>
  <si>
    <t>2024-2</t>
  </si>
  <si>
    <t>Model logic</t>
  </si>
  <si>
    <t>If transaction type is billing in the current period then update attribute table "billingStatus" to Billed</t>
  </si>
  <si>
    <t>Accounting Period Closed till 2024-2</t>
  </si>
  <si>
    <t>2024-3</t>
  </si>
  <si>
    <t>RollForward</t>
  </si>
  <si>
    <t>PERIOD</t>
  </si>
  <si>
    <t>Beginning Unbilled</t>
  </si>
  <si>
    <t>Ending Deferred Revenue</t>
  </si>
  <si>
    <t>Ending Unbilled</t>
  </si>
  <si>
    <t>Delivery Logs</t>
  </si>
  <si>
    <t>Extended Sales Price</t>
  </si>
  <si>
    <t>Standalone Selling Price</t>
  </si>
  <si>
    <t>Total Selling Price</t>
  </si>
  <si>
    <t>Total SSP</t>
  </si>
  <si>
    <t>SSP Percentage</t>
  </si>
  <si>
    <t>Get.Transaction.SalesPrice</t>
  </si>
  <si>
    <t>Get.Transaction.SalesQuantity</t>
  </si>
  <si>
    <t>Billing Date</t>
  </si>
  <si>
    <t>Billing Amount</t>
  </si>
  <si>
    <t>#BillingStatus</t>
  </si>
  <si>
    <t>InstrumentID</t>
  </si>
  <si>
    <t>Transaction Date</t>
  </si>
  <si>
    <t>AggregationMetric</t>
  </si>
  <si>
    <t>AggregatedActivityAmount</t>
  </si>
  <si>
    <t>AggregatedLTDAmount</t>
  </si>
  <si>
    <t>Get.Transaction.SSPPercentage</t>
  </si>
  <si>
    <t>SSP Amount</t>
  </si>
  <si>
    <t>StandaloneSellingPrice</t>
  </si>
  <si>
    <t>IsAdj</t>
  </si>
  <si>
    <t>EXTENDED SALE PRICE &amp; SSP MODEL</t>
  </si>
  <si>
    <t>REVENUE ALLOCATION MODEL</t>
  </si>
  <si>
    <t>Get.Transaction.StandaloneSellingPrice</t>
  </si>
  <si>
    <t>Get.Transaction.ExtendedSalesPrice</t>
  </si>
  <si>
    <t>Get.Aggregation.Activity.TotalSellingPrice</t>
  </si>
  <si>
    <t>Get.Aggregation.Activity.TotalSSP</t>
  </si>
  <si>
    <t>SSP amount</t>
  </si>
  <si>
    <t>Total Sales Price</t>
  </si>
  <si>
    <t>Revenue Allocation %</t>
  </si>
  <si>
    <t>Allocated Revenue</t>
  </si>
  <si>
    <t>AllocatedRevenue</t>
  </si>
  <si>
    <t>REVENUE CALCULATION</t>
  </si>
  <si>
    <t>Get.Transaction.AllocatedRevenue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</si>
</sst>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Fill="1" applyBorder="1" applyAlignment="1">
      <alignment horizontal="center"/>
    </xf>
    <xf numFmtId="0" fontId="0" fillId="2" borderId="0" xfId="0" applyFill="1"/>
    <xf numFmtId="0" fontId="2" fillId="0" borderId="4" xfId="0" applyFont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0" borderId="1" xfId="0" applyBorder="1"/>
    <xf numFmtId="0" fontId="0" fillId="4" borderId="0" xfId="0" applyFont="1" applyFill="1"/>
    <xf numFmtId="0" fontId="0" fillId="4" borderId="0" xfId="0" applyFill="1"/>
    <xf numFmtId="0" fontId="1" fillId="4" borderId="1" xfId="0" applyFont="1" applyFill="1" applyBorder="1"/>
    <xf numFmtId="0" fontId="1" fillId="2" borderId="1" xfId="0" applyFont="1" applyFill="1" applyBorder="1"/>
    <xf numFmtId="0" fontId="5" fillId="0" borderId="0" xfId="0" applyFont="1"/>
    <xf numFmtId="0" fontId="6" fillId="0" borderId="0" xfId="0" applyFont="1"/>
    <xf numFmtId="2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0" fontId="0" fillId="7" borderId="0" xfId="0" applyFill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2" borderId="0" xfId="0" applyFont="1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14" fontId="0" fillId="3" borderId="0" xfId="0" applyNumberFormat="1" applyFill="1"/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20</xdr:col>
      <xdr:colOff>114300</xdr:colOff>
      <xdr:row>44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970C57-55B9-1B3E-1E4E-76189E0E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152400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4644D-DB6D-3467-C09C-7FC07AC3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12</xdr:col>
      <xdr:colOff>365760</xdr:colOff>
      <xdr:row>44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C5128C-96B3-4A04-BAD0-E499482CD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19</xdr:col>
      <xdr:colOff>53340</xdr:colOff>
      <xdr:row>54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5BCAD-9F57-445E-B633-A870EAFC9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160020</xdr:rowOff>
    </xdr:from>
    <xdr:to>
      <xdr:col>12</xdr:col>
      <xdr:colOff>365760</xdr:colOff>
      <xdr:row>42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FADD5-AE61-494F-B1E0-22590D485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12</xdr:col>
      <xdr:colOff>365760</xdr:colOff>
      <xdr:row>41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A1B542-F38C-2064-1FFA-9BC604CD7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19</xdr:col>
      <xdr:colOff>53340</xdr:colOff>
      <xdr:row>54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C25638-F69C-02F4-5A87-0EBD72EBD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22</xdr:col>
      <xdr:colOff>304800</xdr:colOff>
      <xdr:row>37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37330E-D4B3-D92E-09AE-DA9E01AC4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16</xdr:col>
      <xdr:colOff>358140</xdr:colOff>
      <xdr:row>49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C2B6BF-B749-B8EE-1F46-BAFC41D99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16</xdr:col>
      <xdr:colOff>440107</xdr:colOff>
      <xdr:row>44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D99188-BFC1-2557-418C-AAED23185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17</xdr:col>
      <xdr:colOff>388620</xdr:colOff>
      <xdr:row>43</xdr:row>
      <xdr:rowOff>91439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44ACE1-8D41-BB36-42D7-D70943827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091"/>
          <a:ext cx="13746711" cy="6741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20</xdr:col>
      <xdr:colOff>266700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E4474-D8B2-4B3C-2F53-1868D4136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8</xdr:col>
      <xdr:colOff>426720</xdr:colOff>
      <xdr:row>52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496B2B-61DC-20DA-FF04-E29AA5173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16</xdr:col>
      <xdr:colOff>220980</xdr:colOff>
      <xdr:row>45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12A0C-F9F7-CD54-0DFE-BD56C5E3C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15</xdr:col>
      <xdr:colOff>236220</xdr:colOff>
      <xdr:row>47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40496-70DE-BFD3-77CD-2AE916C80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fay Ahmed" id="{70661331-0046-4130-A2B1-B9C9FB4EE560}" userId="S::arahmed@ssnc-corp.global::8fd684c9-c3dc-4799-9236-607fe846e2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3-08T08:38:46.37" personId="{70661331-0046-4130-A2B1-B9C9FB4EE560}" id="{2953EC6C-8533-42B3-A00F-BDD3E76167EA}">
    <text>Controllable from UI as well, Settings&gt;Journal Fields, All booking attributes are reclassable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3" dT="2024-03-08T08:38:46.37" personId="{70661331-0046-4130-A2B1-B9C9FB4EE560}" id="{12DED173-71FD-4AEE-B409-35B3636CC91B}">
    <text>Controllable from UI as well, Settings&gt;Journal Fields, All booking attributes are reclassable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1C6B-5F05-4437-8A2F-76F54DE83BF1}">
  <dimension ref="A1:A7"/>
  <sheetViews>
    <sheetView workbookViewId="0">
      <selection activeCell="C5" sqref="C5"/>
    </sheetView>
  </sheetViews>
  <sheetFormatPr defaultRowHeight="14.4" x14ac:dyDescent="0.3"/>
  <cols>
    <col min="1" max="1" width="29.44140625" customWidth="1"/>
  </cols>
  <sheetData>
    <row r="1" spans="1:1" x14ac:dyDescent="0.3">
      <c r="A1" s="14" t="s">
        <v>96</v>
      </c>
    </row>
    <row r="2" spans="1:1" x14ac:dyDescent="0.3">
      <c r="A2" s="21" t="s">
        <v>97</v>
      </c>
    </row>
    <row r="3" spans="1:1" x14ac:dyDescent="0.3">
      <c r="A3" s="22" t="s">
        <v>98</v>
      </c>
    </row>
    <row r="4" spans="1:1" x14ac:dyDescent="0.3">
      <c r="A4" s="8" t="s">
        <v>87</v>
      </c>
    </row>
    <row r="5" spans="1:1" x14ac:dyDescent="0.3">
      <c r="A5" s="12" t="s">
        <v>135</v>
      </c>
    </row>
    <row r="7" spans="1:1" x14ac:dyDescent="0.3">
      <c r="A7" s="24" t="s">
        <v>103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285A-A87B-4A8C-9284-AA5603BE2C5B}">
  <sheetPr>
    <tabColor rgb="FFFFC000"/>
  </sheetPr>
  <dimension ref="A1:L4"/>
  <sheetViews>
    <sheetView workbookViewId="0">
      <selection activeCell="F2" sqref="F2"/>
    </sheetView>
  </sheetViews>
  <sheetFormatPr defaultRowHeight="14.4" x14ac:dyDescent="0.3"/>
  <cols>
    <col min="1" max="1" width="29.21875" customWidth="1"/>
    <col min="2" max="2" width="32.33203125" customWidth="1"/>
    <col min="3" max="3" width="34.5546875" customWidth="1"/>
    <col min="4" max="4" width="20.33203125" customWidth="1"/>
    <col min="5" max="5" width="12.44140625" customWidth="1"/>
    <col min="6" max="6" width="14.33203125" customWidth="1"/>
    <col min="7" max="7" width="15.5546875" customWidth="1"/>
    <col min="8" max="8" width="21.21875" customWidth="1"/>
  </cols>
  <sheetData>
    <row r="1" spans="1:12" x14ac:dyDescent="0.3">
      <c r="A1" s="1" t="s">
        <v>38</v>
      </c>
    </row>
    <row r="2" spans="1:12" x14ac:dyDescent="0.3">
      <c r="A2" s="1" t="s">
        <v>26</v>
      </c>
      <c r="B2" s="1" t="s">
        <v>72</v>
      </c>
      <c r="C2" s="1" t="s">
        <v>27</v>
      </c>
      <c r="D2" s="1" t="s">
        <v>50</v>
      </c>
      <c r="E2" s="1" t="s">
        <v>77</v>
      </c>
      <c r="F2" s="1" t="s">
        <v>74</v>
      </c>
      <c r="G2" s="1" t="s">
        <v>83</v>
      </c>
      <c r="H2" s="24" t="s">
        <v>214</v>
      </c>
      <c r="K2" s="24"/>
      <c r="L2" s="24"/>
    </row>
    <row r="3" spans="1:12" x14ac:dyDescent="0.3">
      <c r="A3" s="2">
        <v>45292</v>
      </c>
      <c r="B3">
        <v>1</v>
      </c>
      <c r="C3" t="s">
        <v>29</v>
      </c>
      <c r="D3" s="2">
        <v>45292</v>
      </c>
      <c r="E3" s="2">
        <v>45657</v>
      </c>
      <c r="F3" t="s">
        <v>75</v>
      </c>
      <c r="G3" t="s">
        <v>84</v>
      </c>
      <c r="H3" s="19"/>
    </row>
    <row r="4" spans="1:12" x14ac:dyDescent="0.3">
      <c r="A4" s="2">
        <v>45292</v>
      </c>
      <c r="B4">
        <v>2</v>
      </c>
      <c r="C4" t="s">
        <v>29</v>
      </c>
      <c r="D4" s="2">
        <v>45292</v>
      </c>
      <c r="E4" s="2">
        <v>45657</v>
      </c>
      <c r="F4" t="s">
        <v>76</v>
      </c>
      <c r="G4" t="s">
        <v>85</v>
      </c>
      <c r="H4" s="1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3150-C0DB-485C-BE25-A6E5F90A0FB9}">
  <sheetPr>
    <tabColor rgb="FFFFFF00"/>
  </sheetPr>
  <dimension ref="A1:F31"/>
  <sheetViews>
    <sheetView workbookViewId="0">
      <selection activeCell="E31" sqref="E31"/>
    </sheetView>
  </sheetViews>
  <sheetFormatPr defaultRowHeight="14.4" x14ac:dyDescent="0.3"/>
  <cols>
    <col min="1" max="1" width="42.6640625" customWidth="1"/>
    <col min="2" max="2" width="78.5546875" customWidth="1"/>
    <col min="3" max="3" width="23.44140625" customWidth="1"/>
    <col min="4" max="4" width="8.88671875" style="23"/>
    <col min="5" max="5" width="29" customWidth="1"/>
    <col min="6" max="6" width="15.77734375" customWidth="1"/>
  </cols>
  <sheetData>
    <row r="1" spans="1:6" s="23" customFormat="1" ht="23.4" x14ac:dyDescent="0.45">
      <c r="A1" s="28" t="s">
        <v>168</v>
      </c>
      <c r="E1" s="28" t="s">
        <v>169</v>
      </c>
    </row>
    <row r="2" spans="1:6" s="23" customFormat="1" x14ac:dyDescent="0.3">
      <c r="B2" s="24" t="s">
        <v>139</v>
      </c>
      <c r="E2" s="24" t="s">
        <v>88</v>
      </c>
      <c r="F2" s="23" t="s">
        <v>188</v>
      </c>
    </row>
    <row r="3" spans="1:6" s="23" customFormat="1" x14ac:dyDescent="0.3">
      <c r="A3" s="23" t="s">
        <v>151</v>
      </c>
      <c r="B3" t="s">
        <v>190</v>
      </c>
    </row>
    <row r="4" spans="1:6" s="23" customFormat="1" x14ac:dyDescent="0.3">
      <c r="E4" s="24" t="s">
        <v>170</v>
      </c>
      <c r="F4" s="24" t="s">
        <v>171</v>
      </c>
    </row>
    <row r="5" spans="1:6" x14ac:dyDescent="0.3">
      <c r="A5" s="24" t="s">
        <v>89</v>
      </c>
      <c r="E5" s="26" t="s">
        <v>173</v>
      </c>
      <c r="F5" t="s">
        <v>172</v>
      </c>
    </row>
    <row r="6" spans="1:6" x14ac:dyDescent="0.3">
      <c r="A6" s="26" t="s">
        <v>141</v>
      </c>
      <c r="B6" t="s">
        <v>144</v>
      </c>
    </row>
    <row r="7" spans="1:6" x14ac:dyDescent="0.3">
      <c r="A7" s="26" t="s">
        <v>142</v>
      </c>
      <c r="B7" s="23" t="s">
        <v>145</v>
      </c>
      <c r="E7" s="24" t="s">
        <v>174</v>
      </c>
    </row>
    <row r="8" spans="1:6" x14ac:dyDescent="0.3">
      <c r="E8" s="26" t="s">
        <v>49</v>
      </c>
      <c r="F8" t="s">
        <v>178</v>
      </c>
    </row>
    <row r="9" spans="1:6" s="23" customFormat="1" x14ac:dyDescent="0.3">
      <c r="A9" s="24" t="s">
        <v>88</v>
      </c>
      <c r="E9" s="26" t="s">
        <v>27</v>
      </c>
      <c r="F9" s="23" t="s">
        <v>179</v>
      </c>
    </row>
    <row r="10" spans="1:6" ht="43.2" x14ac:dyDescent="0.3">
      <c r="A10" s="26" t="s">
        <v>143</v>
      </c>
      <c r="B10" s="29" t="s">
        <v>140</v>
      </c>
      <c r="E10" s="26" t="s">
        <v>28</v>
      </c>
      <c r="F10" t="s">
        <v>180</v>
      </c>
    </row>
    <row r="11" spans="1:6" x14ac:dyDescent="0.3">
      <c r="E11" s="26" t="s">
        <v>30</v>
      </c>
      <c r="F11" t="s">
        <v>181</v>
      </c>
    </row>
    <row r="12" spans="1:6" x14ac:dyDescent="0.3">
      <c r="A12" s="24" t="s">
        <v>37</v>
      </c>
      <c r="E12" s="26" t="s">
        <v>72</v>
      </c>
      <c r="F12" t="s">
        <v>182</v>
      </c>
    </row>
    <row r="13" spans="1:6" ht="28.8" x14ac:dyDescent="0.3">
      <c r="A13" s="26" t="s">
        <v>146</v>
      </c>
      <c r="B13" s="29" t="s">
        <v>147</v>
      </c>
      <c r="E13" s="26" t="s">
        <v>93</v>
      </c>
      <c r="F13" s="26" t="s">
        <v>183</v>
      </c>
    </row>
    <row r="14" spans="1:6" x14ac:dyDescent="0.3">
      <c r="E14" s="26" t="s">
        <v>107</v>
      </c>
      <c r="F14" s="26" t="s">
        <v>184</v>
      </c>
    </row>
    <row r="15" spans="1:6" x14ac:dyDescent="0.3">
      <c r="A15" s="24" t="s">
        <v>47</v>
      </c>
    </row>
    <row r="16" spans="1:6" x14ac:dyDescent="0.3">
      <c r="A16" s="26" t="s">
        <v>150</v>
      </c>
      <c r="B16" t="s">
        <v>149</v>
      </c>
    </row>
    <row r="17" spans="1:6" x14ac:dyDescent="0.3">
      <c r="E17" s="24" t="s">
        <v>89</v>
      </c>
      <c r="F17" s="23" t="s">
        <v>189</v>
      </c>
    </row>
    <row r="19" spans="1:6" x14ac:dyDescent="0.3">
      <c r="A19" t="s">
        <v>152</v>
      </c>
      <c r="B19" t="s">
        <v>157</v>
      </c>
      <c r="E19" s="24" t="s">
        <v>170</v>
      </c>
      <c r="F19" s="24" t="s">
        <v>171</v>
      </c>
    </row>
    <row r="20" spans="1:6" x14ac:dyDescent="0.3">
      <c r="E20" s="26" t="s">
        <v>160</v>
      </c>
      <c r="F20" s="23" t="s">
        <v>172</v>
      </c>
    </row>
    <row r="21" spans="1:6" x14ac:dyDescent="0.3">
      <c r="A21" t="s">
        <v>153</v>
      </c>
    </row>
    <row r="22" spans="1:6" x14ac:dyDescent="0.3">
      <c r="A22" t="s">
        <v>154</v>
      </c>
      <c r="E22" s="24" t="s">
        <v>174</v>
      </c>
    </row>
    <row r="23" spans="1:6" x14ac:dyDescent="0.3">
      <c r="E23" s="26" t="s">
        <v>27</v>
      </c>
      <c r="F23" s="23" t="s">
        <v>175</v>
      </c>
    </row>
    <row r="24" spans="1:6" x14ac:dyDescent="0.3">
      <c r="A24" s="24" t="s">
        <v>155</v>
      </c>
      <c r="B24" s="24" t="s">
        <v>158</v>
      </c>
      <c r="C24" s="24" t="s">
        <v>156</v>
      </c>
      <c r="D24" s="24"/>
      <c r="E24" s="26" t="s">
        <v>161</v>
      </c>
      <c r="F24" s="23" t="s">
        <v>176</v>
      </c>
    </row>
    <row r="25" spans="1:6" x14ac:dyDescent="0.3">
      <c r="E25" s="26" t="s">
        <v>93</v>
      </c>
      <c r="F25" s="23" t="s">
        <v>177</v>
      </c>
    </row>
    <row r="26" spans="1:6" x14ac:dyDescent="0.3">
      <c r="A26" s="26" t="s">
        <v>155</v>
      </c>
      <c r="B26">
        <v>1000</v>
      </c>
      <c r="C26" s="2">
        <v>45292</v>
      </c>
      <c r="D26" s="2"/>
      <c r="E26" s="26" t="s">
        <v>185</v>
      </c>
      <c r="F26" t="s">
        <v>186</v>
      </c>
    </row>
    <row r="28" spans="1:6" x14ac:dyDescent="0.3">
      <c r="A28" s="30"/>
      <c r="E28" s="24" t="s">
        <v>153</v>
      </c>
    </row>
    <row r="29" spans="1:6" ht="57.6" x14ac:dyDescent="0.3">
      <c r="E29" s="29" t="s">
        <v>187</v>
      </c>
    </row>
    <row r="30" spans="1:6" x14ac:dyDescent="0.3">
      <c r="E30" s="30" t="s">
        <v>207</v>
      </c>
    </row>
    <row r="31" spans="1:6" x14ac:dyDescent="0.3">
      <c r="E31" s="30" t="s">
        <v>208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692C-B100-45BA-9775-7E90A78DBF87}">
  <sheetPr>
    <tabColor rgb="FF92D050"/>
  </sheetPr>
  <dimension ref="A1:F5"/>
  <sheetViews>
    <sheetView workbookViewId="0">
      <selection activeCell="J23" sqref="J23"/>
    </sheetView>
  </sheetViews>
  <sheetFormatPr defaultRowHeight="14.4" x14ac:dyDescent="0.3"/>
  <sheetData>
    <row r="1" spans="1:6" x14ac:dyDescent="0.3">
      <c r="A1" s="35" t="s">
        <v>246</v>
      </c>
      <c r="B1" s="35"/>
      <c r="C1" s="35"/>
      <c r="D1" s="35"/>
      <c r="E1" s="35"/>
      <c r="F1" s="35"/>
    </row>
    <row r="2" spans="1:6" x14ac:dyDescent="0.3">
      <c r="A2" s="35"/>
      <c r="B2" s="35"/>
      <c r="C2" s="35"/>
      <c r="D2" s="35"/>
      <c r="E2" s="35"/>
      <c r="F2" s="35"/>
    </row>
    <row r="3" spans="1:6" x14ac:dyDescent="0.3">
      <c r="A3" s="35"/>
      <c r="B3" s="35"/>
      <c r="C3" s="35"/>
      <c r="D3" s="35"/>
      <c r="E3" s="35"/>
      <c r="F3" s="35"/>
    </row>
    <row r="4" spans="1:6" x14ac:dyDescent="0.3">
      <c r="A4" s="35"/>
      <c r="B4" s="35"/>
      <c r="C4" s="35"/>
      <c r="D4" s="35"/>
      <c r="E4" s="35"/>
      <c r="F4" s="35"/>
    </row>
    <row r="5" spans="1:6" x14ac:dyDescent="0.3">
      <c r="A5" s="35"/>
      <c r="B5" s="35"/>
      <c r="C5" s="35"/>
      <c r="D5" s="35"/>
      <c r="E5" s="35"/>
      <c r="F5" s="35"/>
    </row>
  </sheetData>
  <mergeCells count="1">
    <mergeCell ref="A1:F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C66A-08BE-44B5-90AD-2678515E3677}">
  <sheetPr>
    <tabColor theme="4" tint="0.39997558519241921"/>
  </sheetPr>
  <dimension ref="A1:K6"/>
  <sheetViews>
    <sheetView workbookViewId="0">
      <selection activeCell="F11" sqref="F11"/>
    </sheetView>
  </sheetViews>
  <sheetFormatPr defaultRowHeight="14.4" x14ac:dyDescent="0.3"/>
  <cols>
    <col min="1" max="1" width="33.109375" style="23" customWidth="1"/>
    <col min="2" max="2" width="19" style="23" customWidth="1"/>
    <col min="3" max="4" width="8.88671875" style="23"/>
    <col min="5" max="5" width="36.109375" style="23" customWidth="1"/>
    <col min="6" max="6" width="20.6640625" style="23" customWidth="1"/>
    <col min="7" max="7" width="19.5546875" style="23" customWidth="1"/>
    <col min="8" max="8" width="8.88671875" style="23"/>
    <col min="9" max="9" width="12.88671875" style="23" customWidth="1"/>
    <col min="10" max="16384" width="8.88671875" style="23"/>
  </cols>
  <sheetData>
    <row r="1" spans="1:11" x14ac:dyDescent="0.3">
      <c r="A1" s="24" t="s">
        <v>150</v>
      </c>
      <c r="B1" s="2" t="s">
        <v>48</v>
      </c>
    </row>
    <row r="2" spans="1:11" x14ac:dyDescent="0.3">
      <c r="A2" s="24" t="s">
        <v>141</v>
      </c>
      <c r="B2" s="2">
        <f>'InstrumentAttributeHistory (3)'!B3</f>
        <v>45292</v>
      </c>
      <c r="C2" s="19">
        <f>'InstrumentAttributeHistory (3)'!C3</f>
        <v>1</v>
      </c>
      <c r="D2" s="2" t="str">
        <f>'InstrumentAttributeHistory (3)'!D3</f>
        <v>SO1</v>
      </c>
      <c r="E2" s="19">
        <f>'InstrumentAttributeHistory (3)'!E3</f>
        <v>111</v>
      </c>
      <c r="F2" s="2">
        <f>'InstrumentAttributeHistory (3)'!G3</f>
        <v>45292</v>
      </c>
      <c r="G2" s="2">
        <f>'InstrumentAttributeHistory (3)'!H3</f>
        <v>45657</v>
      </c>
      <c r="H2" s="2" t="str">
        <f>'InstrumentAttributeHistory (3)'!I3</f>
        <v>SaaS</v>
      </c>
      <c r="I2" s="2" t="str">
        <f>'InstrumentAttributeHistory (3)'!J3</f>
        <v>Ratable</v>
      </c>
      <c r="J2" s="19"/>
      <c r="K2" s="19"/>
    </row>
    <row r="3" spans="1:11" x14ac:dyDescent="0.3">
      <c r="A3" s="24" t="s">
        <v>148</v>
      </c>
      <c r="B3" s="2">
        <f>'TransactionHistory (3)'!C3</f>
        <v>45292</v>
      </c>
      <c r="C3" s="19" t="str">
        <f>'TransactionHistory (3)'!D3</f>
        <v>SO1</v>
      </c>
      <c r="D3" s="19" t="str">
        <f>'TransactionHistory (3)'!E3</f>
        <v>Billing</v>
      </c>
      <c r="E3" s="19">
        <f>'TransactionHistory (3)'!F3</f>
        <v>1200</v>
      </c>
      <c r="F3" s="19">
        <f>'TransactionHistory (3)'!G3</f>
        <v>1</v>
      </c>
      <c r="G3" s="19"/>
      <c r="H3" s="19"/>
      <c r="I3" s="19"/>
    </row>
    <row r="4" spans="1:11" x14ac:dyDescent="0.3">
      <c r="A4" s="24" t="s">
        <v>232</v>
      </c>
      <c r="B4" s="19">
        <f>TransactionInput!D5</f>
        <v>100</v>
      </c>
      <c r="C4" s="19">
        <v>1</v>
      </c>
      <c r="D4" s="2" t="str">
        <f>TransactionInput!B5</f>
        <v>SO1</v>
      </c>
      <c r="E4" s="2">
        <f>TransactionInput!A5</f>
        <v>45292</v>
      </c>
      <c r="F4" s="19"/>
    </row>
    <row r="5" spans="1:11" x14ac:dyDescent="0.3">
      <c r="A5" s="24" t="s">
        <v>233</v>
      </c>
      <c r="B5" s="19">
        <f>TransactionInput!D7</f>
        <v>12</v>
      </c>
      <c r="C5" s="19">
        <v>1</v>
      </c>
      <c r="D5" s="2" t="str">
        <f>D4</f>
        <v>SO1</v>
      </c>
      <c r="E5" s="2">
        <f>E4</f>
        <v>45292</v>
      </c>
      <c r="F5" s="19"/>
    </row>
    <row r="6" spans="1:11" x14ac:dyDescent="0.3">
      <c r="A6" s="24" t="s">
        <v>242</v>
      </c>
      <c r="B6" s="19">
        <f>TransactionInput!D9</f>
        <v>0.2</v>
      </c>
      <c r="C6" s="19">
        <f>C5</f>
        <v>1</v>
      </c>
      <c r="D6" s="2" t="str">
        <f>D5</f>
        <v>SO1</v>
      </c>
      <c r="E6" s="2">
        <f>E5</f>
        <v>45292</v>
      </c>
      <c r="F6" s="1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298D-4B91-4949-8C8F-96468D871905}">
  <sheetPr>
    <tabColor theme="4" tint="0.39997558519241921"/>
  </sheetPr>
  <dimension ref="A1:G15"/>
  <sheetViews>
    <sheetView workbookViewId="0">
      <selection activeCell="F11" sqref="F11"/>
    </sheetView>
  </sheetViews>
  <sheetFormatPr defaultRowHeight="14.4" x14ac:dyDescent="0.3"/>
  <cols>
    <col min="1" max="1" width="17.5546875" customWidth="1"/>
  </cols>
  <sheetData>
    <row r="1" spans="1:7" x14ac:dyDescent="0.3">
      <c r="A1" t="s">
        <v>70</v>
      </c>
      <c r="B1" s="19">
        <f>'Model_Input (1)'!B4</f>
        <v>100</v>
      </c>
      <c r="C1" t="s">
        <v>121</v>
      </c>
      <c r="D1" s="19">
        <f>'Model_Input (1)'!C4</f>
        <v>1</v>
      </c>
      <c r="E1" t="s">
        <v>237</v>
      </c>
      <c r="F1" s="2" t="str">
        <f>'Model_Input (1)'!D4</f>
        <v>SO1</v>
      </c>
      <c r="G1" s="2">
        <f>'Model_Input (1)'!E4</f>
        <v>45292</v>
      </c>
    </row>
    <row r="2" spans="1:7" x14ac:dyDescent="0.3">
      <c r="A2" t="s">
        <v>71</v>
      </c>
      <c r="B2" s="19">
        <f>'Model_Input (1)'!B5</f>
        <v>12</v>
      </c>
      <c r="C2" s="23" t="s">
        <v>121</v>
      </c>
      <c r="D2" s="19">
        <f>'Model_Input (1)'!C5</f>
        <v>1</v>
      </c>
      <c r="E2" s="23"/>
      <c r="G2" s="2">
        <f>'Model_Input (1)'!E5</f>
        <v>45292</v>
      </c>
    </row>
    <row r="3" spans="1:7" x14ac:dyDescent="0.3">
      <c r="A3" t="s">
        <v>166</v>
      </c>
      <c r="B3">
        <f>B1*B2</f>
        <v>1200</v>
      </c>
      <c r="C3" s="23" t="s">
        <v>121</v>
      </c>
      <c r="D3" s="19">
        <f>D2</f>
        <v>1</v>
      </c>
      <c r="E3" s="23"/>
    </row>
    <row r="5" spans="1:7" x14ac:dyDescent="0.3">
      <c r="A5" t="s">
        <v>234</v>
      </c>
      <c r="B5" s="2">
        <f>'Model_Input (1)'!B3</f>
        <v>45292</v>
      </c>
      <c r="C5" s="23" t="s">
        <v>121</v>
      </c>
      <c r="D5" s="19">
        <f>'Model_Input (1)'!F3</f>
        <v>1</v>
      </c>
      <c r="E5" s="23"/>
    </row>
    <row r="6" spans="1:7" x14ac:dyDescent="0.3">
      <c r="A6" t="s">
        <v>235</v>
      </c>
      <c r="B6" s="19">
        <f>'Model_Input (1)'!E3</f>
        <v>1200</v>
      </c>
      <c r="C6" s="23" t="s">
        <v>121</v>
      </c>
      <c r="D6" s="19">
        <f>D5</f>
        <v>1</v>
      </c>
      <c r="E6" s="23"/>
    </row>
    <row r="7" spans="1:7" x14ac:dyDescent="0.3">
      <c r="A7" t="s">
        <v>214</v>
      </c>
      <c r="B7" t="str">
        <f>IF(B5&lt;&gt;"","Billed","Unbilled")</f>
        <v>Billed</v>
      </c>
      <c r="C7" s="23" t="s">
        <v>121</v>
      </c>
      <c r="D7" s="19">
        <f>D6</f>
        <v>1</v>
      </c>
      <c r="E7" s="23"/>
    </row>
    <row r="10" spans="1:7" x14ac:dyDescent="0.3">
      <c r="A10" t="s">
        <v>238</v>
      </c>
      <c r="B10" s="2">
        <f>G1</f>
        <v>45292</v>
      </c>
    </row>
    <row r="12" spans="1:7" x14ac:dyDescent="0.3">
      <c r="A12" t="s">
        <v>231</v>
      </c>
      <c r="B12" s="19">
        <f>'Model_Input (1)'!B6</f>
        <v>0.2</v>
      </c>
      <c r="C12" s="23" t="s">
        <v>121</v>
      </c>
      <c r="D12" s="19">
        <f>D7</f>
        <v>1</v>
      </c>
    </row>
    <row r="13" spans="1:7" x14ac:dyDescent="0.3">
      <c r="A13" t="s">
        <v>243</v>
      </c>
      <c r="B13">
        <f>(1-B12)*B3</f>
        <v>960</v>
      </c>
      <c r="C13" s="23" t="s">
        <v>121</v>
      </c>
      <c r="D13" s="19">
        <f>D7</f>
        <v>1</v>
      </c>
    </row>
    <row r="14" spans="1:7" s="23" customFormat="1" x14ac:dyDescent="0.3">
      <c r="A14" s="23" t="s">
        <v>100</v>
      </c>
      <c r="D14" s="19"/>
    </row>
    <row r="15" spans="1:7" x14ac:dyDescent="0.3">
      <c r="A15" s="24" t="s">
        <v>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5F3D-EA40-4530-BC9F-CA08151C9853}">
  <sheetPr>
    <tabColor theme="4" tint="0.39997558519241921"/>
  </sheetPr>
  <dimension ref="A1:I50"/>
  <sheetViews>
    <sheetView workbookViewId="0">
      <selection activeCell="F11" sqref="F11"/>
    </sheetView>
  </sheetViews>
  <sheetFormatPr defaultRowHeight="14.4" x14ac:dyDescent="0.3"/>
  <cols>
    <col min="1" max="1" width="22" style="23" customWidth="1"/>
    <col min="2" max="2" width="12" style="23" bestFit="1" customWidth="1"/>
    <col min="3" max="3" width="15" style="23" bestFit="1" customWidth="1"/>
    <col min="4" max="4" width="15" style="23" customWidth="1"/>
    <col min="5" max="5" width="31.5546875" style="23" customWidth="1"/>
    <col min="6" max="6" width="15.77734375" style="23" customWidth="1"/>
    <col min="7" max="7" width="15.33203125" style="23" customWidth="1"/>
    <col min="8" max="16384" width="8.88671875" style="23"/>
  </cols>
  <sheetData>
    <row r="1" spans="1:9" x14ac:dyDescent="0.3">
      <c r="A1" s="24" t="s">
        <v>160</v>
      </c>
      <c r="B1" s="24" t="s">
        <v>27</v>
      </c>
      <c r="C1" s="24" t="s">
        <v>161</v>
      </c>
      <c r="D1" s="24" t="s">
        <v>93</v>
      </c>
      <c r="E1" s="24" t="s">
        <v>236</v>
      </c>
      <c r="F1" s="24"/>
      <c r="G1" s="24"/>
      <c r="H1" s="24"/>
      <c r="I1" s="24"/>
    </row>
    <row r="2" spans="1:9" x14ac:dyDescent="0.3">
      <c r="B2" s="2" t="str">
        <f>'Model_calc (1)'!F1</f>
        <v>SO1</v>
      </c>
      <c r="C2" s="20">
        <f>'Model_calc (1)'!D7</f>
        <v>1</v>
      </c>
      <c r="D2" s="20">
        <v>0</v>
      </c>
      <c r="E2" s="19" t="str">
        <f>'Model_calc (1)'!B7</f>
        <v>Billed</v>
      </c>
      <c r="F2" s="19"/>
      <c r="G2" s="20"/>
    </row>
    <row r="3" spans="1:9" x14ac:dyDescent="0.3">
      <c r="B3" s="2" t="str">
        <f>'Model_Calc (3)'!H22</f>
        <v/>
      </c>
      <c r="C3" s="2" t="str">
        <f>'Model_Calc (3)'!I22</f>
        <v/>
      </c>
      <c r="D3" s="2"/>
      <c r="E3" s="2" t="str">
        <f>'Model_Calc (3)'!J22</f>
        <v/>
      </c>
      <c r="F3" s="19" t="str">
        <f>'Model_Calc (3)'!K22</f>
        <v/>
      </c>
      <c r="G3" s="20" t="str">
        <f>'Model_Calc (3)'!L22</f>
        <v/>
      </c>
      <c r="H3" s="23" t="str">
        <f>'Model_Calc (3)'!M22</f>
        <v/>
      </c>
    </row>
    <row r="4" spans="1:9" x14ac:dyDescent="0.3">
      <c r="B4" s="2" t="str">
        <f>'Model_Calc (3)'!H23</f>
        <v/>
      </c>
      <c r="C4" s="2" t="str">
        <f>'Model_Calc (3)'!I23</f>
        <v/>
      </c>
      <c r="D4" s="2"/>
      <c r="E4" s="2" t="str">
        <f>'Model_Calc (3)'!J23</f>
        <v/>
      </c>
      <c r="F4" s="19" t="str">
        <f>'Model_Calc (3)'!K23</f>
        <v/>
      </c>
      <c r="G4" s="20" t="str">
        <f>'Model_Calc (3)'!L23</f>
        <v/>
      </c>
      <c r="H4" s="23" t="str">
        <f>'Model_Calc (3)'!M23</f>
        <v/>
      </c>
    </row>
    <row r="5" spans="1:9" x14ac:dyDescent="0.3">
      <c r="B5" s="2" t="str">
        <f>'Model_Calc (3)'!H24</f>
        <v/>
      </c>
      <c r="C5" s="2" t="str">
        <f>'Model_Calc (3)'!I24</f>
        <v/>
      </c>
      <c r="D5" s="2"/>
      <c r="E5" s="2" t="str">
        <f>'Model_Calc (3)'!J24</f>
        <v/>
      </c>
      <c r="F5" s="19" t="str">
        <f>'Model_Calc (3)'!K24</f>
        <v/>
      </c>
      <c r="G5" s="20" t="str">
        <f>'Model_Calc (3)'!L24</f>
        <v/>
      </c>
      <c r="H5" s="23" t="str">
        <f>'Model_Calc (3)'!M24</f>
        <v/>
      </c>
    </row>
    <row r="6" spans="1:9" x14ac:dyDescent="0.3">
      <c r="B6" s="2" t="str">
        <f>'Model_Calc (3)'!H25</f>
        <v/>
      </c>
      <c r="C6" s="2" t="str">
        <f>'Model_Calc (3)'!I25</f>
        <v/>
      </c>
      <c r="D6" s="2"/>
      <c r="E6" s="2" t="str">
        <f>'Model_Calc (3)'!J25</f>
        <v/>
      </c>
      <c r="F6" s="19" t="str">
        <f>'Model_Calc (3)'!K25</f>
        <v/>
      </c>
      <c r="G6" s="20" t="str">
        <f>'Model_Calc (3)'!L25</f>
        <v/>
      </c>
      <c r="H6" s="23" t="str">
        <f>'Model_Calc (3)'!M25</f>
        <v/>
      </c>
    </row>
    <row r="7" spans="1:9" x14ac:dyDescent="0.3">
      <c r="B7" s="2" t="str">
        <f>'Model_Calc (3)'!H26</f>
        <v/>
      </c>
      <c r="C7" s="2" t="str">
        <f>'Model_Calc (3)'!I26</f>
        <v/>
      </c>
      <c r="D7" s="2"/>
      <c r="E7" s="2" t="str">
        <f>'Model_Calc (3)'!J26</f>
        <v/>
      </c>
      <c r="F7" s="19" t="str">
        <f>'Model_Calc (3)'!K26</f>
        <v/>
      </c>
      <c r="G7" s="20" t="str">
        <f>'Model_Calc (3)'!L26</f>
        <v/>
      </c>
      <c r="H7" s="23" t="str">
        <f>'Model_Calc (3)'!M26</f>
        <v/>
      </c>
    </row>
    <row r="8" spans="1:9" x14ac:dyDescent="0.3">
      <c r="B8" s="2" t="str">
        <f>'Model_Calc (3)'!H27</f>
        <v/>
      </c>
      <c r="C8" s="2" t="str">
        <f>'Model_Calc (3)'!I27</f>
        <v/>
      </c>
      <c r="D8" s="2"/>
      <c r="E8" s="2" t="str">
        <f>'Model_Calc (3)'!J27</f>
        <v/>
      </c>
      <c r="F8" s="19" t="str">
        <f>'Model_Calc (3)'!K27</f>
        <v/>
      </c>
      <c r="G8" s="20" t="str">
        <f>'Model_Calc (3)'!L27</f>
        <v/>
      </c>
      <c r="H8" s="23" t="str">
        <f>'Model_Calc (3)'!M27</f>
        <v/>
      </c>
    </row>
    <row r="9" spans="1:9" x14ac:dyDescent="0.3">
      <c r="B9" s="2" t="str">
        <f>'Model_Calc (3)'!H28</f>
        <v/>
      </c>
      <c r="C9" s="2" t="str">
        <f>'Model_Calc (3)'!I28</f>
        <v/>
      </c>
      <c r="D9" s="2"/>
      <c r="E9" s="2" t="str">
        <f>'Model_Calc (3)'!J28</f>
        <v/>
      </c>
      <c r="F9" s="19" t="str">
        <f>'Model_Calc (3)'!K28</f>
        <v/>
      </c>
      <c r="G9" s="20" t="str">
        <f>'Model_Calc (3)'!L28</f>
        <v/>
      </c>
      <c r="H9" s="23" t="str">
        <f>'Model_Calc (3)'!M28</f>
        <v/>
      </c>
    </row>
    <row r="10" spans="1:9" x14ac:dyDescent="0.3">
      <c r="B10" s="2" t="str">
        <f>'Model_Calc (3)'!H29</f>
        <v/>
      </c>
      <c r="C10" s="2" t="str">
        <f>'Model_Calc (3)'!I29</f>
        <v/>
      </c>
      <c r="D10" s="2"/>
      <c r="E10" s="2" t="str">
        <f>'Model_Calc (3)'!J29</f>
        <v/>
      </c>
      <c r="F10" s="19" t="str">
        <f>'Model_Calc (3)'!K29</f>
        <v/>
      </c>
      <c r="G10" s="20" t="str">
        <f>'Model_Calc (3)'!L29</f>
        <v/>
      </c>
      <c r="H10" s="23" t="str">
        <f>'Model_Calc (3)'!M29</f>
        <v/>
      </c>
    </row>
    <row r="11" spans="1:9" x14ac:dyDescent="0.3">
      <c r="B11" s="2" t="str">
        <f>'Model_Calc (3)'!H30</f>
        <v/>
      </c>
      <c r="C11" s="2" t="str">
        <f>'Model_Calc (3)'!I30</f>
        <v/>
      </c>
      <c r="D11" s="2"/>
      <c r="E11" s="2" t="str">
        <f>'Model_Calc (3)'!J30</f>
        <v/>
      </c>
      <c r="F11" s="19" t="str">
        <f>'Model_Calc (3)'!K30</f>
        <v/>
      </c>
      <c r="G11" s="20" t="str">
        <f>'Model_Calc (3)'!L30</f>
        <v/>
      </c>
      <c r="H11" s="23" t="str">
        <f>'Model_Calc (3)'!M30</f>
        <v/>
      </c>
    </row>
    <row r="12" spans="1:9" x14ac:dyDescent="0.3">
      <c r="B12" s="2" t="str">
        <f>'Model_Calc (3)'!H31</f>
        <v/>
      </c>
      <c r="C12" s="2" t="str">
        <f>'Model_Calc (3)'!I31</f>
        <v/>
      </c>
      <c r="D12" s="2"/>
      <c r="E12" s="2" t="str">
        <f>'Model_Calc (3)'!J31</f>
        <v/>
      </c>
      <c r="F12" s="19" t="str">
        <f>'Model_Calc (3)'!K31</f>
        <v/>
      </c>
      <c r="G12" s="20" t="str">
        <f>'Model_Calc (3)'!L31</f>
        <v/>
      </c>
      <c r="H12" s="23" t="str">
        <f>'Model_Calc (3)'!M31</f>
        <v/>
      </c>
    </row>
    <row r="13" spans="1:9" x14ac:dyDescent="0.3">
      <c r="B13" s="2" t="str">
        <f>'Model_Calc (3)'!H32</f>
        <v/>
      </c>
      <c r="C13" s="2" t="str">
        <f>'Model_Calc (3)'!I32</f>
        <v/>
      </c>
      <c r="D13" s="2"/>
      <c r="E13" s="2" t="str">
        <f>'Model_Calc (3)'!J32</f>
        <v/>
      </c>
      <c r="F13" s="19" t="str">
        <f>'Model_Calc (3)'!K32</f>
        <v/>
      </c>
      <c r="G13" s="20" t="str">
        <f>'Model_Calc (3)'!L32</f>
        <v/>
      </c>
      <c r="H13" s="23" t="str">
        <f>'Model_Calc (3)'!M32</f>
        <v/>
      </c>
    </row>
    <row r="14" spans="1:9" x14ac:dyDescent="0.3">
      <c r="B14" s="2" t="str">
        <f>'Model_Calc (3)'!H33</f>
        <v/>
      </c>
      <c r="C14" s="2" t="str">
        <f>'Model_Calc (3)'!I33</f>
        <v/>
      </c>
      <c r="D14" s="2"/>
      <c r="E14" s="2" t="str">
        <f>'Model_Calc (3)'!J33</f>
        <v/>
      </c>
      <c r="F14" s="19" t="str">
        <f>'Model_Calc (3)'!K33</f>
        <v/>
      </c>
      <c r="G14" s="20" t="str">
        <f>'Model_Calc (3)'!L33</f>
        <v/>
      </c>
      <c r="H14" s="23" t="str">
        <f>'Model_Calc (3)'!M33</f>
        <v/>
      </c>
    </row>
    <row r="15" spans="1:9" x14ac:dyDescent="0.3">
      <c r="B15" s="2" t="str">
        <f>'Model_Calc (3)'!H34</f>
        <v/>
      </c>
      <c r="C15" s="2" t="str">
        <f>'Model_Calc (3)'!I34</f>
        <v/>
      </c>
      <c r="D15" s="2"/>
      <c r="E15" s="2" t="str">
        <f>'Model_Calc (3)'!J34</f>
        <v/>
      </c>
      <c r="F15" s="19" t="str">
        <f>'Model_Calc (3)'!K34</f>
        <v/>
      </c>
      <c r="G15" s="20" t="str">
        <f>'Model_Calc (3)'!L34</f>
        <v/>
      </c>
      <c r="H15" s="23" t="str">
        <f>'Model_Calc (3)'!M34</f>
        <v/>
      </c>
    </row>
    <row r="16" spans="1:9" x14ac:dyDescent="0.3">
      <c r="B16" s="2" t="str">
        <f>'Model_Calc (3)'!H35</f>
        <v/>
      </c>
      <c r="C16" s="2" t="str">
        <f>'Model_Calc (3)'!I35</f>
        <v/>
      </c>
      <c r="D16" s="2"/>
      <c r="E16" s="2" t="str">
        <f>'Model_Calc (3)'!J35</f>
        <v/>
      </c>
      <c r="F16" s="19" t="str">
        <f>'Model_Calc (3)'!K35</f>
        <v/>
      </c>
      <c r="G16" s="20" t="str">
        <f>'Model_Calc (3)'!L35</f>
        <v/>
      </c>
      <c r="H16" s="23" t="str">
        <f>'Model_Calc (3)'!M35</f>
        <v/>
      </c>
    </row>
    <row r="17" spans="2:8" x14ac:dyDescent="0.3">
      <c r="B17" s="2" t="str">
        <f>'Model_Calc (3)'!H36</f>
        <v/>
      </c>
      <c r="C17" s="2" t="str">
        <f>'Model_Calc (3)'!I36</f>
        <v/>
      </c>
      <c r="D17" s="2"/>
      <c r="E17" s="2" t="str">
        <f>'Model_Calc (3)'!J36</f>
        <v/>
      </c>
      <c r="F17" s="19" t="str">
        <f>'Model_Calc (3)'!K36</f>
        <v/>
      </c>
      <c r="G17" s="20" t="str">
        <f>'Model_Calc (3)'!L36</f>
        <v/>
      </c>
      <c r="H17" s="23" t="str">
        <f>'Model_Calc (3)'!M36</f>
        <v/>
      </c>
    </row>
    <row r="18" spans="2:8" x14ac:dyDescent="0.3">
      <c r="B18" s="2" t="str">
        <f>'Model_Calc (3)'!H37</f>
        <v/>
      </c>
      <c r="C18" s="2" t="str">
        <f>'Model_Calc (3)'!I37</f>
        <v/>
      </c>
      <c r="D18" s="2"/>
      <c r="E18" s="2" t="str">
        <f>'Model_Calc (3)'!J37</f>
        <v/>
      </c>
      <c r="F18" s="19" t="str">
        <f>'Model_Calc (3)'!K37</f>
        <v/>
      </c>
      <c r="G18" s="20" t="str">
        <f>'Model_Calc (3)'!L37</f>
        <v/>
      </c>
      <c r="H18" s="23" t="str">
        <f>'Model_Calc (3)'!M37</f>
        <v/>
      </c>
    </row>
    <row r="19" spans="2:8" x14ac:dyDescent="0.3">
      <c r="B19" s="2" t="str">
        <f>'Model_Calc (3)'!H38</f>
        <v/>
      </c>
      <c r="C19" s="2" t="str">
        <f>'Model_Calc (3)'!I38</f>
        <v/>
      </c>
      <c r="D19" s="2"/>
      <c r="E19" s="2" t="str">
        <f>'Model_Calc (3)'!J38</f>
        <v/>
      </c>
      <c r="F19" s="19" t="str">
        <f>'Model_Calc (3)'!K38</f>
        <v/>
      </c>
      <c r="G19" s="20" t="str">
        <f>'Model_Calc (3)'!L38</f>
        <v/>
      </c>
      <c r="H19" s="23" t="str">
        <f>'Model_Calc (3)'!M38</f>
        <v/>
      </c>
    </row>
    <row r="20" spans="2:8" x14ac:dyDescent="0.3">
      <c r="B20" s="2" t="str">
        <f>'Model_Calc (3)'!H39</f>
        <v/>
      </c>
      <c r="C20" s="2" t="str">
        <f>'Model_Calc (3)'!I39</f>
        <v/>
      </c>
      <c r="D20" s="2"/>
      <c r="E20" s="2" t="str">
        <f>'Model_Calc (3)'!J39</f>
        <v/>
      </c>
      <c r="F20" s="19" t="str">
        <f>'Model_Calc (3)'!K39</f>
        <v/>
      </c>
      <c r="G20" s="20" t="str">
        <f>'Model_Calc (3)'!L39</f>
        <v/>
      </c>
      <c r="H20" s="23" t="str">
        <f>'Model_Calc (3)'!M39</f>
        <v/>
      </c>
    </row>
    <row r="21" spans="2:8" x14ac:dyDescent="0.3">
      <c r="B21" s="2" t="str">
        <f>'Model_Calc (3)'!H40</f>
        <v/>
      </c>
      <c r="C21" s="2" t="str">
        <f>'Model_Calc (3)'!I40</f>
        <v/>
      </c>
      <c r="D21" s="2"/>
      <c r="E21" s="2" t="str">
        <f>'Model_Calc (3)'!J40</f>
        <v/>
      </c>
      <c r="F21" s="19" t="str">
        <f>'Model_Calc (3)'!K40</f>
        <v/>
      </c>
      <c r="G21" s="20" t="str">
        <f>'Model_Calc (3)'!L40</f>
        <v/>
      </c>
      <c r="H21" s="23" t="str">
        <f>'Model_Calc (3)'!M40</f>
        <v/>
      </c>
    </row>
    <row r="22" spans="2:8" x14ac:dyDescent="0.3">
      <c r="B22" s="2" t="str">
        <f>'Model_Calc (3)'!H41</f>
        <v/>
      </c>
      <c r="C22" s="2" t="str">
        <f>'Model_Calc (3)'!I41</f>
        <v/>
      </c>
      <c r="D22" s="2"/>
      <c r="E22" s="2" t="str">
        <f>'Model_Calc (3)'!J41</f>
        <v/>
      </c>
      <c r="F22" s="19" t="str">
        <f>'Model_Calc (3)'!K41</f>
        <v/>
      </c>
      <c r="G22" s="20" t="str">
        <f>'Model_Calc (3)'!L41</f>
        <v/>
      </c>
      <c r="H22" s="23" t="str">
        <f>'Model_Calc (3)'!M41</f>
        <v/>
      </c>
    </row>
    <row r="23" spans="2:8" x14ac:dyDescent="0.3">
      <c r="B23" s="2" t="str">
        <f>'Model_Calc (3)'!H42</f>
        <v/>
      </c>
      <c r="C23" s="2" t="str">
        <f>'Model_Calc (3)'!I42</f>
        <v/>
      </c>
      <c r="D23" s="2"/>
      <c r="E23" s="2" t="str">
        <f>'Model_Calc (3)'!J42</f>
        <v/>
      </c>
      <c r="F23" s="19" t="str">
        <f>'Model_Calc (3)'!K42</f>
        <v/>
      </c>
      <c r="G23" s="20" t="str">
        <f>'Model_Calc (3)'!L42</f>
        <v/>
      </c>
      <c r="H23" s="23" t="str">
        <f>'Model_Calc (3)'!M42</f>
        <v/>
      </c>
    </row>
    <row r="24" spans="2:8" x14ac:dyDescent="0.3">
      <c r="B24" s="2" t="str">
        <f>'Model_Calc (3)'!H43</f>
        <v/>
      </c>
      <c r="C24" s="2" t="str">
        <f>'Model_Calc (3)'!I43</f>
        <v/>
      </c>
      <c r="D24" s="2"/>
      <c r="E24" s="2" t="str">
        <f>'Model_Calc (3)'!J43</f>
        <v/>
      </c>
      <c r="F24" s="19" t="str">
        <f>'Model_Calc (3)'!K43</f>
        <v/>
      </c>
      <c r="G24" s="20" t="str">
        <f>'Model_Calc (3)'!L43</f>
        <v/>
      </c>
      <c r="H24" s="23" t="str">
        <f>'Model_Calc (3)'!M43</f>
        <v/>
      </c>
    </row>
    <row r="25" spans="2:8" x14ac:dyDescent="0.3">
      <c r="B25" s="2" t="str">
        <f>'Model_Calc (3)'!H44</f>
        <v/>
      </c>
      <c r="C25" s="2" t="str">
        <f>'Model_Calc (3)'!I44</f>
        <v/>
      </c>
      <c r="D25" s="2"/>
      <c r="E25" s="2" t="str">
        <f>'Model_Calc (3)'!J44</f>
        <v/>
      </c>
      <c r="F25" s="19" t="str">
        <f>'Model_Calc (3)'!K44</f>
        <v/>
      </c>
      <c r="G25" s="20" t="str">
        <f>'Model_Calc (3)'!L44</f>
        <v/>
      </c>
      <c r="H25" s="23" t="str">
        <f>'Model_Calc (3)'!M44</f>
        <v/>
      </c>
    </row>
    <row r="26" spans="2:8" x14ac:dyDescent="0.3">
      <c r="B26" s="2" t="str">
        <f>'Model_Calc (3)'!H45</f>
        <v/>
      </c>
      <c r="C26" s="2" t="str">
        <f>'Model_Calc (3)'!I45</f>
        <v/>
      </c>
      <c r="D26" s="2"/>
      <c r="E26" s="2" t="str">
        <f>'Model_Calc (3)'!J45</f>
        <v/>
      </c>
      <c r="F26" s="19" t="str">
        <f>'Model_Calc (3)'!K45</f>
        <v/>
      </c>
      <c r="G26" s="20" t="str">
        <f>'Model_Calc (3)'!L45</f>
        <v/>
      </c>
      <c r="H26" s="23" t="str">
        <f>'Model_Calc (3)'!M45</f>
        <v/>
      </c>
    </row>
    <row r="27" spans="2:8" x14ac:dyDescent="0.3">
      <c r="B27" s="2" t="str">
        <f>'Model_Calc (3)'!H46</f>
        <v/>
      </c>
      <c r="C27" s="2" t="str">
        <f>'Model_Calc (3)'!I46</f>
        <v/>
      </c>
      <c r="D27" s="2"/>
      <c r="E27" s="2" t="str">
        <f>'Model_Calc (3)'!J46</f>
        <v/>
      </c>
      <c r="F27" s="19" t="str">
        <f>'Model_Calc (3)'!K46</f>
        <v/>
      </c>
      <c r="G27" s="20" t="str">
        <f>'Model_Calc (3)'!L46</f>
        <v/>
      </c>
      <c r="H27" s="23" t="str">
        <f>'Model_Calc (3)'!M46</f>
        <v/>
      </c>
    </row>
    <row r="28" spans="2:8" x14ac:dyDescent="0.3">
      <c r="B28" s="2" t="str">
        <f>'Model_Calc (3)'!H47</f>
        <v/>
      </c>
      <c r="C28" s="2" t="str">
        <f>'Model_Calc (3)'!I47</f>
        <v/>
      </c>
      <c r="D28" s="2"/>
      <c r="E28" s="2" t="str">
        <f>'Model_Calc (3)'!J47</f>
        <v/>
      </c>
      <c r="F28" s="19" t="str">
        <f>'Model_Calc (3)'!K47</f>
        <v/>
      </c>
      <c r="G28" s="20" t="str">
        <f>'Model_Calc (3)'!L47</f>
        <v/>
      </c>
      <c r="H28" s="23" t="str">
        <f>'Model_Calc (3)'!M47</f>
        <v/>
      </c>
    </row>
    <row r="29" spans="2:8" x14ac:dyDescent="0.3">
      <c r="B29" s="2" t="str">
        <f>'Model_Calc (3)'!H48</f>
        <v/>
      </c>
      <c r="C29" s="2" t="str">
        <f>'Model_Calc (3)'!I48</f>
        <v/>
      </c>
      <c r="D29" s="2"/>
      <c r="E29" s="2" t="str">
        <f>'Model_Calc (3)'!J48</f>
        <v/>
      </c>
      <c r="F29" s="19" t="str">
        <f>'Model_Calc (3)'!K48</f>
        <v/>
      </c>
      <c r="G29" s="20" t="str">
        <f>'Model_Calc (3)'!L48</f>
        <v/>
      </c>
      <c r="H29" s="23" t="str">
        <f>'Model_Calc (3)'!M48</f>
        <v/>
      </c>
    </row>
    <row r="30" spans="2:8" x14ac:dyDescent="0.3">
      <c r="B30" s="2" t="str">
        <f>'Model_Calc (3)'!H49</f>
        <v/>
      </c>
      <c r="C30" s="2" t="str">
        <f>'Model_Calc (3)'!I49</f>
        <v/>
      </c>
      <c r="D30" s="2"/>
      <c r="E30" s="2" t="str">
        <f>'Model_Calc (3)'!J49</f>
        <v/>
      </c>
      <c r="F30" s="19" t="str">
        <f>'Model_Calc (3)'!K49</f>
        <v/>
      </c>
      <c r="G30" s="20" t="str">
        <f>'Model_Calc (3)'!L49</f>
        <v/>
      </c>
      <c r="H30" s="23" t="str">
        <f>'Model_Calc (3)'!M49</f>
        <v/>
      </c>
    </row>
    <row r="31" spans="2:8" x14ac:dyDescent="0.3">
      <c r="B31" s="2" t="str">
        <f>'Model_Calc (3)'!H50</f>
        <v/>
      </c>
      <c r="C31" s="2" t="str">
        <f>'Model_Calc (3)'!I50</f>
        <v/>
      </c>
      <c r="D31" s="2"/>
      <c r="E31" s="2" t="str">
        <f>'Model_Calc (3)'!J50</f>
        <v/>
      </c>
      <c r="F31" s="19" t="str">
        <f>'Model_Calc (3)'!K50</f>
        <v/>
      </c>
      <c r="G31" s="20" t="str">
        <f>'Model_Calc (3)'!L50</f>
        <v/>
      </c>
      <c r="H31" s="23" t="str">
        <f>'Model_Calc (3)'!M50</f>
        <v/>
      </c>
    </row>
    <row r="32" spans="2:8" x14ac:dyDescent="0.3">
      <c r="B32" s="2" t="str">
        <f>'Model_Calc (3)'!H51</f>
        <v/>
      </c>
      <c r="C32" s="2" t="str">
        <f>'Model_Calc (3)'!I51</f>
        <v/>
      </c>
      <c r="D32" s="2"/>
      <c r="E32" s="2" t="str">
        <f>'Model_Calc (3)'!J51</f>
        <v/>
      </c>
      <c r="F32" s="19" t="str">
        <f>'Model_Calc (3)'!K51</f>
        <v/>
      </c>
      <c r="G32" s="20" t="str">
        <f>'Model_Calc (3)'!L51</f>
        <v/>
      </c>
      <c r="H32" s="23" t="str">
        <f>'Model_Calc (3)'!M51</f>
        <v/>
      </c>
    </row>
    <row r="33" spans="2:8" x14ac:dyDescent="0.3">
      <c r="B33" s="2" t="str">
        <f>'Model_Calc (3)'!H52</f>
        <v/>
      </c>
      <c r="C33" s="2" t="str">
        <f>'Model_Calc (3)'!I52</f>
        <v/>
      </c>
      <c r="D33" s="2"/>
      <c r="E33" s="2" t="str">
        <f>'Model_Calc (3)'!J52</f>
        <v/>
      </c>
      <c r="F33" s="19" t="str">
        <f>'Model_Calc (3)'!K52</f>
        <v/>
      </c>
      <c r="G33" s="20" t="str">
        <f>'Model_Calc (3)'!L52</f>
        <v/>
      </c>
      <c r="H33" s="23" t="str">
        <f>'Model_Calc (3)'!M52</f>
        <v/>
      </c>
    </row>
    <row r="34" spans="2:8" x14ac:dyDescent="0.3">
      <c r="B34" s="2" t="str">
        <f>'Model_Calc (3)'!H53</f>
        <v/>
      </c>
      <c r="C34" s="2" t="str">
        <f>'Model_Calc (3)'!I53</f>
        <v/>
      </c>
      <c r="D34" s="2"/>
      <c r="E34" s="2" t="str">
        <f>'Model_Calc (3)'!J53</f>
        <v/>
      </c>
      <c r="F34" s="19" t="str">
        <f>'Model_Calc (3)'!K53</f>
        <v/>
      </c>
      <c r="G34" s="20" t="str">
        <f>'Model_Calc (3)'!L53</f>
        <v/>
      </c>
      <c r="H34" s="23" t="str">
        <f>'Model_Calc (3)'!M53</f>
        <v/>
      </c>
    </row>
    <row r="35" spans="2:8" x14ac:dyDescent="0.3">
      <c r="B35" s="2" t="str">
        <f>'Model_Calc (3)'!H54</f>
        <v/>
      </c>
      <c r="C35" s="2" t="str">
        <f>'Model_Calc (3)'!I54</f>
        <v/>
      </c>
      <c r="D35" s="2"/>
      <c r="E35" s="2" t="str">
        <f>'Model_Calc (3)'!J54</f>
        <v/>
      </c>
      <c r="F35" s="19" t="str">
        <f>'Model_Calc (3)'!K54</f>
        <v/>
      </c>
      <c r="G35" s="20" t="str">
        <f>'Model_Calc (3)'!L54</f>
        <v/>
      </c>
      <c r="H35" s="23" t="str">
        <f>'Model_Calc (3)'!M54</f>
        <v/>
      </c>
    </row>
    <row r="36" spans="2:8" x14ac:dyDescent="0.3">
      <c r="B36" s="2"/>
      <c r="C36" s="2"/>
      <c r="D36" s="2"/>
      <c r="E36" s="2"/>
      <c r="F36" s="19"/>
      <c r="G36" s="20"/>
    </row>
    <row r="37" spans="2:8" x14ac:dyDescent="0.3">
      <c r="B37" s="2"/>
      <c r="C37" s="2"/>
      <c r="D37" s="2"/>
      <c r="E37" s="2"/>
      <c r="F37" s="19"/>
      <c r="G37" s="20"/>
    </row>
    <row r="38" spans="2:8" x14ac:dyDescent="0.3">
      <c r="B38" s="2"/>
      <c r="C38" s="2"/>
      <c r="D38" s="2"/>
      <c r="E38" s="2"/>
      <c r="F38" s="19"/>
      <c r="G38" s="20"/>
    </row>
    <row r="39" spans="2:8" x14ac:dyDescent="0.3">
      <c r="B39" s="2"/>
      <c r="C39" s="2"/>
      <c r="D39" s="2"/>
      <c r="E39" s="2"/>
      <c r="F39" s="19"/>
      <c r="G39" s="20"/>
    </row>
    <row r="40" spans="2:8" x14ac:dyDescent="0.3">
      <c r="B40" s="2"/>
      <c r="C40" s="2"/>
      <c r="D40" s="2"/>
      <c r="E40" s="2"/>
      <c r="F40" s="19"/>
      <c r="G40" s="20"/>
    </row>
    <row r="41" spans="2:8" x14ac:dyDescent="0.3">
      <c r="B41" s="2"/>
      <c r="C41" s="2"/>
      <c r="D41" s="2"/>
      <c r="E41" s="2"/>
      <c r="F41" s="19"/>
      <c r="G41" s="20"/>
    </row>
    <row r="42" spans="2:8" x14ac:dyDescent="0.3">
      <c r="B42" s="2"/>
      <c r="C42" s="2"/>
      <c r="D42" s="2"/>
      <c r="E42" s="2"/>
      <c r="F42" s="19"/>
      <c r="G42" s="20"/>
    </row>
    <row r="43" spans="2:8" x14ac:dyDescent="0.3">
      <c r="B43" s="2"/>
      <c r="C43" s="2"/>
      <c r="D43" s="2"/>
      <c r="E43" s="2"/>
      <c r="F43" s="19"/>
      <c r="G43" s="20"/>
    </row>
    <row r="44" spans="2:8" x14ac:dyDescent="0.3">
      <c r="B44" s="2"/>
      <c r="C44" s="2"/>
      <c r="D44" s="2"/>
      <c r="E44" s="2"/>
      <c r="F44" s="19"/>
      <c r="G44" s="20"/>
    </row>
    <row r="45" spans="2:8" x14ac:dyDescent="0.3">
      <c r="B45" s="2"/>
      <c r="C45" s="2"/>
      <c r="D45" s="2"/>
      <c r="E45" s="2"/>
      <c r="F45" s="19"/>
      <c r="G45" s="20"/>
    </row>
    <row r="46" spans="2:8" x14ac:dyDescent="0.3">
      <c r="B46" s="2"/>
      <c r="C46" s="2"/>
      <c r="D46" s="2"/>
      <c r="E46" s="2"/>
      <c r="F46" s="19"/>
      <c r="G46" s="20"/>
    </row>
    <row r="47" spans="2:8" x14ac:dyDescent="0.3">
      <c r="B47" s="2"/>
      <c r="C47" s="2"/>
      <c r="D47" s="2"/>
      <c r="E47" s="2"/>
      <c r="F47" s="19"/>
      <c r="G47" s="20"/>
    </row>
    <row r="48" spans="2:8" x14ac:dyDescent="0.3">
      <c r="B48" s="2"/>
      <c r="C48" s="2"/>
      <c r="D48" s="2"/>
      <c r="E48" s="2"/>
      <c r="F48" s="19"/>
      <c r="G48" s="20"/>
    </row>
    <row r="49" spans="2:7" x14ac:dyDescent="0.3">
      <c r="B49" s="2"/>
      <c r="C49" s="2"/>
      <c r="D49" s="2"/>
      <c r="E49" s="2"/>
      <c r="F49" s="19"/>
      <c r="G49" s="20"/>
    </row>
    <row r="50" spans="2:7" x14ac:dyDescent="0.3">
      <c r="B50" s="2"/>
      <c r="C50" s="2"/>
      <c r="D50" s="2"/>
      <c r="E50" s="2"/>
      <c r="F50" s="19"/>
      <c r="G50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F349-04C2-4B88-90E3-64B2688274F8}">
  <sheetPr>
    <tabColor theme="4" tint="0.39997558519241921"/>
  </sheetPr>
  <dimension ref="A1:H3"/>
  <sheetViews>
    <sheetView workbookViewId="0">
      <selection activeCell="F11" sqref="F11"/>
    </sheetView>
  </sheetViews>
  <sheetFormatPr defaultRowHeight="14.4" x14ac:dyDescent="0.3"/>
  <cols>
    <col min="1" max="1" width="22" style="23" customWidth="1"/>
    <col min="2" max="2" width="12" style="23" bestFit="1" customWidth="1"/>
    <col min="3" max="3" width="15" style="23" bestFit="1" customWidth="1"/>
    <col min="4" max="4" width="15.109375" style="23" customWidth="1"/>
    <col min="5" max="5" width="15.77734375" style="23" customWidth="1"/>
    <col min="6" max="6" width="15.33203125" style="23" customWidth="1"/>
    <col min="7" max="16384" width="8.88671875" style="23"/>
  </cols>
  <sheetData>
    <row r="1" spans="1:8" x14ac:dyDescent="0.3">
      <c r="A1" s="24" t="s">
        <v>173</v>
      </c>
      <c r="B1" s="24" t="s">
        <v>49</v>
      </c>
      <c r="C1" s="24" t="s">
        <v>27</v>
      </c>
      <c r="D1" s="24" t="s">
        <v>28</v>
      </c>
      <c r="E1" s="24" t="s">
        <v>30</v>
      </c>
      <c r="F1" s="24" t="s">
        <v>72</v>
      </c>
      <c r="G1" s="24" t="s">
        <v>93</v>
      </c>
      <c r="H1" s="24" t="s">
        <v>107</v>
      </c>
    </row>
    <row r="2" spans="1:8" x14ac:dyDescent="0.3">
      <c r="B2" s="2">
        <f>'Model_calc (1)'!B10</f>
        <v>45292</v>
      </c>
      <c r="C2" s="2" t="str">
        <f>'Model_calc (1)'!F1</f>
        <v>SO1</v>
      </c>
      <c r="D2" s="2" t="str">
        <f>'Model_calc (1)'!A3</f>
        <v>ExtendedSalesPrice</v>
      </c>
      <c r="E2" s="19">
        <f>'Model_calc (1)'!B3</f>
        <v>1200</v>
      </c>
      <c r="F2" s="20">
        <f>'Model_Calc (3)'!L9</f>
        <v>1</v>
      </c>
      <c r="G2" s="23">
        <f>'Model_Calc (3)'!M9</f>
        <v>0</v>
      </c>
    </row>
    <row r="3" spans="1:8" x14ac:dyDescent="0.3">
      <c r="B3" s="2">
        <f>B2</f>
        <v>45292</v>
      </c>
      <c r="C3" s="2" t="str">
        <f>C2</f>
        <v>SO1</v>
      </c>
      <c r="D3" s="23" t="str">
        <f>'Model_calc (1)'!A15</f>
        <v>StandaloneSellingPrice</v>
      </c>
      <c r="E3" s="23">
        <f>'Model_calc (1)'!B13</f>
        <v>960</v>
      </c>
      <c r="F3" s="20">
        <f>F2</f>
        <v>1</v>
      </c>
      <c r="G3" s="23">
        <f>G2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7660-6CEF-45C9-B2DE-F2FE6AF64F7A}">
  <sheetPr>
    <tabColor rgb="FFFFFF00"/>
  </sheetPr>
  <dimension ref="A1:H17"/>
  <sheetViews>
    <sheetView workbookViewId="0">
      <selection activeCell="A3" sqref="A3"/>
    </sheetView>
  </sheetViews>
  <sheetFormatPr defaultRowHeight="14.4" x14ac:dyDescent="0.3"/>
  <cols>
    <col min="1" max="1" width="22.21875" style="23" customWidth="1"/>
    <col min="2" max="2" width="19" style="23" customWidth="1"/>
    <col min="3" max="4" width="8.88671875" style="23"/>
    <col min="5" max="5" width="15.77734375" style="23" customWidth="1"/>
    <col min="6" max="16384" width="8.88671875" style="23"/>
  </cols>
  <sheetData>
    <row r="1" spans="1:8" x14ac:dyDescent="0.3">
      <c r="A1" s="11" t="s">
        <v>56</v>
      </c>
    </row>
    <row r="2" spans="1:8" x14ac:dyDescent="0.3">
      <c r="A2" s="23" t="s">
        <v>105</v>
      </c>
      <c r="B2" s="2">
        <v>45292</v>
      </c>
    </row>
    <row r="3" spans="1:8" x14ac:dyDescent="0.3">
      <c r="B3" s="2"/>
    </row>
    <row r="4" spans="1:8" x14ac:dyDescent="0.3">
      <c r="A4" s="24" t="s">
        <v>7</v>
      </c>
    </row>
    <row r="5" spans="1:8" x14ac:dyDescent="0.3">
      <c r="A5" s="24" t="s">
        <v>50</v>
      </c>
      <c r="B5" s="24" t="s">
        <v>52</v>
      </c>
      <c r="C5" s="24" t="s">
        <v>53</v>
      </c>
      <c r="D5" s="24" t="s">
        <v>54</v>
      </c>
      <c r="E5" s="24" t="s">
        <v>51</v>
      </c>
      <c r="F5" s="24" t="s">
        <v>55</v>
      </c>
      <c r="G5" s="24" t="s">
        <v>47</v>
      </c>
      <c r="H5" s="24" t="s">
        <v>58</v>
      </c>
    </row>
    <row r="6" spans="1:8" x14ac:dyDescent="0.3">
      <c r="A6" s="2">
        <f>B2</f>
        <v>45292</v>
      </c>
      <c r="B6" s="23">
        <f>MONTH(A6)</f>
        <v>1</v>
      </c>
      <c r="C6" s="23">
        <f>YEAR(A6)</f>
        <v>2024</v>
      </c>
      <c r="D6" s="23">
        <f>DAY(EOMONTH(A6,0))</f>
        <v>31</v>
      </c>
      <c r="E6" s="2">
        <f t="shared" ref="E6:E17" si="0">A6+D6</f>
        <v>45323</v>
      </c>
      <c r="F6" s="23">
        <v>1</v>
      </c>
      <c r="G6" s="23" t="str">
        <f>CONCATENATE($C$17,"-",F6)</f>
        <v>2024-1</v>
      </c>
      <c r="H6" s="23" t="s">
        <v>59</v>
      </c>
    </row>
    <row r="7" spans="1:8" x14ac:dyDescent="0.3">
      <c r="A7" s="2">
        <f>E6</f>
        <v>45323</v>
      </c>
      <c r="B7" s="23">
        <f>MONTH(A7)</f>
        <v>2</v>
      </c>
      <c r="C7" s="23">
        <f>YEAR(A7)</f>
        <v>2024</v>
      </c>
      <c r="D7" s="23">
        <f>DAY(EOMONTH(A7,0))</f>
        <v>29</v>
      </c>
      <c r="E7" s="2">
        <f t="shared" si="0"/>
        <v>45352</v>
      </c>
      <c r="F7" s="23">
        <f>F6+1</f>
        <v>2</v>
      </c>
      <c r="G7" s="23" t="str">
        <f t="shared" ref="G7:G17" si="1">CONCATENATE($C$17,"-",F7)</f>
        <v>2024-2</v>
      </c>
      <c r="H7" s="23" t="s">
        <v>59</v>
      </c>
    </row>
    <row r="8" spans="1:8" x14ac:dyDescent="0.3">
      <c r="A8" s="2">
        <f t="shared" ref="A8:A17" si="2">E7</f>
        <v>45352</v>
      </c>
      <c r="B8" s="23">
        <f t="shared" ref="B8:B17" si="3">MONTH(A8)</f>
        <v>3</v>
      </c>
      <c r="C8" s="23">
        <f t="shared" ref="C8:C17" si="4">YEAR(A8)</f>
        <v>2024</v>
      </c>
      <c r="D8" s="23">
        <f t="shared" ref="D8:D17" si="5">DAY(EOMONTH(A8,0))</f>
        <v>31</v>
      </c>
      <c r="E8" s="2">
        <f t="shared" si="0"/>
        <v>45383</v>
      </c>
      <c r="F8" s="23">
        <f t="shared" ref="F8:F17" si="6">F7+1</f>
        <v>3</v>
      </c>
      <c r="G8" s="23" t="str">
        <f t="shared" si="1"/>
        <v>2024-3</v>
      </c>
      <c r="H8" s="23" t="s">
        <v>59</v>
      </c>
    </row>
    <row r="9" spans="1:8" x14ac:dyDescent="0.3">
      <c r="A9" s="2">
        <f t="shared" si="2"/>
        <v>45383</v>
      </c>
      <c r="B9" s="23">
        <f t="shared" si="3"/>
        <v>4</v>
      </c>
      <c r="C9" s="23">
        <f t="shared" si="4"/>
        <v>2024</v>
      </c>
      <c r="D9" s="23">
        <f t="shared" si="5"/>
        <v>30</v>
      </c>
      <c r="E9" s="2">
        <f t="shared" si="0"/>
        <v>45413</v>
      </c>
      <c r="F9" s="23">
        <f t="shared" si="6"/>
        <v>4</v>
      </c>
      <c r="G9" s="23" t="str">
        <f t="shared" si="1"/>
        <v>2024-4</v>
      </c>
      <c r="H9" s="23" t="s">
        <v>59</v>
      </c>
    </row>
    <row r="10" spans="1:8" x14ac:dyDescent="0.3">
      <c r="A10" s="2">
        <f t="shared" si="2"/>
        <v>45413</v>
      </c>
      <c r="B10" s="23">
        <f t="shared" si="3"/>
        <v>5</v>
      </c>
      <c r="C10" s="23">
        <f t="shared" si="4"/>
        <v>2024</v>
      </c>
      <c r="D10" s="23">
        <f t="shared" si="5"/>
        <v>31</v>
      </c>
      <c r="E10" s="2">
        <f t="shared" si="0"/>
        <v>45444</v>
      </c>
      <c r="F10" s="23">
        <f t="shared" si="6"/>
        <v>5</v>
      </c>
      <c r="G10" s="23" t="str">
        <f t="shared" si="1"/>
        <v>2024-5</v>
      </c>
      <c r="H10" s="23" t="s">
        <v>59</v>
      </c>
    </row>
    <row r="11" spans="1:8" x14ac:dyDescent="0.3">
      <c r="A11" s="2">
        <f t="shared" si="2"/>
        <v>45444</v>
      </c>
      <c r="B11" s="23">
        <f t="shared" si="3"/>
        <v>6</v>
      </c>
      <c r="C11" s="23">
        <f t="shared" si="4"/>
        <v>2024</v>
      </c>
      <c r="D11" s="23">
        <f t="shared" si="5"/>
        <v>30</v>
      </c>
      <c r="E11" s="2">
        <f t="shared" si="0"/>
        <v>45474</v>
      </c>
      <c r="F11" s="23">
        <f t="shared" si="6"/>
        <v>6</v>
      </c>
      <c r="G11" s="23" t="str">
        <f t="shared" si="1"/>
        <v>2024-6</v>
      </c>
      <c r="H11" s="23" t="s">
        <v>59</v>
      </c>
    </row>
    <row r="12" spans="1:8" x14ac:dyDescent="0.3">
      <c r="A12" s="2">
        <f t="shared" si="2"/>
        <v>45474</v>
      </c>
      <c r="B12" s="23">
        <f t="shared" si="3"/>
        <v>7</v>
      </c>
      <c r="C12" s="23">
        <f t="shared" si="4"/>
        <v>2024</v>
      </c>
      <c r="D12" s="23">
        <f t="shared" si="5"/>
        <v>31</v>
      </c>
      <c r="E12" s="2">
        <f t="shared" si="0"/>
        <v>45505</v>
      </c>
      <c r="F12" s="23">
        <f t="shared" si="6"/>
        <v>7</v>
      </c>
      <c r="G12" s="23" t="str">
        <f t="shared" si="1"/>
        <v>2024-7</v>
      </c>
      <c r="H12" s="23" t="s">
        <v>59</v>
      </c>
    </row>
    <row r="13" spans="1:8" x14ac:dyDescent="0.3">
      <c r="A13" s="2">
        <f t="shared" si="2"/>
        <v>45505</v>
      </c>
      <c r="B13" s="23">
        <f t="shared" si="3"/>
        <v>8</v>
      </c>
      <c r="C13" s="23">
        <f t="shared" si="4"/>
        <v>2024</v>
      </c>
      <c r="D13" s="23">
        <f t="shared" si="5"/>
        <v>31</v>
      </c>
      <c r="E13" s="2">
        <f t="shared" si="0"/>
        <v>45536</v>
      </c>
      <c r="F13" s="23">
        <f t="shared" si="6"/>
        <v>8</v>
      </c>
      <c r="G13" s="23" t="str">
        <f t="shared" si="1"/>
        <v>2024-8</v>
      </c>
      <c r="H13" s="23" t="s">
        <v>59</v>
      </c>
    </row>
    <row r="14" spans="1:8" x14ac:dyDescent="0.3">
      <c r="A14" s="2">
        <f t="shared" si="2"/>
        <v>45536</v>
      </c>
      <c r="B14" s="23">
        <f t="shared" si="3"/>
        <v>9</v>
      </c>
      <c r="C14" s="23">
        <f t="shared" si="4"/>
        <v>2024</v>
      </c>
      <c r="D14" s="23">
        <f t="shared" si="5"/>
        <v>30</v>
      </c>
      <c r="E14" s="2">
        <f t="shared" si="0"/>
        <v>45566</v>
      </c>
      <c r="F14" s="23">
        <f t="shared" si="6"/>
        <v>9</v>
      </c>
      <c r="G14" s="23" t="str">
        <f t="shared" si="1"/>
        <v>2024-9</v>
      </c>
      <c r="H14" s="23" t="s">
        <v>59</v>
      </c>
    </row>
    <row r="15" spans="1:8" x14ac:dyDescent="0.3">
      <c r="A15" s="2">
        <f t="shared" si="2"/>
        <v>45566</v>
      </c>
      <c r="B15" s="23">
        <f t="shared" si="3"/>
        <v>10</v>
      </c>
      <c r="C15" s="23">
        <f t="shared" si="4"/>
        <v>2024</v>
      </c>
      <c r="D15" s="23">
        <f t="shared" si="5"/>
        <v>31</v>
      </c>
      <c r="E15" s="2">
        <f t="shared" si="0"/>
        <v>45597</v>
      </c>
      <c r="F15" s="23">
        <f t="shared" si="6"/>
        <v>10</v>
      </c>
      <c r="G15" s="23" t="str">
        <f t="shared" si="1"/>
        <v>2024-10</v>
      </c>
      <c r="H15" s="23" t="s">
        <v>59</v>
      </c>
    </row>
    <row r="16" spans="1:8" x14ac:dyDescent="0.3">
      <c r="A16" s="2">
        <f t="shared" si="2"/>
        <v>45597</v>
      </c>
      <c r="B16" s="23">
        <f t="shared" si="3"/>
        <v>11</v>
      </c>
      <c r="C16" s="23">
        <f t="shared" si="4"/>
        <v>2024</v>
      </c>
      <c r="D16" s="23">
        <f t="shared" si="5"/>
        <v>30</v>
      </c>
      <c r="E16" s="2">
        <f t="shared" si="0"/>
        <v>45627</v>
      </c>
      <c r="F16" s="23">
        <f t="shared" si="6"/>
        <v>11</v>
      </c>
      <c r="G16" s="23" t="str">
        <f t="shared" si="1"/>
        <v>2024-11</v>
      </c>
      <c r="H16" s="23" t="s">
        <v>59</v>
      </c>
    </row>
    <row r="17" spans="1:8" x14ac:dyDescent="0.3">
      <c r="A17" s="2">
        <f t="shared" si="2"/>
        <v>45627</v>
      </c>
      <c r="B17" s="23">
        <f t="shared" si="3"/>
        <v>12</v>
      </c>
      <c r="C17" s="23">
        <f t="shared" si="4"/>
        <v>2024</v>
      </c>
      <c r="D17" s="23">
        <f t="shared" si="5"/>
        <v>31</v>
      </c>
      <c r="E17" s="2">
        <f t="shared" si="0"/>
        <v>45658</v>
      </c>
      <c r="F17" s="23">
        <f t="shared" si="6"/>
        <v>12</v>
      </c>
      <c r="G17" s="23" t="str">
        <f t="shared" si="1"/>
        <v>2024-12</v>
      </c>
      <c r="H17" s="23" t="s">
        <v>59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BD9C-D84E-42C1-828D-339517E53929}">
  <sheetPr>
    <tabColor rgb="FFFFFF00"/>
  </sheetPr>
  <dimension ref="A1:I14"/>
  <sheetViews>
    <sheetView workbookViewId="0">
      <selection activeCell="F21" sqref="F21"/>
    </sheetView>
  </sheetViews>
  <sheetFormatPr defaultRowHeight="14.4" x14ac:dyDescent="0.3"/>
  <cols>
    <col min="1" max="1" width="34.6640625" style="23" customWidth="1"/>
    <col min="2" max="2" width="24.109375" style="23" customWidth="1"/>
    <col min="3" max="3" width="14.77734375" style="23" bestFit="1" customWidth="1"/>
    <col min="4" max="4" width="12" style="23" bestFit="1" customWidth="1"/>
    <col min="5" max="5" width="31.109375" style="23" customWidth="1"/>
    <col min="6" max="6" width="18.44140625" style="23" customWidth="1"/>
    <col min="7" max="7" width="22.5546875" style="23" customWidth="1"/>
    <col min="8" max="8" width="24.88671875" style="23" customWidth="1"/>
    <col min="9" max="16384" width="8.88671875" style="23"/>
  </cols>
  <sheetData>
    <row r="1" spans="1:9" x14ac:dyDescent="0.3">
      <c r="A1" s="24" t="s">
        <v>7</v>
      </c>
    </row>
    <row r="2" spans="1:9" x14ac:dyDescent="0.3">
      <c r="A2" s="24" t="s">
        <v>63</v>
      </c>
      <c r="B2" s="24" t="s">
        <v>64</v>
      </c>
      <c r="C2" s="24" t="s">
        <v>49</v>
      </c>
      <c r="D2" s="24" t="s">
        <v>27</v>
      </c>
      <c r="E2" s="24" t="s">
        <v>28</v>
      </c>
      <c r="F2" s="24" t="s">
        <v>30</v>
      </c>
      <c r="G2" s="24" t="s">
        <v>72</v>
      </c>
      <c r="H2" s="24" t="s">
        <v>87</v>
      </c>
      <c r="I2" s="24" t="s">
        <v>245</v>
      </c>
    </row>
    <row r="3" spans="1:9" x14ac:dyDescent="0.3">
      <c r="A3" s="23">
        <v>1</v>
      </c>
      <c r="B3" s="23" t="str">
        <f>VLOOKUP('TransactionHistory (1)'!C3,'AccountingPeriod (3)'!$A$6:$G$17,7,TRUE)</f>
        <v>2024-1</v>
      </c>
      <c r="C3" s="2">
        <f>TransactionInput!A3</f>
        <v>45292</v>
      </c>
      <c r="D3" s="2" t="str">
        <f>TransactionInput!B3</f>
        <v>SO1</v>
      </c>
      <c r="E3" s="2" t="str">
        <f>TransactionInput!C3</f>
        <v>Billing</v>
      </c>
      <c r="F3" s="19">
        <f>TransactionInput!D3</f>
        <v>1200</v>
      </c>
      <c r="G3" s="20">
        <f>TransactionInput!E3</f>
        <v>1</v>
      </c>
      <c r="H3" s="23">
        <v>0</v>
      </c>
      <c r="I3" s="23">
        <v>0</v>
      </c>
    </row>
    <row r="4" spans="1:9" x14ac:dyDescent="0.3">
      <c r="A4" s="23">
        <v>2</v>
      </c>
      <c r="B4" s="23" t="str">
        <f>VLOOKUP('TransactionHistory (1)'!C4,'AccountingPeriod (3)'!$A$6:$G$17,7,TRUE)</f>
        <v>2024-1</v>
      </c>
      <c r="C4" s="2">
        <f>TransactionInput!A4</f>
        <v>45292</v>
      </c>
      <c r="D4" s="2" t="str">
        <f>TransactionInput!B4</f>
        <v>SO1</v>
      </c>
      <c r="E4" s="2" t="str">
        <f>TransactionInput!C4</f>
        <v>Billing</v>
      </c>
      <c r="F4" s="19">
        <f>TransactionInput!D4</f>
        <v>600</v>
      </c>
      <c r="G4" s="20">
        <f>TransactionInput!E4</f>
        <v>2</v>
      </c>
      <c r="H4" s="23">
        <v>0</v>
      </c>
      <c r="I4" s="23">
        <v>0</v>
      </c>
    </row>
    <row r="5" spans="1:9" x14ac:dyDescent="0.3">
      <c r="A5" s="23">
        <v>3</v>
      </c>
      <c r="B5" s="23" t="str">
        <f>VLOOKUP('TransactionHistory (1)'!C5,'AccountingPeriod (3)'!$A$6:$G$17,7,TRUE)</f>
        <v>2024-1</v>
      </c>
      <c r="C5" s="2">
        <f>'TransactionHistory (1)'!C4</f>
        <v>45292</v>
      </c>
      <c r="D5" s="2" t="str">
        <f>'TransactionHistory (1)'!D4</f>
        <v>SO1</v>
      </c>
      <c r="E5" s="2" t="str">
        <f>'Output_Transactions (1)'!D2</f>
        <v>ExtendedSalesPrice</v>
      </c>
      <c r="F5" s="19">
        <f>'Output_Transactions (1)'!E2</f>
        <v>1200</v>
      </c>
      <c r="G5" s="20">
        <f>'Output_Transactions (3)'!F2</f>
        <v>1</v>
      </c>
      <c r="H5" s="23">
        <v>1</v>
      </c>
      <c r="I5" s="23">
        <v>1</v>
      </c>
    </row>
    <row r="6" spans="1:9" x14ac:dyDescent="0.3">
      <c r="A6" s="23">
        <v>4</v>
      </c>
      <c r="B6" s="23" t="str">
        <f>VLOOKUP('TransactionHistory (1)'!C6,'AccountingPeriod (3)'!$A$6:$G$17,7,TRUE)</f>
        <v>2024-1</v>
      </c>
      <c r="C6" s="2">
        <f>C5</f>
        <v>45292</v>
      </c>
      <c r="D6" s="2" t="str">
        <f>D5</f>
        <v>SO1</v>
      </c>
      <c r="E6" s="2" t="str">
        <f>E5</f>
        <v>ExtendedSalesPrice</v>
      </c>
      <c r="F6" s="19">
        <f>F5/2</f>
        <v>600</v>
      </c>
      <c r="G6" s="23">
        <v>2</v>
      </c>
      <c r="H6" s="23">
        <v>1</v>
      </c>
      <c r="I6" s="23">
        <v>1</v>
      </c>
    </row>
    <row r="7" spans="1:9" x14ac:dyDescent="0.3">
      <c r="A7" s="23">
        <v>5</v>
      </c>
      <c r="B7" s="23" t="str">
        <f>VLOOKUP('TransactionHistory (1)'!C7,'AccountingPeriod (3)'!$A$6:$G$17,7,TRUE)</f>
        <v>2024-1</v>
      </c>
      <c r="C7" s="2">
        <f>C6</f>
        <v>45292</v>
      </c>
      <c r="D7" s="2" t="str">
        <f>D6</f>
        <v>SO1</v>
      </c>
      <c r="E7" s="2" t="str">
        <f>'Output_Transactions (1)'!D3</f>
        <v>StandaloneSellingPrice</v>
      </c>
      <c r="F7" s="19">
        <f>'Output_Transactions (1)'!E3</f>
        <v>960</v>
      </c>
      <c r="G7" s="20">
        <f>'Output_Transactions (3)'!F4</f>
        <v>1</v>
      </c>
      <c r="H7" s="23">
        <v>1</v>
      </c>
      <c r="I7" s="23">
        <v>1</v>
      </c>
    </row>
    <row r="8" spans="1:9" x14ac:dyDescent="0.3">
      <c r="A8" s="23">
        <v>6</v>
      </c>
      <c r="B8" s="23" t="str">
        <f>VLOOKUP('TransactionHistory (1)'!C8,'AccountingPeriod (3)'!$A$6:$G$17,7,TRUE)</f>
        <v>2024-1</v>
      </c>
      <c r="C8" s="2">
        <f>C7</f>
        <v>45292</v>
      </c>
      <c r="D8" s="2" t="str">
        <f>D7</f>
        <v>SO1</v>
      </c>
      <c r="E8" s="2" t="str">
        <f>E7</f>
        <v>StandaloneSellingPrice</v>
      </c>
      <c r="F8" s="19">
        <v>420</v>
      </c>
      <c r="G8" s="23">
        <v>2</v>
      </c>
      <c r="H8" s="23">
        <v>1</v>
      </c>
      <c r="I8" s="23">
        <v>1</v>
      </c>
    </row>
    <row r="9" spans="1:9" x14ac:dyDescent="0.3">
      <c r="A9" s="23">
        <f>A8+1</f>
        <v>7</v>
      </c>
      <c r="B9" s="23" t="str">
        <f>VLOOKUP('TransactionHistory (1)'!C9,'AccountingPeriod (3)'!$A$6:$G$17,7,TRUE)</f>
        <v>2024-1</v>
      </c>
      <c r="C9" s="2">
        <v>45292</v>
      </c>
      <c r="D9" s="23" t="s">
        <v>29</v>
      </c>
      <c r="E9" s="23" t="s">
        <v>70</v>
      </c>
      <c r="F9" s="23">
        <v>100</v>
      </c>
      <c r="G9" s="23">
        <v>1</v>
      </c>
      <c r="H9" s="23">
        <v>0</v>
      </c>
      <c r="I9" s="23">
        <v>1</v>
      </c>
    </row>
    <row r="10" spans="1:9" x14ac:dyDescent="0.3">
      <c r="A10" s="23">
        <f>A9+1</f>
        <v>8</v>
      </c>
      <c r="B10" s="23" t="str">
        <f>VLOOKUP('TransactionHistory (1)'!C10,'AccountingPeriod (3)'!$A$6:$G$17,7,TRUE)</f>
        <v>2024-1</v>
      </c>
      <c r="C10" s="2">
        <v>45292</v>
      </c>
      <c r="D10" s="23" t="s">
        <v>29</v>
      </c>
      <c r="E10" s="23" t="s">
        <v>70</v>
      </c>
      <c r="F10" s="23">
        <v>100</v>
      </c>
      <c r="G10" s="23">
        <v>2</v>
      </c>
      <c r="H10" s="23">
        <v>0</v>
      </c>
      <c r="I10" s="23">
        <v>1</v>
      </c>
    </row>
    <row r="11" spans="1:9" x14ac:dyDescent="0.3">
      <c r="A11" s="23">
        <f>A10+1</f>
        <v>9</v>
      </c>
      <c r="B11" s="23" t="str">
        <f>VLOOKUP('TransactionHistory (1)'!C11,'AccountingPeriod (3)'!$A$6:$G$17,7,TRUE)</f>
        <v>2024-1</v>
      </c>
      <c r="C11" s="2">
        <v>45292</v>
      </c>
      <c r="D11" s="23" t="s">
        <v>29</v>
      </c>
      <c r="E11" s="23" t="s">
        <v>71</v>
      </c>
      <c r="F11" s="23">
        <v>12</v>
      </c>
      <c r="G11" s="23">
        <v>1</v>
      </c>
      <c r="H11" s="23">
        <v>0</v>
      </c>
      <c r="I11" s="23">
        <v>1</v>
      </c>
    </row>
    <row r="12" spans="1:9" x14ac:dyDescent="0.3">
      <c r="A12" s="23">
        <f>A11+1</f>
        <v>10</v>
      </c>
      <c r="B12" s="23" t="str">
        <f>VLOOKUP('TransactionHistory (1)'!C12,'AccountingPeriod (3)'!$A$6:$G$17,7,TRUE)</f>
        <v>2024-1</v>
      </c>
      <c r="C12" s="2">
        <v>45292</v>
      </c>
      <c r="D12" s="23" t="s">
        <v>29</v>
      </c>
      <c r="E12" s="23" t="s">
        <v>71</v>
      </c>
      <c r="F12" s="23">
        <v>6</v>
      </c>
      <c r="G12" s="23">
        <v>2</v>
      </c>
      <c r="H12" s="23">
        <v>0</v>
      </c>
      <c r="I12" s="23">
        <v>1</v>
      </c>
    </row>
    <row r="13" spans="1:9" x14ac:dyDescent="0.3">
      <c r="A13" s="23">
        <f>A12+1</f>
        <v>11</v>
      </c>
      <c r="B13" s="23" t="str">
        <f>VLOOKUP('TransactionHistory (1)'!C13,'AccountingPeriod (3)'!$A$6:$G$17,7,TRUE)</f>
        <v>2024-1</v>
      </c>
      <c r="C13" s="2">
        <v>45292</v>
      </c>
      <c r="D13" s="23" t="s">
        <v>29</v>
      </c>
      <c r="E13" s="23" t="s">
        <v>231</v>
      </c>
      <c r="F13" s="23">
        <v>0.2</v>
      </c>
      <c r="G13" s="23">
        <v>1</v>
      </c>
      <c r="H13" s="23">
        <v>0</v>
      </c>
      <c r="I13" s="23">
        <v>1</v>
      </c>
    </row>
    <row r="14" spans="1:9" x14ac:dyDescent="0.3">
      <c r="A14" s="23">
        <f>A13+1</f>
        <v>12</v>
      </c>
      <c r="B14" s="23" t="str">
        <f>VLOOKUP('TransactionHistory (1)'!C14,'AccountingPeriod (3)'!$A$6:$G$17,7,TRUE)</f>
        <v>2024-1</v>
      </c>
      <c r="C14" s="2">
        <v>45292</v>
      </c>
      <c r="D14" s="23" t="s">
        <v>29</v>
      </c>
      <c r="E14" s="23" t="s">
        <v>231</v>
      </c>
      <c r="F14" s="23">
        <v>0.3</v>
      </c>
      <c r="G14" s="23">
        <v>2</v>
      </c>
      <c r="H14" s="23">
        <v>0</v>
      </c>
      <c r="I14" s="2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34C6-C488-49B5-BA05-8E679C69E1AB}">
  <sheetPr>
    <tabColor rgb="FFFFFF00"/>
  </sheetPr>
  <dimension ref="A1:K12"/>
  <sheetViews>
    <sheetView workbookViewId="0">
      <selection activeCell="H26" sqref="H26"/>
    </sheetView>
  </sheetViews>
  <sheetFormatPr defaultRowHeight="14.4" x14ac:dyDescent="0.3"/>
  <cols>
    <col min="1" max="1" width="16.109375" style="23" bestFit="1" customWidth="1"/>
    <col min="2" max="2" width="12.21875" style="23" bestFit="1" customWidth="1"/>
    <col min="3" max="3" width="9.5546875" style="23" bestFit="1" customWidth="1"/>
    <col min="4" max="4" width="12" style="23" bestFit="1" customWidth="1"/>
    <col min="5" max="5" width="9.6640625" style="23" bestFit="1" customWidth="1"/>
    <col min="6" max="7" width="8.88671875" style="23"/>
    <col min="8" max="8" width="20.44140625" style="23" customWidth="1"/>
    <col min="9" max="9" width="8.88671875" style="23"/>
    <col min="10" max="10" width="16" style="23" customWidth="1"/>
    <col min="11" max="16384" width="8.88671875" style="23"/>
  </cols>
  <sheetData>
    <row r="1" spans="1:11" x14ac:dyDescent="0.3">
      <c r="A1" s="24" t="s">
        <v>7</v>
      </c>
    </row>
    <row r="2" spans="1:11" x14ac:dyDescent="0.3">
      <c r="A2" s="24" t="s">
        <v>57</v>
      </c>
      <c r="B2" s="24" t="s">
        <v>26</v>
      </c>
      <c r="C2" s="24" t="s">
        <v>72</v>
      </c>
      <c r="D2" s="24" t="s">
        <v>27</v>
      </c>
      <c r="E2" s="24" t="s">
        <v>62</v>
      </c>
      <c r="F2" s="24" t="s">
        <v>78</v>
      </c>
      <c r="G2" s="24" t="s">
        <v>43</v>
      </c>
      <c r="H2" s="24" t="s">
        <v>66</v>
      </c>
      <c r="I2" s="24" t="s">
        <v>68</v>
      </c>
      <c r="J2" s="24" t="s">
        <v>69</v>
      </c>
      <c r="K2" s="24" t="s">
        <v>73</v>
      </c>
    </row>
    <row r="3" spans="1:11" x14ac:dyDescent="0.3">
      <c r="A3" s="23" t="str">
        <f>A4</f>
        <v>2024-1</v>
      </c>
      <c r="B3" s="2">
        <f>InstrumentAttributeValue!A3</f>
        <v>45292</v>
      </c>
      <c r="C3" s="23">
        <f>InstrumentAttributeValue!B3</f>
        <v>1</v>
      </c>
      <c r="D3" s="23" t="str">
        <f>InstrumentAttributeValue!C3</f>
        <v>SO1</v>
      </c>
      <c r="E3" s="23">
        <v>111</v>
      </c>
      <c r="G3" s="2">
        <f>InstrumentAttributeValue!D3</f>
        <v>45292</v>
      </c>
      <c r="H3" s="2">
        <f>InstrumentAttributeValue!E3</f>
        <v>45657</v>
      </c>
      <c r="I3" s="23" t="str">
        <f>InstrumentAttributeValue!F3</f>
        <v>SaaS</v>
      </c>
      <c r="J3" s="23" t="str">
        <f>InstrumentAttributeValue!G3</f>
        <v>Ratable</v>
      </c>
      <c r="K3" s="19"/>
    </row>
    <row r="4" spans="1:11" x14ac:dyDescent="0.3">
      <c r="A4" s="23" t="str">
        <f>'AccountingPeriod (3)'!G6</f>
        <v>2024-1</v>
      </c>
      <c r="B4" s="2">
        <f>InstrumentAttributeValue!A4</f>
        <v>45292</v>
      </c>
      <c r="C4" s="23">
        <f>InstrumentAttributeValue!B4</f>
        <v>2</v>
      </c>
      <c r="D4" s="23" t="str">
        <f>InstrumentAttributeValue!C4</f>
        <v>SO1</v>
      </c>
      <c r="E4" s="23">
        <v>222</v>
      </c>
      <c r="G4" s="2">
        <f>InstrumentAttributeValue!D4</f>
        <v>45292</v>
      </c>
      <c r="H4" s="2">
        <f>InstrumentAttributeValue!E4</f>
        <v>45657</v>
      </c>
      <c r="I4" s="23" t="str">
        <f>InstrumentAttributeValue!F4</f>
        <v>Training</v>
      </c>
      <c r="J4" s="23" t="str">
        <f>InstrumentAttributeValue!G4</f>
        <v>PointInTime</v>
      </c>
      <c r="K4" s="19"/>
    </row>
    <row r="7" spans="1:11" x14ac:dyDescent="0.3">
      <c r="A7" s="24" t="s">
        <v>167</v>
      </c>
    </row>
    <row r="8" spans="1:11" x14ac:dyDescent="0.3">
      <c r="A8" s="24" t="s">
        <v>57</v>
      </c>
      <c r="B8" s="24" t="s">
        <v>26</v>
      </c>
      <c r="C8" s="24" t="s">
        <v>72</v>
      </c>
      <c r="D8" s="24" t="s">
        <v>27</v>
      </c>
      <c r="E8" s="24" t="s">
        <v>62</v>
      </c>
      <c r="F8" s="24" t="s">
        <v>78</v>
      </c>
      <c r="G8" s="24" t="s">
        <v>43</v>
      </c>
      <c r="H8" s="24" t="s">
        <v>66</v>
      </c>
      <c r="I8" s="24" t="s">
        <v>68</v>
      </c>
      <c r="J8" s="24" t="s">
        <v>69</v>
      </c>
      <c r="K8" s="24" t="s">
        <v>73</v>
      </c>
    </row>
    <row r="9" spans="1:11" x14ac:dyDescent="0.3">
      <c r="A9" s="23" t="s">
        <v>48</v>
      </c>
      <c r="B9" s="2">
        <v>45292</v>
      </c>
      <c r="C9" s="23">
        <v>1</v>
      </c>
      <c r="D9" s="23" t="s">
        <v>29</v>
      </c>
      <c r="E9" s="23">
        <v>111</v>
      </c>
      <c r="F9" s="2">
        <f>B11</f>
        <v>45292</v>
      </c>
      <c r="G9" s="2">
        <v>45292</v>
      </c>
      <c r="H9" s="2">
        <v>45657</v>
      </c>
      <c r="I9" s="23" t="s">
        <v>75</v>
      </c>
      <c r="J9" s="23" t="s">
        <v>84</v>
      </c>
    </row>
    <row r="10" spans="1:11" x14ac:dyDescent="0.3">
      <c r="A10" s="23" t="s">
        <v>48</v>
      </c>
      <c r="B10" s="2">
        <v>45292</v>
      </c>
      <c r="C10" s="23">
        <v>2</v>
      </c>
      <c r="D10" s="23" t="s">
        <v>29</v>
      </c>
      <c r="E10" s="23">
        <v>222</v>
      </c>
      <c r="F10" s="2">
        <f>B12</f>
        <v>45292</v>
      </c>
      <c r="G10" s="2">
        <v>45292</v>
      </c>
      <c r="H10" s="2">
        <v>45657</v>
      </c>
      <c r="I10" s="23" t="s">
        <v>76</v>
      </c>
      <c r="J10" s="23" t="s">
        <v>85</v>
      </c>
    </row>
    <row r="11" spans="1:11" x14ac:dyDescent="0.3">
      <c r="A11" s="23" t="str">
        <f t="shared" ref="A11:D12" si="0">A3</f>
        <v>2024-1</v>
      </c>
      <c r="B11" s="2">
        <f t="shared" si="0"/>
        <v>45292</v>
      </c>
      <c r="C11" s="23">
        <f t="shared" si="0"/>
        <v>1</v>
      </c>
      <c r="D11" s="23" t="str">
        <f t="shared" si="0"/>
        <v>SO1</v>
      </c>
      <c r="E11" s="23">
        <v>333</v>
      </c>
      <c r="G11" s="2">
        <f>G3</f>
        <v>45292</v>
      </c>
      <c r="H11" s="2">
        <f>H3</f>
        <v>45657</v>
      </c>
      <c r="I11" s="23" t="str">
        <f>I3</f>
        <v>SaaS</v>
      </c>
      <c r="J11" s="23" t="str">
        <f>J3</f>
        <v>Ratable</v>
      </c>
      <c r="K11" s="32" t="str">
        <f>'Output_Attributes (1)'!E2</f>
        <v>Billed</v>
      </c>
    </row>
    <row r="12" spans="1:11" x14ac:dyDescent="0.3">
      <c r="A12" s="23" t="str">
        <f t="shared" si="0"/>
        <v>2024-1</v>
      </c>
      <c r="B12" s="2">
        <f t="shared" si="0"/>
        <v>45292</v>
      </c>
      <c r="C12" s="23">
        <f t="shared" si="0"/>
        <v>2</v>
      </c>
      <c r="D12" s="23" t="str">
        <f t="shared" si="0"/>
        <v>SO1</v>
      </c>
      <c r="E12" s="23">
        <v>444</v>
      </c>
      <c r="G12" s="2">
        <f>G4</f>
        <v>45292</v>
      </c>
      <c r="H12" s="2">
        <f>H4</f>
        <v>45657</v>
      </c>
      <c r="I12" s="23" t="str">
        <f>I4</f>
        <v>Training</v>
      </c>
      <c r="J12" s="23" t="str">
        <f>J4</f>
        <v>PointInTime</v>
      </c>
      <c r="K12" s="19" t="str">
        <f>K11</f>
        <v>Billed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CA5A-7012-4EA8-A020-49F4B5295433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CF73-3C2D-474D-98E7-F62CC1638707}">
  <sheetPr>
    <tabColor rgb="FFFFFF00"/>
  </sheetPr>
  <dimension ref="A1:E5"/>
  <sheetViews>
    <sheetView workbookViewId="0">
      <selection activeCell="D22" sqref="D22"/>
    </sheetView>
  </sheetViews>
  <sheetFormatPr defaultRowHeight="14.4" x14ac:dyDescent="0.3"/>
  <cols>
    <col min="1" max="1" width="34.6640625" customWidth="1"/>
    <col min="2" max="2" width="28.21875" customWidth="1"/>
    <col min="3" max="3" width="22.33203125" customWidth="1"/>
    <col min="4" max="4" width="23.5546875" customWidth="1"/>
  </cols>
  <sheetData>
    <row r="1" spans="1:5" x14ac:dyDescent="0.3">
      <c r="A1" s="24" t="s">
        <v>7</v>
      </c>
    </row>
    <row r="2" spans="1:5" x14ac:dyDescent="0.3">
      <c r="A2" s="24" t="s">
        <v>57</v>
      </c>
      <c r="B2" s="24" t="s">
        <v>237</v>
      </c>
      <c r="C2" s="24" t="s">
        <v>239</v>
      </c>
      <c r="D2" s="24" t="s">
        <v>240</v>
      </c>
      <c r="E2" s="24" t="s">
        <v>241</v>
      </c>
    </row>
    <row r="3" spans="1:5" x14ac:dyDescent="0.3">
      <c r="A3" t="s">
        <v>48</v>
      </c>
      <c r="B3" s="2" t="str">
        <f>'TransactionHistory (1)'!D5</f>
        <v>SO1</v>
      </c>
      <c r="C3" t="str">
        <f>AccRules_Aggregation!D5</f>
        <v>Total Selling Price</v>
      </c>
      <c r="D3" s="19">
        <f>'TransactionHistory (1)'!F5+'TransactionHistory (1)'!F6</f>
        <v>1800</v>
      </c>
      <c r="E3" s="19">
        <f>D3</f>
        <v>1800</v>
      </c>
    </row>
    <row r="4" spans="1:5" x14ac:dyDescent="0.3">
      <c r="A4" s="23" t="s">
        <v>48</v>
      </c>
      <c r="B4" s="2" t="str">
        <f>'TransactionHistory (1)'!D6</f>
        <v>SO1</v>
      </c>
      <c r="C4" t="str">
        <f>AccRules_Aggregation!D6</f>
        <v>Total SSP</v>
      </c>
      <c r="D4" s="19">
        <f>'TransactionHistory (1)'!F7+'TransactionHistory (1)'!F8</f>
        <v>1380</v>
      </c>
      <c r="E4" s="19">
        <f>D4</f>
        <v>1380</v>
      </c>
    </row>
    <row r="5" spans="1:5" x14ac:dyDescent="0.3">
      <c r="A5" t="str">
        <f>A4</f>
        <v>2024-1</v>
      </c>
      <c r="B5" s="2" t="str">
        <f>B4</f>
        <v>SO1</v>
      </c>
      <c r="C5" t="str">
        <f>AccRules_Aggregation!D4</f>
        <v>Invoice &amp; Credits</v>
      </c>
      <c r="D5" s="19">
        <f>'TransactionHistory (1)'!F3+'TransactionHistory (1)'!F4</f>
        <v>1800</v>
      </c>
      <c r="E5" s="19">
        <f>D5</f>
        <v>1800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DC09-E24E-4870-A58C-F456195DCE8A}">
  <sheetPr>
    <tabColor rgb="FF92D050"/>
  </sheetPr>
  <dimension ref="A1:F5"/>
  <sheetViews>
    <sheetView workbookViewId="0">
      <selection activeCell="A6" sqref="A6"/>
    </sheetView>
  </sheetViews>
  <sheetFormatPr defaultRowHeight="14.4" x14ac:dyDescent="0.3"/>
  <cols>
    <col min="1" max="16384" width="8.88671875" style="23"/>
  </cols>
  <sheetData>
    <row r="1" spans="1:6" x14ac:dyDescent="0.3">
      <c r="A1" s="35" t="s">
        <v>247</v>
      </c>
      <c r="B1" s="35"/>
      <c r="C1" s="35"/>
      <c r="D1" s="35"/>
      <c r="E1" s="35"/>
      <c r="F1" s="35"/>
    </row>
    <row r="2" spans="1:6" x14ac:dyDescent="0.3">
      <c r="A2" s="35"/>
      <c r="B2" s="35"/>
      <c r="C2" s="35"/>
      <c r="D2" s="35"/>
      <c r="E2" s="35"/>
      <c r="F2" s="35"/>
    </row>
    <row r="3" spans="1:6" x14ac:dyDescent="0.3">
      <c r="A3" s="35"/>
      <c r="B3" s="35"/>
      <c r="C3" s="35"/>
      <c r="D3" s="35"/>
      <c r="E3" s="35"/>
      <c r="F3" s="35"/>
    </row>
    <row r="4" spans="1:6" x14ac:dyDescent="0.3">
      <c r="A4" s="35"/>
      <c r="B4" s="35"/>
      <c r="C4" s="35"/>
      <c r="D4" s="35"/>
      <c r="E4" s="35"/>
      <c r="F4" s="35"/>
    </row>
    <row r="5" spans="1:6" x14ac:dyDescent="0.3">
      <c r="A5" s="35"/>
      <c r="B5" s="35"/>
      <c r="C5" s="35"/>
      <c r="D5" s="35"/>
      <c r="E5" s="35"/>
      <c r="F5" s="35"/>
    </row>
  </sheetData>
  <mergeCells count="1">
    <mergeCell ref="A1:F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7575-AADB-4685-93E5-F0F75FE08F52}">
  <sheetPr>
    <tabColor theme="4" tint="0.39997558519241921"/>
  </sheetPr>
  <dimension ref="A1:F5"/>
  <sheetViews>
    <sheetView workbookViewId="0">
      <selection activeCell="A2" sqref="A2"/>
    </sheetView>
  </sheetViews>
  <sheetFormatPr defaultRowHeight="14.4" x14ac:dyDescent="0.3"/>
  <cols>
    <col min="1" max="1" width="33.109375" style="23" customWidth="1"/>
    <col min="2" max="2" width="19" style="23" customWidth="1"/>
    <col min="3" max="4" width="8.88671875" style="23"/>
    <col min="5" max="5" width="36.109375" style="23" customWidth="1"/>
    <col min="6" max="6" width="20.6640625" style="23" customWidth="1"/>
    <col min="7" max="7" width="19.5546875" style="23" customWidth="1"/>
    <col min="8" max="8" width="8.88671875" style="23"/>
    <col min="9" max="9" width="12.88671875" style="23" customWidth="1"/>
    <col min="10" max="16384" width="8.88671875" style="23"/>
  </cols>
  <sheetData>
    <row r="1" spans="1:6" x14ac:dyDescent="0.3">
      <c r="A1" s="24" t="s">
        <v>150</v>
      </c>
      <c r="B1" s="2" t="s">
        <v>48</v>
      </c>
    </row>
    <row r="2" spans="1:6" x14ac:dyDescent="0.3">
      <c r="A2" s="24" t="s">
        <v>249</v>
      </c>
      <c r="B2" s="19">
        <f>'TransactionHistory (1)'!F5</f>
        <v>1200</v>
      </c>
      <c r="C2" s="19">
        <v>1</v>
      </c>
      <c r="D2" s="2" t="str">
        <f>TransactionInput!B5</f>
        <v>SO1</v>
      </c>
      <c r="E2" s="2">
        <f>TransactionInput!A5</f>
        <v>45292</v>
      </c>
      <c r="F2" s="19"/>
    </row>
    <row r="3" spans="1:6" x14ac:dyDescent="0.3">
      <c r="A3" s="24" t="s">
        <v>248</v>
      </c>
      <c r="B3" s="19">
        <f>'TransactionHistory (1)'!F7</f>
        <v>960</v>
      </c>
      <c r="C3" s="19">
        <v>1</v>
      </c>
      <c r="D3" s="2" t="str">
        <f>D2</f>
        <v>SO1</v>
      </c>
      <c r="E3" s="2">
        <f>E2</f>
        <v>45292</v>
      </c>
      <c r="F3" s="19"/>
    </row>
    <row r="4" spans="1:6" x14ac:dyDescent="0.3">
      <c r="A4" s="24" t="s">
        <v>250</v>
      </c>
      <c r="B4" s="19">
        <f>'AggregationHistory (1)'!D3</f>
        <v>1800</v>
      </c>
      <c r="C4" s="2" t="str">
        <f>D3</f>
        <v>SO1</v>
      </c>
      <c r="E4" s="2"/>
      <c r="F4" s="19"/>
    </row>
    <row r="5" spans="1:6" x14ac:dyDescent="0.3">
      <c r="A5" s="24" t="s">
        <v>251</v>
      </c>
      <c r="B5" s="19">
        <f>'AggregationHistory (1)'!D4</f>
        <v>1380</v>
      </c>
      <c r="C5" s="2" t="str">
        <f>C4</f>
        <v>SO1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6598-CB47-45E5-9EB1-874A30E2A4AE}">
  <sheetPr>
    <tabColor theme="4" tint="0.39997558519241921"/>
  </sheetPr>
  <dimension ref="A1:G15"/>
  <sheetViews>
    <sheetView workbookViewId="0">
      <selection activeCell="A9" sqref="A9"/>
    </sheetView>
  </sheetViews>
  <sheetFormatPr defaultRowHeight="14.4" x14ac:dyDescent="0.3"/>
  <cols>
    <col min="1" max="1" width="17.5546875" style="23" customWidth="1"/>
    <col min="2" max="2" width="9.5546875" style="23" bestFit="1" customWidth="1"/>
    <col min="3" max="16384" width="8.88671875" style="23"/>
  </cols>
  <sheetData>
    <row r="1" spans="1:7" x14ac:dyDescent="0.3">
      <c r="A1" s="23" t="s">
        <v>227</v>
      </c>
      <c r="B1" s="19">
        <f>'Model_Input (2)'!B2</f>
        <v>1200</v>
      </c>
      <c r="C1" s="23" t="s">
        <v>121</v>
      </c>
      <c r="D1" s="19">
        <f>'Model_Input (2)'!C2</f>
        <v>1</v>
      </c>
      <c r="E1" s="23" t="s">
        <v>237</v>
      </c>
      <c r="F1" s="2" t="str">
        <f>'Model_Input (2)'!D2</f>
        <v>SO1</v>
      </c>
      <c r="G1" s="2">
        <f>'Model_Input (2)'!E2</f>
        <v>45292</v>
      </c>
    </row>
    <row r="2" spans="1:7" x14ac:dyDescent="0.3">
      <c r="A2" s="23" t="s">
        <v>252</v>
      </c>
      <c r="B2" s="19">
        <f>'Model_Input (2)'!B3</f>
        <v>960</v>
      </c>
      <c r="C2" s="23" t="s">
        <v>121</v>
      </c>
      <c r="D2" s="19">
        <f>'Model_Input (2)'!C3</f>
        <v>1</v>
      </c>
      <c r="G2" s="2"/>
    </row>
    <row r="3" spans="1:7" x14ac:dyDescent="0.3">
      <c r="A3" s="23" t="s">
        <v>253</v>
      </c>
      <c r="B3" s="19">
        <f>'Model_Input (2)'!B4</f>
        <v>1800</v>
      </c>
      <c r="D3" s="19"/>
    </row>
    <row r="4" spans="1:7" x14ac:dyDescent="0.3">
      <c r="A4" s="23" t="s">
        <v>230</v>
      </c>
      <c r="B4" s="19">
        <f>'Model_Input (2)'!B5</f>
        <v>1380</v>
      </c>
    </row>
    <row r="5" spans="1:7" x14ac:dyDescent="0.3">
      <c r="B5" s="2"/>
      <c r="D5" s="19"/>
    </row>
    <row r="6" spans="1:7" x14ac:dyDescent="0.3">
      <c r="B6" s="19"/>
      <c r="D6" s="19"/>
    </row>
    <row r="7" spans="1:7" x14ac:dyDescent="0.3">
      <c r="A7" s="23" t="s">
        <v>254</v>
      </c>
      <c r="B7" s="23">
        <f>B2/B4</f>
        <v>0.69565217391304346</v>
      </c>
      <c r="D7" s="19"/>
    </row>
    <row r="8" spans="1:7" x14ac:dyDescent="0.3">
      <c r="A8" s="23" t="s">
        <v>256</v>
      </c>
      <c r="B8" s="19">
        <f>B7*B3</f>
        <v>1252.1739130434783</v>
      </c>
    </row>
    <row r="10" spans="1:7" x14ac:dyDescent="0.3">
      <c r="B10" s="2"/>
    </row>
    <row r="12" spans="1:7" x14ac:dyDescent="0.3">
      <c r="B12" s="19"/>
      <c r="D12" s="19"/>
    </row>
    <row r="13" spans="1:7" x14ac:dyDescent="0.3">
      <c r="D13" s="19"/>
    </row>
    <row r="14" spans="1:7" x14ac:dyDescent="0.3">
      <c r="D14" s="19"/>
    </row>
    <row r="15" spans="1:7" x14ac:dyDescent="0.3">
      <c r="A15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2E3E-AB54-401D-97D7-595A53402774}">
  <sheetPr>
    <tabColor theme="4" tint="0.39997558519241921"/>
  </sheetPr>
  <dimension ref="A1:H2"/>
  <sheetViews>
    <sheetView workbookViewId="0">
      <selection activeCell="G1" sqref="G1"/>
    </sheetView>
  </sheetViews>
  <sheetFormatPr defaultRowHeight="14.4" x14ac:dyDescent="0.3"/>
  <cols>
    <col min="1" max="1" width="22" style="23" customWidth="1"/>
    <col min="2" max="2" width="12" style="23" bestFit="1" customWidth="1"/>
    <col min="3" max="3" width="15" style="23" bestFit="1" customWidth="1"/>
    <col min="4" max="4" width="15.109375" style="23" customWidth="1"/>
    <col min="5" max="5" width="15.77734375" style="23" customWidth="1"/>
    <col min="6" max="6" width="15.33203125" style="23" customWidth="1"/>
    <col min="7" max="16384" width="8.88671875" style="23"/>
  </cols>
  <sheetData>
    <row r="1" spans="1:8" x14ac:dyDescent="0.3">
      <c r="A1" s="24" t="s">
        <v>173</v>
      </c>
      <c r="B1" s="24" t="s">
        <v>49</v>
      </c>
      <c r="C1" s="24" t="s">
        <v>27</v>
      </c>
      <c r="D1" s="24" t="s">
        <v>28</v>
      </c>
      <c r="E1" s="24" t="s">
        <v>30</v>
      </c>
      <c r="F1" s="24" t="s">
        <v>72</v>
      </c>
      <c r="G1" s="24" t="s">
        <v>93</v>
      </c>
      <c r="H1" s="24" t="s">
        <v>107</v>
      </c>
    </row>
    <row r="2" spans="1:8" x14ac:dyDescent="0.3">
      <c r="B2" s="2">
        <f>'Model_calc (2)'!G1</f>
        <v>45292</v>
      </c>
      <c r="C2" s="2" t="str">
        <f>'Model_calc (2)'!F1</f>
        <v>SO1</v>
      </c>
      <c r="D2" s="2" t="str">
        <f>'Model_calc (2)'!A8</f>
        <v>AllocatedRevenue</v>
      </c>
      <c r="E2" s="19">
        <f>'Model_calc (2)'!B8</f>
        <v>1252.1739130434783</v>
      </c>
      <c r="F2" s="20">
        <f>'Model_Calc (3)'!L9</f>
        <v>1</v>
      </c>
      <c r="G2" s="23">
        <f>'Model_Calc (3)'!M9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A4F7-C361-4EB2-97A8-C6A83E7B093D}">
  <sheetPr>
    <tabColor rgb="FFFFFF00"/>
  </sheetPr>
  <dimension ref="A1:I16"/>
  <sheetViews>
    <sheetView workbookViewId="0">
      <selection activeCell="A3" sqref="A3:I16"/>
    </sheetView>
  </sheetViews>
  <sheetFormatPr defaultRowHeight="14.4" x14ac:dyDescent="0.3"/>
  <cols>
    <col min="1" max="1" width="34.6640625" style="23" customWidth="1"/>
    <col min="2" max="2" width="24.109375" style="23" customWidth="1"/>
    <col min="3" max="3" width="14.77734375" style="23" bestFit="1" customWidth="1"/>
    <col min="4" max="4" width="12" style="23" bestFit="1" customWidth="1"/>
    <col min="5" max="5" width="31.109375" style="23" customWidth="1"/>
    <col min="6" max="6" width="18.44140625" style="23" customWidth="1"/>
    <col min="7" max="7" width="22.5546875" style="23" customWidth="1"/>
    <col min="8" max="8" width="24.88671875" style="23" customWidth="1"/>
    <col min="9" max="16384" width="8.88671875" style="23"/>
  </cols>
  <sheetData>
    <row r="1" spans="1:9" x14ac:dyDescent="0.3">
      <c r="A1" s="24" t="s">
        <v>7</v>
      </c>
    </row>
    <row r="2" spans="1:9" x14ac:dyDescent="0.3">
      <c r="A2" s="24" t="s">
        <v>63</v>
      </c>
      <c r="B2" s="24" t="s">
        <v>64</v>
      </c>
      <c r="C2" s="24" t="s">
        <v>49</v>
      </c>
      <c r="D2" s="24" t="s">
        <v>27</v>
      </c>
      <c r="E2" s="24" t="s">
        <v>28</v>
      </c>
      <c r="F2" s="24" t="s">
        <v>30</v>
      </c>
      <c r="G2" s="24" t="s">
        <v>72</v>
      </c>
      <c r="H2" s="24" t="s">
        <v>87</v>
      </c>
      <c r="I2" s="24" t="s">
        <v>245</v>
      </c>
    </row>
    <row r="3" spans="1:9" x14ac:dyDescent="0.3">
      <c r="A3" s="23">
        <v>1</v>
      </c>
      <c r="B3" s="23" t="str">
        <f>VLOOKUP('TransactionHistory (2)'!C3,'AccountingPeriod (3)'!$A$6:$G$17,7,TRUE)</f>
        <v>2024-1</v>
      </c>
      <c r="C3" s="2">
        <f>TransactionInput!A3</f>
        <v>45292</v>
      </c>
      <c r="D3" s="2" t="str">
        <f>TransactionInput!B3</f>
        <v>SO1</v>
      </c>
      <c r="E3" s="2" t="str">
        <f>TransactionInput!C3</f>
        <v>Billing</v>
      </c>
      <c r="F3" s="19">
        <f>TransactionInput!D3</f>
        <v>1200</v>
      </c>
      <c r="G3" s="20">
        <f>TransactionInput!E3</f>
        <v>1</v>
      </c>
      <c r="H3" s="23">
        <v>0</v>
      </c>
      <c r="I3" s="23">
        <v>0</v>
      </c>
    </row>
    <row r="4" spans="1:9" x14ac:dyDescent="0.3">
      <c r="A4" s="23">
        <v>2</v>
      </c>
      <c r="B4" s="23" t="str">
        <f>VLOOKUP('TransactionHistory (2)'!C4,'AccountingPeriod (3)'!$A$6:$G$17,7,TRUE)</f>
        <v>2024-1</v>
      </c>
      <c r="C4" s="2">
        <f>TransactionInput!A4</f>
        <v>45292</v>
      </c>
      <c r="D4" s="2" t="str">
        <f>TransactionInput!B4</f>
        <v>SO1</v>
      </c>
      <c r="E4" s="2" t="str">
        <f>TransactionInput!C4</f>
        <v>Billing</v>
      </c>
      <c r="F4" s="19">
        <f>TransactionInput!D4</f>
        <v>600</v>
      </c>
      <c r="G4" s="20">
        <f>TransactionInput!E4</f>
        <v>2</v>
      </c>
      <c r="H4" s="23">
        <v>0</v>
      </c>
      <c r="I4" s="23">
        <v>0</v>
      </c>
    </row>
    <row r="5" spans="1:9" x14ac:dyDescent="0.3">
      <c r="A5" s="23">
        <v>3</v>
      </c>
      <c r="B5" s="23" t="str">
        <f>VLOOKUP('TransactionHistory (2)'!C5,'AccountingPeriod (3)'!$A$6:$G$17,7,TRUE)</f>
        <v>2024-1</v>
      </c>
      <c r="C5" s="2">
        <f>'TransactionHistory (2)'!C4</f>
        <v>45292</v>
      </c>
      <c r="D5" s="2" t="str">
        <f>'TransactionHistory (2)'!D4</f>
        <v>SO1</v>
      </c>
      <c r="E5" s="2" t="str">
        <f>'Output_Transactions (1)'!D2</f>
        <v>ExtendedSalesPrice</v>
      </c>
      <c r="F5" s="19">
        <f>'Output_Transactions (1)'!E2</f>
        <v>1200</v>
      </c>
      <c r="G5" s="20">
        <f>'Output_Transactions (3)'!F2</f>
        <v>1</v>
      </c>
      <c r="H5" s="23">
        <v>1</v>
      </c>
      <c r="I5" s="23">
        <v>1</v>
      </c>
    </row>
    <row r="6" spans="1:9" x14ac:dyDescent="0.3">
      <c r="A6" s="23">
        <v>4</v>
      </c>
      <c r="B6" s="23" t="str">
        <f>VLOOKUP('TransactionHistory (2)'!C6,'AccountingPeriod (3)'!$A$6:$G$17,7,TRUE)</f>
        <v>2024-1</v>
      </c>
      <c r="C6" s="2">
        <f>C5</f>
        <v>45292</v>
      </c>
      <c r="D6" s="2" t="str">
        <f>D5</f>
        <v>SO1</v>
      </c>
      <c r="E6" s="2" t="str">
        <f>E5</f>
        <v>ExtendedSalesPrice</v>
      </c>
      <c r="F6" s="19">
        <f>F5/2</f>
        <v>600</v>
      </c>
      <c r="G6" s="23">
        <v>2</v>
      </c>
      <c r="H6" s="23">
        <v>1</v>
      </c>
      <c r="I6" s="23">
        <v>1</v>
      </c>
    </row>
    <row r="7" spans="1:9" x14ac:dyDescent="0.3">
      <c r="A7" s="23">
        <v>5</v>
      </c>
      <c r="B7" s="23" t="str">
        <f>VLOOKUP('TransactionHistory (2)'!C7,'AccountingPeriod (3)'!$A$6:$G$17,7,TRUE)</f>
        <v>2024-1</v>
      </c>
      <c r="C7" s="2">
        <f>C6</f>
        <v>45292</v>
      </c>
      <c r="D7" s="2" t="str">
        <f>D6</f>
        <v>SO1</v>
      </c>
      <c r="E7" s="2" t="str">
        <f>'Output_Transactions (1)'!D3</f>
        <v>StandaloneSellingPrice</v>
      </c>
      <c r="F7" s="19">
        <f>'Output_Transactions (1)'!E3</f>
        <v>960</v>
      </c>
      <c r="G7" s="20">
        <f>'Output_Transactions (3)'!F4</f>
        <v>1</v>
      </c>
      <c r="H7" s="23">
        <v>1</v>
      </c>
      <c r="I7" s="23">
        <v>1</v>
      </c>
    </row>
    <row r="8" spans="1:9" x14ac:dyDescent="0.3">
      <c r="A8" s="23">
        <v>6</v>
      </c>
      <c r="B8" s="23" t="str">
        <f>VLOOKUP('TransactionHistory (2)'!C8,'AccountingPeriod (3)'!$A$6:$G$17,7,TRUE)</f>
        <v>2024-1</v>
      </c>
      <c r="C8" s="2">
        <f>C7</f>
        <v>45292</v>
      </c>
      <c r="D8" s="2" t="str">
        <f>D7</f>
        <v>SO1</v>
      </c>
      <c r="E8" s="2" t="str">
        <f>E7</f>
        <v>StandaloneSellingPrice</v>
      </c>
      <c r="F8" s="19">
        <v>420</v>
      </c>
      <c r="G8" s="23">
        <v>2</v>
      </c>
      <c r="H8" s="23">
        <v>1</v>
      </c>
      <c r="I8" s="23">
        <v>1</v>
      </c>
    </row>
    <row r="9" spans="1:9" x14ac:dyDescent="0.3">
      <c r="A9" s="23">
        <f>A8+1</f>
        <v>7</v>
      </c>
      <c r="B9" s="23" t="str">
        <f>VLOOKUP('TransactionHistory (2)'!C9,'AccountingPeriod (3)'!$A$6:$G$17,7,TRUE)</f>
        <v>2024-1</v>
      </c>
      <c r="C9" s="2">
        <v>45292</v>
      </c>
      <c r="D9" s="23" t="s">
        <v>29</v>
      </c>
      <c r="E9" s="23" t="s">
        <v>70</v>
      </c>
      <c r="F9" s="23">
        <v>100</v>
      </c>
      <c r="G9" s="23">
        <v>1</v>
      </c>
      <c r="H9" s="23">
        <v>0</v>
      </c>
      <c r="I9" s="23">
        <v>1</v>
      </c>
    </row>
    <row r="10" spans="1:9" x14ac:dyDescent="0.3">
      <c r="A10" s="23">
        <f>A9+1</f>
        <v>8</v>
      </c>
      <c r="B10" s="23" t="str">
        <f>VLOOKUP('TransactionHistory (2)'!C10,'AccountingPeriod (3)'!$A$6:$G$17,7,TRUE)</f>
        <v>2024-1</v>
      </c>
      <c r="C10" s="2">
        <v>45292</v>
      </c>
      <c r="D10" s="23" t="s">
        <v>29</v>
      </c>
      <c r="E10" s="23" t="s">
        <v>70</v>
      </c>
      <c r="F10" s="23">
        <v>100</v>
      </c>
      <c r="G10" s="23">
        <v>2</v>
      </c>
      <c r="H10" s="23">
        <v>0</v>
      </c>
      <c r="I10" s="23">
        <v>1</v>
      </c>
    </row>
    <row r="11" spans="1:9" x14ac:dyDescent="0.3">
      <c r="A11" s="23">
        <f>A10+1</f>
        <v>9</v>
      </c>
      <c r="B11" s="23" t="str">
        <f>VLOOKUP('TransactionHistory (2)'!C11,'AccountingPeriod (3)'!$A$6:$G$17,7,TRUE)</f>
        <v>2024-1</v>
      </c>
      <c r="C11" s="2">
        <v>45292</v>
      </c>
      <c r="D11" s="23" t="s">
        <v>29</v>
      </c>
      <c r="E11" s="23" t="s">
        <v>71</v>
      </c>
      <c r="F11" s="23">
        <v>12</v>
      </c>
      <c r="G11" s="23">
        <v>1</v>
      </c>
      <c r="H11" s="23">
        <v>0</v>
      </c>
      <c r="I11" s="23">
        <v>1</v>
      </c>
    </row>
    <row r="12" spans="1:9" x14ac:dyDescent="0.3">
      <c r="A12" s="23">
        <f>A11+1</f>
        <v>10</v>
      </c>
      <c r="B12" s="23" t="str">
        <f>VLOOKUP('TransactionHistory (2)'!C12,'AccountingPeriod (3)'!$A$6:$G$17,7,TRUE)</f>
        <v>2024-1</v>
      </c>
      <c r="C12" s="2">
        <v>45292</v>
      </c>
      <c r="D12" s="23" t="s">
        <v>29</v>
      </c>
      <c r="E12" s="23" t="s">
        <v>71</v>
      </c>
      <c r="F12" s="23">
        <v>6</v>
      </c>
      <c r="G12" s="23">
        <v>2</v>
      </c>
      <c r="H12" s="23">
        <v>0</v>
      </c>
      <c r="I12" s="23">
        <v>1</v>
      </c>
    </row>
    <row r="13" spans="1:9" x14ac:dyDescent="0.3">
      <c r="A13" s="23">
        <f>A12+1</f>
        <v>11</v>
      </c>
      <c r="B13" s="23" t="str">
        <f>VLOOKUP('TransactionHistory (2)'!C13,'AccountingPeriod (3)'!$A$6:$G$17,7,TRUE)</f>
        <v>2024-1</v>
      </c>
      <c r="C13" s="2">
        <v>45292</v>
      </c>
      <c r="D13" s="23" t="s">
        <v>29</v>
      </c>
      <c r="E13" s="23" t="s">
        <v>231</v>
      </c>
      <c r="F13" s="23">
        <v>0.2</v>
      </c>
      <c r="G13" s="23">
        <v>1</v>
      </c>
      <c r="H13" s="23">
        <v>0</v>
      </c>
      <c r="I13" s="23">
        <v>1</v>
      </c>
    </row>
    <row r="14" spans="1:9" x14ac:dyDescent="0.3">
      <c r="A14" s="23">
        <f>A13+1</f>
        <v>12</v>
      </c>
      <c r="B14" s="23" t="str">
        <f>VLOOKUP('TransactionHistory (2)'!C14,'AccountingPeriod (3)'!$A$6:$G$17,7,TRUE)</f>
        <v>2024-1</v>
      </c>
      <c r="C14" s="2">
        <v>45292</v>
      </c>
      <c r="D14" s="23" t="s">
        <v>29</v>
      </c>
      <c r="E14" s="23" t="s">
        <v>231</v>
      </c>
      <c r="F14" s="23">
        <v>0.3</v>
      </c>
      <c r="G14" s="23">
        <v>2</v>
      </c>
      <c r="H14" s="23">
        <v>0</v>
      </c>
      <c r="I14" s="23">
        <v>1</v>
      </c>
    </row>
    <row r="15" spans="1:9" x14ac:dyDescent="0.3">
      <c r="A15" s="23">
        <f t="shared" ref="A15:A16" si="0">A14+1</f>
        <v>13</v>
      </c>
      <c r="B15" s="23" t="str">
        <f>VLOOKUP('TransactionHistory (2)'!C15,'AccountingPeriod (3)'!$A$6:$G$17,7,TRUE)</f>
        <v>2024-1</v>
      </c>
      <c r="C15" s="2">
        <f>'Output_Transactions (2)'!B2</f>
        <v>45292</v>
      </c>
      <c r="D15" s="2" t="str">
        <f>'Output_Transactions (2)'!C2</f>
        <v>SO1</v>
      </c>
      <c r="E15" s="2" t="str">
        <f>'Output_Transactions (2)'!D2</f>
        <v>AllocatedRevenue</v>
      </c>
      <c r="F15" s="19">
        <f>'Output_Transactions (2)'!E2</f>
        <v>1252.1739130434783</v>
      </c>
      <c r="G15" s="20">
        <f>'Output_Transactions (2)'!F2</f>
        <v>1</v>
      </c>
      <c r="H15" s="23">
        <v>1</v>
      </c>
      <c r="I15" s="23">
        <v>1</v>
      </c>
    </row>
    <row r="16" spans="1:9" x14ac:dyDescent="0.3">
      <c r="A16" s="23">
        <f t="shared" si="0"/>
        <v>14</v>
      </c>
      <c r="B16" s="23" t="str">
        <f>VLOOKUP('TransactionHistory (2)'!C16,'AccountingPeriod (3)'!$A$6:$G$17,7,TRUE)</f>
        <v>2024-1</v>
      </c>
      <c r="C16" s="2">
        <f>C15</f>
        <v>45292</v>
      </c>
      <c r="D16" s="2" t="str">
        <f>D15</f>
        <v>SO1</v>
      </c>
      <c r="E16" s="2" t="str">
        <f>E15</f>
        <v>AllocatedRevenue</v>
      </c>
      <c r="F16" s="19">
        <v>547.82608695652175</v>
      </c>
      <c r="G16" s="23">
        <v>2</v>
      </c>
      <c r="H16" s="23">
        <v>1</v>
      </c>
      <c r="I16" s="2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1633-95E8-4459-9757-B675DC690111}">
  <sheetPr>
    <tabColor rgb="FF92D050"/>
  </sheetPr>
  <dimension ref="A1:F5"/>
  <sheetViews>
    <sheetView workbookViewId="0">
      <selection activeCell="A6" sqref="A6"/>
    </sheetView>
  </sheetViews>
  <sheetFormatPr defaultRowHeight="14.4" x14ac:dyDescent="0.3"/>
  <cols>
    <col min="1" max="16384" width="8.88671875" style="23"/>
  </cols>
  <sheetData>
    <row r="1" spans="1:6" x14ac:dyDescent="0.3">
      <c r="A1" s="35" t="s">
        <v>257</v>
      </c>
      <c r="B1" s="35"/>
      <c r="C1" s="35"/>
      <c r="D1" s="35"/>
      <c r="E1" s="35"/>
      <c r="F1" s="35"/>
    </row>
    <row r="2" spans="1:6" x14ac:dyDescent="0.3">
      <c r="A2" s="35"/>
      <c r="B2" s="35"/>
      <c r="C2" s="35"/>
      <c r="D2" s="35"/>
      <c r="E2" s="35"/>
      <c r="F2" s="35"/>
    </row>
    <row r="3" spans="1:6" x14ac:dyDescent="0.3">
      <c r="A3" s="35"/>
      <c r="B3" s="35"/>
      <c r="C3" s="35"/>
      <c r="D3" s="35"/>
      <c r="E3" s="35"/>
      <c r="F3" s="35"/>
    </row>
    <row r="4" spans="1:6" x14ac:dyDescent="0.3">
      <c r="A4" s="35"/>
      <c r="B4" s="35"/>
      <c r="C4" s="35"/>
      <c r="D4" s="35"/>
      <c r="E4" s="35"/>
      <c r="F4" s="35"/>
    </row>
    <row r="5" spans="1:6" x14ac:dyDescent="0.3">
      <c r="A5" s="35"/>
      <c r="B5" s="35"/>
      <c r="C5" s="35"/>
      <c r="D5" s="35"/>
      <c r="E5" s="35"/>
      <c r="F5" s="35"/>
    </row>
  </sheetData>
  <mergeCells count="1">
    <mergeCell ref="A1:F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5C46-30E6-4697-9D00-12B82DD78300}">
  <sheetPr>
    <tabColor theme="4" tint="0.39997558519241921"/>
  </sheetPr>
  <dimension ref="A1:K3"/>
  <sheetViews>
    <sheetView workbookViewId="0">
      <selection activeCell="B2" sqref="B2"/>
    </sheetView>
  </sheetViews>
  <sheetFormatPr defaultRowHeight="14.4" x14ac:dyDescent="0.3"/>
  <cols>
    <col min="1" max="1" width="33.109375" customWidth="1"/>
    <col min="2" max="2" width="19" customWidth="1"/>
    <col min="5" max="5" width="36.109375" customWidth="1"/>
    <col min="6" max="6" width="20.6640625" customWidth="1"/>
    <col min="7" max="7" width="19.5546875" customWidth="1"/>
    <col min="9" max="9" width="12.88671875" customWidth="1"/>
  </cols>
  <sheetData>
    <row r="1" spans="1:11" x14ac:dyDescent="0.3">
      <c r="A1" s="1" t="s">
        <v>150</v>
      </c>
      <c r="B1" s="2" t="s">
        <v>48</v>
      </c>
    </row>
    <row r="2" spans="1:11" x14ac:dyDescent="0.3">
      <c r="A2" s="1" t="s">
        <v>141</v>
      </c>
      <c r="B2" s="2">
        <f>'InstrumentAttributeHistory (3)'!B3</f>
        <v>45292</v>
      </c>
      <c r="C2" s="19">
        <f>'InstrumentAttributeHistory (3)'!C3</f>
        <v>1</v>
      </c>
      <c r="D2" s="2" t="str">
        <f>'InstrumentAttributeHistory (3)'!D3</f>
        <v>SO1</v>
      </c>
      <c r="E2" s="19">
        <f>'InstrumentAttributeHistory (3)'!E3</f>
        <v>111</v>
      </c>
      <c r="F2" s="2">
        <f>'InstrumentAttributeHistory (3)'!G3</f>
        <v>45292</v>
      </c>
      <c r="G2" s="2">
        <f>'InstrumentAttributeHistory (3)'!H3</f>
        <v>45657</v>
      </c>
      <c r="H2" s="2" t="str">
        <f>'InstrumentAttributeHistory (3)'!I3</f>
        <v>SaaS</v>
      </c>
      <c r="I2" s="2" t="str">
        <f>'InstrumentAttributeHistory (3)'!J3</f>
        <v>Ratable</v>
      </c>
      <c r="J2" s="19"/>
      <c r="K2" s="19"/>
    </row>
    <row r="3" spans="1:11" s="23" customFormat="1" x14ac:dyDescent="0.3">
      <c r="A3" s="24" t="s">
        <v>258</v>
      </c>
      <c r="B3" s="19">
        <f>'TransactionHistory (2)'!F15</f>
        <v>1252.1739130434783</v>
      </c>
      <c r="C3" s="19">
        <f>'TransactionHistory (2)'!G15</f>
        <v>1</v>
      </c>
      <c r="D3" s="2" t="str">
        <f>'TransactionHistory (2)'!D15</f>
        <v>SO1</v>
      </c>
      <c r="E3" s="19"/>
      <c r="F3" s="19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078E-1BC5-4214-9161-E8A58D76B181}">
  <sheetPr>
    <tabColor theme="4" tint="0.39997558519241921"/>
  </sheetPr>
  <dimension ref="A1:M61"/>
  <sheetViews>
    <sheetView workbookViewId="0">
      <selection activeCell="F5" sqref="F5"/>
    </sheetView>
  </sheetViews>
  <sheetFormatPr defaultRowHeight="14.4" x14ac:dyDescent="0.3"/>
  <cols>
    <col min="1" max="1" width="19.44140625" customWidth="1"/>
    <col min="2" max="2" width="26.33203125" customWidth="1"/>
    <col min="3" max="3" width="9" bestFit="1" customWidth="1"/>
    <col min="4" max="4" width="14.5546875" customWidth="1"/>
    <col min="5" max="5" width="10.5546875" bestFit="1" customWidth="1"/>
    <col min="7" max="7" width="20.21875" customWidth="1"/>
    <col min="8" max="8" width="16.44140625" customWidth="1"/>
    <col min="9" max="9" width="12.44140625" customWidth="1"/>
  </cols>
  <sheetData>
    <row r="1" spans="1:13" x14ac:dyDescent="0.3">
      <c r="A1" t="s">
        <v>88</v>
      </c>
      <c r="B1" s="1" t="s">
        <v>27</v>
      </c>
      <c r="C1" s="1" t="s">
        <v>28</v>
      </c>
      <c r="D1" s="1" t="s">
        <v>30</v>
      </c>
      <c r="E1" s="1" t="s">
        <v>72</v>
      </c>
    </row>
    <row r="2" spans="1:13" x14ac:dyDescent="0.3">
      <c r="B2" s="2" t="str">
        <f>'Model_Input (3)'!D3</f>
        <v>SO1</v>
      </c>
      <c r="C2" s="2" t="s">
        <v>255</v>
      </c>
      <c r="D2" s="19">
        <f>'Model_Input (3)'!B3</f>
        <v>1252.1739130434783</v>
      </c>
      <c r="E2" s="19">
        <f>'Model_Input (3)'!C3</f>
        <v>1</v>
      </c>
    </row>
    <row r="3" spans="1:13" x14ac:dyDescent="0.3">
      <c r="B3" s="2"/>
      <c r="C3" s="2"/>
      <c r="D3" s="2"/>
      <c r="E3" s="19"/>
      <c r="F3" s="19"/>
    </row>
    <row r="4" spans="1:13" x14ac:dyDescent="0.3">
      <c r="A4" t="s">
        <v>89</v>
      </c>
      <c r="B4" s="24" t="s">
        <v>118</v>
      </c>
      <c r="C4" s="24" t="s">
        <v>72</v>
      </c>
      <c r="D4" s="24" t="s">
        <v>27</v>
      </c>
      <c r="E4" s="24" t="s">
        <v>119</v>
      </c>
      <c r="F4" s="1" t="s">
        <v>43</v>
      </c>
      <c r="G4" s="1" t="s">
        <v>66</v>
      </c>
      <c r="H4" s="1" t="s">
        <v>68</v>
      </c>
      <c r="I4" s="1" t="s">
        <v>69</v>
      </c>
      <c r="J4" s="1" t="s">
        <v>73</v>
      </c>
      <c r="K4" s="1"/>
      <c r="L4" s="24"/>
      <c r="M4" s="24"/>
    </row>
    <row r="5" spans="1:13" x14ac:dyDescent="0.3">
      <c r="A5">
        <v>1</v>
      </c>
      <c r="B5" s="2">
        <f>'Model_Input (3)'!B2</f>
        <v>45292</v>
      </c>
      <c r="C5" s="20">
        <f>'Model_Input (3)'!C2</f>
        <v>1</v>
      </c>
      <c r="D5" s="20" t="str">
        <f>'Model_Input (3)'!D2</f>
        <v>SO1</v>
      </c>
      <c r="E5" s="20">
        <f>'Model_Input (3)'!E2</f>
        <v>111</v>
      </c>
      <c r="F5" s="2">
        <f>'Model_Input (3)'!F2</f>
        <v>45292</v>
      </c>
      <c r="G5" s="2">
        <f>'Model_Input (3)'!G2</f>
        <v>45657</v>
      </c>
      <c r="H5" s="20" t="str">
        <f>'Model_Input (3)'!H2</f>
        <v>SaaS</v>
      </c>
      <c r="I5" s="20" t="str">
        <f>'Model_Input (3)'!I2</f>
        <v>Ratable</v>
      </c>
      <c r="J5" t="s">
        <v>201</v>
      </c>
      <c r="L5" s="20"/>
      <c r="M5" s="20"/>
    </row>
    <row r="7" spans="1:13" x14ac:dyDescent="0.3">
      <c r="A7" s="1" t="s">
        <v>83</v>
      </c>
      <c r="B7" s="2" t="str">
        <f>I5</f>
        <v>Ratable</v>
      </c>
    </row>
    <row r="8" spans="1:13" x14ac:dyDescent="0.3">
      <c r="A8" s="1" t="s">
        <v>49</v>
      </c>
      <c r="B8" s="2">
        <f>B5</f>
        <v>45292</v>
      </c>
      <c r="D8" s="2">
        <f>EOMONTH(B8,0)</f>
        <v>45322</v>
      </c>
      <c r="H8" s="1" t="s">
        <v>49</v>
      </c>
      <c r="I8" s="1" t="s">
        <v>27</v>
      </c>
      <c r="J8" s="1" t="s">
        <v>28</v>
      </c>
      <c r="K8" s="1" t="s">
        <v>30</v>
      </c>
      <c r="L8" s="1" t="s">
        <v>72</v>
      </c>
      <c r="M8" s="1" t="s">
        <v>93</v>
      </c>
    </row>
    <row r="9" spans="1:13" x14ac:dyDescent="0.3">
      <c r="A9" s="1" t="s">
        <v>79</v>
      </c>
      <c r="B9">
        <f>G5-F5+1</f>
        <v>366</v>
      </c>
      <c r="H9" s="2">
        <f>D8</f>
        <v>45322</v>
      </c>
      <c r="I9" s="2" t="str">
        <f>B2</f>
        <v>SO1</v>
      </c>
      <c r="J9" t="s">
        <v>3</v>
      </c>
      <c r="K9">
        <f>IF(B7="Ratable",VLOOKUP(H9,$B$14:$D$25,3,FALSE),F14)</f>
        <v>106.0584461867427</v>
      </c>
      <c r="L9" s="19">
        <f>A5</f>
        <v>1</v>
      </c>
      <c r="M9">
        <f>IF($F$17="FALSE",1,0)</f>
        <v>0</v>
      </c>
    </row>
    <row r="10" spans="1:13" s="23" customFormat="1" x14ac:dyDescent="0.3">
      <c r="A10" s="24" t="s">
        <v>255</v>
      </c>
      <c r="B10" s="19">
        <f>D2</f>
        <v>1252.1739130434783</v>
      </c>
      <c r="H10" s="2">
        <f>B15</f>
        <v>45351</v>
      </c>
      <c r="I10" s="2" t="str">
        <f>IF(H10="","",I9)</f>
        <v>SO1</v>
      </c>
      <c r="J10" s="2" t="str">
        <f>IF(I10="","",J9)</f>
        <v>Revenue</v>
      </c>
      <c r="K10" s="23">
        <f>D15</f>
        <v>99.215965787598009</v>
      </c>
      <c r="L10" s="19">
        <f>IF(K10="","",L9)</f>
        <v>1</v>
      </c>
      <c r="M10" s="23">
        <f t="shared" ref="M10:M19" si="0">IF(L10="","",IF($F$17="FALSE",1,0))</f>
        <v>0</v>
      </c>
    </row>
    <row r="11" spans="1:13" x14ac:dyDescent="0.3">
      <c r="A11" s="1" t="s">
        <v>82</v>
      </c>
      <c r="B11">
        <f>(B10)/B9</f>
        <v>3.4212401995723449</v>
      </c>
      <c r="H11" s="2">
        <f t="shared" ref="H11:H20" si="1">B16</f>
        <v>45382</v>
      </c>
      <c r="I11" s="2" t="str">
        <f t="shared" ref="I11:I20" si="2">IF(H11="","",I10)</f>
        <v>SO1</v>
      </c>
      <c r="J11" s="2" t="str">
        <f t="shared" ref="J11:J20" si="3">IF(I11="","",J10)</f>
        <v>Revenue</v>
      </c>
      <c r="K11" s="23">
        <f t="shared" ref="K11:K20" si="4">D16</f>
        <v>106.0584461867427</v>
      </c>
      <c r="L11" s="19">
        <f t="shared" ref="L11:L20" si="5">IF(K11="","",L10)</f>
        <v>1</v>
      </c>
      <c r="M11" s="23">
        <f t="shared" si="0"/>
        <v>0</v>
      </c>
    </row>
    <row r="12" spans="1:13" x14ac:dyDescent="0.3">
      <c r="H12" s="2">
        <f t="shared" si="1"/>
        <v>45412</v>
      </c>
      <c r="I12" s="2" t="str">
        <f t="shared" si="2"/>
        <v>SO1</v>
      </c>
      <c r="J12" s="2" t="str">
        <f t="shared" si="3"/>
        <v>Revenue</v>
      </c>
      <c r="K12" s="23">
        <f t="shared" si="4"/>
        <v>102.63720598717035</v>
      </c>
      <c r="L12" s="19">
        <f t="shared" si="5"/>
        <v>1</v>
      </c>
      <c r="M12" s="23">
        <f t="shared" si="0"/>
        <v>0</v>
      </c>
    </row>
    <row r="13" spans="1:13" x14ac:dyDescent="0.3">
      <c r="A13" s="1" t="s">
        <v>80</v>
      </c>
      <c r="B13" s="1" t="s">
        <v>81</v>
      </c>
      <c r="C13" s="1" t="s">
        <v>54</v>
      </c>
      <c r="D13" s="1" t="s">
        <v>3</v>
      </c>
      <c r="F13" s="1" t="s">
        <v>92</v>
      </c>
      <c r="G13" s="1" t="s">
        <v>91</v>
      </c>
      <c r="H13" s="2">
        <f t="shared" si="1"/>
        <v>45443</v>
      </c>
      <c r="I13" s="2" t="str">
        <f t="shared" si="2"/>
        <v>SO1</v>
      </c>
      <c r="J13" s="2" t="str">
        <f t="shared" si="3"/>
        <v>Revenue</v>
      </c>
      <c r="K13" s="23">
        <f t="shared" si="4"/>
        <v>106.0584461867427</v>
      </c>
      <c r="L13" s="19">
        <f t="shared" si="5"/>
        <v>1</v>
      </c>
      <c r="M13" s="23">
        <f t="shared" si="0"/>
        <v>0</v>
      </c>
    </row>
    <row r="14" spans="1:13" x14ac:dyDescent="0.3">
      <c r="A14" s="2">
        <f>F5</f>
        <v>45292</v>
      </c>
      <c r="B14" s="2">
        <f>EOMONTH(A14,0)</f>
        <v>45322</v>
      </c>
      <c r="C14">
        <f>B14-A14+1</f>
        <v>31</v>
      </c>
      <c r="D14">
        <f t="shared" ref="D14:D25" si="6">$B$11*C14</f>
        <v>106.0584461867427</v>
      </c>
      <c r="F14">
        <f>SUM(D14:D59)</f>
        <v>1252.1739130434783</v>
      </c>
      <c r="G14">
        <f>SUM(C14:C59)</f>
        <v>366</v>
      </c>
      <c r="H14" s="2">
        <f t="shared" si="1"/>
        <v>45473</v>
      </c>
      <c r="I14" s="2" t="str">
        <f t="shared" si="2"/>
        <v>SO1</v>
      </c>
      <c r="J14" s="2" t="str">
        <f t="shared" si="3"/>
        <v>Revenue</v>
      </c>
      <c r="K14" s="23">
        <f t="shared" si="4"/>
        <v>102.63720598717035</v>
      </c>
      <c r="L14" s="19">
        <f t="shared" si="5"/>
        <v>1</v>
      </c>
      <c r="M14" s="23">
        <f t="shared" si="0"/>
        <v>0</v>
      </c>
    </row>
    <row r="15" spans="1:13" x14ac:dyDescent="0.3">
      <c r="B15" s="2">
        <f>IF(B14&gt;=$G$5,"",(IF(EOMONTH(EDATE(B14,1),0)&lt;$G$5,EOMONTH(EDATE(B14,1),0),$G$5)))</f>
        <v>45351</v>
      </c>
      <c r="C15" s="20">
        <f t="shared" ref="C15:C25" si="7">B15-B14</f>
        <v>29</v>
      </c>
      <c r="D15">
        <f t="shared" si="6"/>
        <v>99.215965787598009</v>
      </c>
      <c r="H15" s="2">
        <f t="shared" si="1"/>
        <v>45504</v>
      </c>
      <c r="I15" s="2" t="str">
        <f t="shared" si="2"/>
        <v>SO1</v>
      </c>
      <c r="J15" s="2" t="str">
        <f t="shared" si="3"/>
        <v>Revenue</v>
      </c>
      <c r="K15" s="23">
        <f t="shared" si="4"/>
        <v>106.0584461867427</v>
      </c>
      <c r="L15" s="19">
        <f t="shared" si="5"/>
        <v>1</v>
      </c>
      <c r="M15" s="23">
        <f t="shared" si="0"/>
        <v>0</v>
      </c>
    </row>
    <row r="16" spans="1:13" x14ac:dyDescent="0.3">
      <c r="B16" s="2">
        <f>IF(B15&gt;=$G$5,"",(IF(EOMONTH(EDATE(B15,1),0)&lt;$G$5,EOMONTH(EDATE(B15,1),0),$G$5)))</f>
        <v>45382</v>
      </c>
      <c r="C16" s="20">
        <f t="shared" si="7"/>
        <v>31</v>
      </c>
      <c r="D16">
        <f t="shared" si="6"/>
        <v>106.0584461867427</v>
      </c>
      <c r="F16" s="33" t="s">
        <v>90</v>
      </c>
      <c r="G16" s="33"/>
      <c r="H16" s="2">
        <f t="shared" si="1"/>
        <v>45535</v>
      </c>
      <c r="I16" s="2" t="str">
        <f t="shared" si="2"/>
        <v>SO1</v>
      </c>
      <c r="J16" s="2" t="str">
        <f t="shared" si="3"/>
        <v>Revenue</v>
      </c>
      <c r="K16" s="23">
        <f t="shared" si="4"/>
        <v>106.0584461867427</v>
      </c>
      <c r="L16" s="19">
        <f t="shared" si="5"/>
        <v>1</v>
      </c>
      <c r="M16" s="23">
        <f t="shared" si="0"/>
        <v>0</v>
      </c>
    </row>
    <row r="17" spans="2:13" x14ac:dyDescent="0.3">
      <c r="B17" s="2">
        <f>IF(B16&gt;=$G$5,"",(IF(EOMONTH(EDATE(B16,1),0)&lt;$G$5,EOMONTH(EDATE(B16,1),0),$G$5)))</f>
        <v>45412</v>
      </c>
      <c r="C17" s="20">
        <f t="shared" si="7"/>
        <v>30</v>
      </c>
      <c r="D17">
        <f t="shared" si="6"/>
        <v>102.63720598717035</v>
      </c>
      <c r="F17" t="b">
        <f>G14=B9</f>
        <v>1</v>
      </c>
      <c r="G17" t="b">
        <f>F14=(L5*M5)</f>
        <v>0</v>
      </c>
      <c r="H17" s="2">
        <f t="shared" si="1"/>
        <v>45565</v>
      </c>
      <c r="I17" s="2" t="str">
        <f t="shared" si="2"/>
        <v>SO1</v>
      </c>
      <c r="J17" s="2" t="str">
        <f t="shared" si="3"/>
        <v>Revenue</v>
      </c>
      <c r="K17" s="23">
        <f t="shared" si="4"/>
        <v>102.63720598717035</v>
      </c>
      <c r="L17" s="19">
        <f t="shared" si="5"/>
        <v>1</v>
      </c>
      <c r="M17" s="23">
        <f t="shared" si="0"/>
        <v>0</v>
      </c>
    </row>
    <row r="18" spans="2:13" x14ac:dyDescent="0.3">
      <c r="B18" s="2">
        <f>IF(B17&gt;=$G$5,"",(IF(EOMONTH(EDATE(B17,1),0)&lt;$G$5,EOMONTH(EDATE(B17,1),0),$G$5)))</f>
        <v>45443</v>
      </c>
      <c r="C18" s="20">
        <f t="shared" si="7"/>
        <v>31</v>
      </c>
      <c r="D18">
        <f t="shared" si="6"/>
        <v>106.0584461867427</v>
      </c>
      <c r="H18" s="2">
        <f t="shared" si="1"/>
        <v>45596</v>
      </c>
      <c r="I18" s="2" t="str">
        <f t="shared" si="2"/>
        <v>SO1</v>
      </c>
      <c r="J18" s="2" t="str">
        <f t="shared" si="3"/>
        <v>Revenue</v>
      </c>
      <c r="K18" s="23">
        <f t="shared" si="4"/>
        <v>106.0584461867427</v>
      </c>
      <c r="L18" s="19">
        <f t="shared" si="5"/>
        <v>1</v>
      </c>
      <c r="M18" s="23">
        <f t="shared" si="0"/>
        <v>0</v>
      </c>
    </row>
    <row r="19" spans="2:13" x14ac:dyDescent="0.3">
      <c r="B19" s="2">
        <f>IF(B18&gt;=$G$5,"",(IF(EOMONTH(EDATE(B18,1),0)&lt;$G$5,EOMONTH(EDATE(B18,1),0),$G$5)))</f>
        <v>45473</v>
      </c>
      <c r="C19" s="20">
        <f t="shared" si="7"/>
        <v>30</v>
      </c>
      <c r="D19">
        <f t="shared" si="6"/>
        <v>102.63720598717035</v>
      </c>
      <c r="H19" s="2">
        <f t="shared" si="1"/>
        <v>45626</v>
      </c>
      <c r="I19" s="2" t="str">
        <f t="shared" si="2"/>
        <v>SO1</v>
      </c>
      <c r="J19" s="2" t="str">
        <f t="shared" si="3"/>
        <v>Revenue</v>
      </c>
      <c r="K19" s="23">
        <f t="shared" si="4"/>
        <v>102.63720598717035</v>
      </c>
      <c r="L19" s="19">
        <f t="shared" si="5"/>
        <v>1</v>
      </c>
      <c r="M19" s="23">
        <f t="shared" si="0"/>
        <v>0</v>
      </c>
    </row>
    <row r="20" spans="2:13" x14ac:dyDescent="0.3">
      <c r="B20" s="2">
        <f>IF(B19&gt;=$G$5,"",(IF(EOMONTH(EDATE(B19,1),0)&lt;$G$5,EOMONTH(EDATE(B19,1),0),$G$5)))</f>
        <v>45504</v>
      </c>
      <c r="C20" s="20">
        <f t="shared" si="7"/>
        <v>31</v>
      </c>
      <c r="D20">
        <f t="shared" si="6"/>
        <v>106.0584461867427</v>
      </c>
      <c r="H20" s="2">
        <f t="shared" si="1"/>
        <v>45657</v>
      </c>
      <c r="I20" s="2" t="str">
        <f t="shared" si="2"/>
        <v>SO1</v>
      </c>
      <c r="J20" s="2" t="str">
        <f t="shared" si="3"/>
        <v>Revenue</v>
      </c>
      <c r="K20" s="23">
        <f t="shared" si="4"/>
        <v>106.0584461867427</v>
      </c>
      <c r="L20" s="19">
        <f t="shared" si="5"/>
        <v>1</v>
      </c>
      <c r="M20" s="23">
        <f>IF(L20="","",IF($F$17="FALSE",1,0))</f>
        <v>0</v>
      </c>
    </row>
    <row r="21" spans="2:13" x14ac:dyDescent="0.3">
      <c r="B21" s="2">
        <f>IF(B20&gt;=$G$5,"",(IF(EOMONTH(EDATE(B20,1),0)&lt;$G$5,EOMONTH(EDATE(B20,1),0),$G$5)))</f>
        <v>45535</v>
      </c>
      <c r="C21" s="20">
        <f t="shared" si="7"/>
        <v>31</v>
      </c>
      <c r="D21">
        <f t="shared" si="6"/>
        <v>106.0584461867427</v>
      </c>
      <c r="H21" s="2" t="str">
        <f t="shared" ref="H21:H54" si="8">B26</f>
        <v/>
      </c>
      <c r="I21" s="2" t="str">
        <f t="shared" ref="I21:I54" si="9">IF(H21="","",I20)</f>
        <v/>
      </c>
      <c r="J21" s="2" t="str">
        <f t="shared" ref="J21:J54" si="10">IF(I21="","",J20)</f>
        <v/>
      </c>
      <c r="K21" s="23" t="str">
        <f t="shared" ref="K21:K54" si="11">D26</f>
        <v/>
      </c>
      <c r="L21" s="19" t="str">
        <f t="shared" ref="L21:L61" si="12">IF(K21="","",L20)</f>
        <v/>
      </c>
      <c r="M21" s="23" t="str">
        <f t="shared" ref="M21:M54" si="13">IF(L21="","",IF($F$17="FALSE",1,0))</f>
        <v/>
      </c>
    </row>
    <row r="22" spans="2:13" x14ac:dyDescent="0.3">
      <c r="B22" s="2">
        <f>IF(B21&gt;=$G$5,"",(IF(EOMONTH(EDATE(B21,1),0)&lt;$G$5,EOMONTH(EDATE(B21,1),0),$G$5)))</f>
        <v>45565</v>
      </c>
      <c r="C22" s="20">
        <f t="shared" si="7"/>
        <v>30</v>
      </c>
      <c r="D22">
        <f t="shared" si="6"/>
        <v>102.63720598717035</v>
      </c>
      <c r="H22" s="2" t="str">
        <f t="shared" si="8"/>
        <v/>
      </c>
      <c r="I22" s="2" t="str">
        <f t="shared" si="9"/>
        <v/>
      </c>
      <c r="J22" s="2" t="str">
        <f t="shared" si="10"/>
        <v/>
      </c>
      <c r="K22" s="23" t="str">
        <f t="shared" si="11"/>
        <v/>
      </c>
      <c r="L22" s="19" t="str">
        <f t="shared" si="12"/>
        <v/>
      </c>
      <c r="M22" s="23" t="str">
        <f t="shared" si="13"/>
        <v/>
      </c>
    </row>
    <row r="23" spans="2:13" x14ac:dyDescent="0.3">
      <c r="B23" s="2">
        <f>IF(B22&gt;=$G$5,"",(IF(EOMONTH(EDATE(B22,1),0)&lt;$G$5,EOMONTH(EDATE(B22,1),0),$G$5)))</f>
        <v>45596</v>
      </c>
      <c r="C23" s="20">
        <f t="shared" si="7"/>
        <v>31</v>
      </c>
      <c r="D23">
        <f t="shared" si="6"/>
        <v>106.0584461867427</v>
      </c>
      <c r="H23" s="2" t="str">
        <f t="shared" si="8"/>
        <v/>
      </c>
      <c r="I23" s="2" t="str">
        <f t="shared" si="9"/>
        <v/>
      </c>
      <c r="J23" s="2" t="str">
        <f t="shared" si="10"/>
        <v/>
      </c>
      <c r="K23" s="23" t="str">
        <f t="shared" si="11"/>
        <v/>
      </c>
      <c r="L23" s="19" t="str">
        <f t="shared" si="12"/>
        <v/>
      </c>
      <c r="M23" s="23" t="str">
        <f t="shared" si="13"/>
        <v/>
      </c>
    </row>
    <row r="24" spans="2:13" x14ac:dyDescent="0.3">
      <c r="B24" s="2">
        <f>IF(B23&gt;=$G$5,"",(IF(EOMONTH(EDATE(B23,1),0)&lt;$G$5,EOMONTH(EDATE(B23,1),0),$G$5)))</f>
        <v>45626</v>
      </c>
      <c r="C24" s="20">
        <f t="shared" si="7"/>
        <v>30</v>
      </c>
      <c r="D24">
        <f t="shared" si="6"/>
        <v>102.63720598717035</v>
      </c>
      <c r="H24" s="2" t="str">
        <f t="shared" si="8"/>
        <v/>
      </c>
      <c r="I24" s="2" t="str">
        <f t="shared" si="9"/>
        <v/>
      </c>
      <c r="J24" s="2" t="str">
        <f t="shared" si="10"/>
        <v/>
      </c>
      <c r="K24" s="23" t="str">
        <f t="shared" si="11"/>
        <v/>
      </c>
      <c r="L24" s="19" t="str">
        <f t="shared" si="12"/>
        <v/>
      </c>
      <c r="M24" s="23" t="str">
        <f t="shared" si="13"/>
        <v/>
      </c>
    </row>
    <row r="25" spans="2:13" x14ac:dyDescent="0.3">
      <c r="B25" s="2">
        <f>IF(B24&gt;=$G$5,"",(IF(EOMONTH(EDATE(B24,1),0)&lt;$G$5,EOMONTH(EDATE(B24,1),0),$G$5)))</f>
        <v>45657</v>
      </c>
      <c r="C25" s="20">
        <f t="shared" si="7"/>
        <v>31</v>
      </c>
      <c r="D25">
        <f t="shared" si="6"/>
        <v>106.0584461867427</v>
      </c>
      <c r="H25" s="2" t="str">
        <f t="shared" si="8"/>
        <v/>
      </c>
      <c r="I25" s="2" t="str">
        <f t="shared" si="9"/>
        <v/>
      </c>
      <c r="J25" s="2" t="str">
        <f t="shared" si="10"/>
        <v/>
      </c>
      <c r="K25" s="23" t="str">
        <f t="shared" si="11"/>
        <v/>
      </c>
      <c r="L25" s="19" t="str">
        <f t="shared" si="12"/>
        <v/>
      </c>
      <c r="M25" s="23" t="str">
        <f t="shared" si="13"/>
        <v/>
      </c>
    </row>
    <row r="26" spans="2:13" x14ac:dyDescent="0.3">
      <c r="B26" s="2" t="str">
        <f>IF(B25&gt;=$G$5,"",(IF(EOMONTH(EDATE(B25,1),0)&lt;$G$5,EOMONTH(EDATE(B25,1),0),$G$5)))</f>
        <v/>
      </c>
      <c r="C26" s="20" t="str">
        <f>IFERROR(B26-B25,"")</f>
        <v/>
      </c>
      <c r="D26" t="str">
        <f>IFERROR($B$11*C26,"")</f>
        <v/>
      </c>
      <c r="H26" s="2" t="str">
        <f t="shared" si="8"/>
        <v/>
      </c>
      <c r="I26" s="2" t="str">
        <f t="shared" si="9"/>
        <v/>
      </c>
      <c r="J26" s="2" t="str">
        <f t="shared" si="10"/>
        <v/>
      </c>
      <c r="K26" s="23" t="str">
        <f t="shared" si="11"/>
        <v/>
      </c>
      <c r="L26" s="19" t="str">
        <f t="shared" si="12"/>
        <v/>
      </c>
      <c r="M26" s="23" t="str">
        <f t="shared" si="13"/>
        <v/>
      </c>
    </row>
    <row r="27" spans="2:13" x14ac:dyDescent="0.3">
      <c r="B27" s="2" t="str">
        <f>IF(B26&gt;=$G$5,"",(IF(EOMONTH(EDATE(B26,1),0)&lt;$G$5,EOMONTH(EDATE(B26,1),0),$G$5)))</f>
        <v/>
      </c>
      <c r="C27" s="20" t="str">
        <f t="shared" ref="C27:C59" si="14">IFERROR(B27-B26,"")</f>
        <v/>
      </c>
      <c r="D27" t="str">
        <f t="shared" ref="D27:D59" si="15">IFERROR($B$11*C27,"")</f>
        <v/>
      </c>
      <c r="H27" s="2" t="str">
        <f t="shared" si="8"/>
        <v/>
      </c>
      <c r="I27" s="2" t="str">
        <f t="shared" si="9"/>
        <v/>
      </c>
      <c r="J27" s="2" t="str">
        <f t="shared" si="10"/>
        <v/>
      </c>
      <c r="K27" s="23" t="str">
        <f t="shared" si="11"/>
        <v/>
      </c>
      <c r="L27" s="19" t="str">
        <f t="shared" si="12"/>
        <v/>
      </c>
      <c r="M27" s="23" t="str">
        <f t="shared" si="13"/>
        <v/>
      </c>
    </row>
    <row r="28" spans="2:13" x14ac:dyDescent="0.3">
      <c r="B28" s="2" t="str">
        <f>IF(B27&gt;=$G$5,"",(IF(EOMONTH(EDATE(B27,1),0)&lt;$G$5,EOMONTH(EDATE(B27,1),0),$G$5)))</f>
        <v/>
      </c>
      <c r="C28" s="20" t="str">
        <f t="shared" si="14"/>
        <v/>
      </c>
      <c r="D28" t="str">
        <f t="shared" si="15"/>
        <v/>
      </c>
      <c r="H28" s="2" t="str">
        <f t="shared" si="8"/>
        <v/>
      </c>
      <c r="I28" s="2" t="str">
        <f t="shared" si="9"/>
        <v/>
      </c>
      <c r="J28" s="2" t="str">
        <f t="shared" si="10"/>
        <v/>
      </c>
      <c r="K28" s="23" t="str">
        <f t="shared" si="11"/>
        <v/>
      </c>
      <c r="L28" s="19" t="str">
        <f t="shared" si="12"/>
        <v/>
      </c>
      <c r="M28" s="23" t="str">
        <f t="shared" si="13"/>
        <v/>
      </c>
    </row>
    <row r="29" spans="2:13" x14ac:dyDescent="0.3">
      <c r="B29" s="2" t="str">
        <f>IF(B28&gt;=$G$5,"",(IF(EOMONTH(EDATE(B28,1),0)&lt;$G$5,EOMONTH(EDATE(B28,1),0),$G$5)))</f>
        <v/>
      </c>
      <c r="C29" s="20" t="str">
        <f t="shared" si="14"/>
        <v/>
      </c>
      <c r="D29" t="str">
        <f t="shared" si="15"/>
        <v/>
      </c>
      <c r="H29" s="2" t="str">
        <f t="shared" si="8"/>
        <v/>
      </c>
      <c r="I29" s="2" t="str">
        <f t="shared" si="9"/>
        <v/>
      </c>
      <c r="J29" s="2" t="str">
        <f t="shared" si="10"/>
        <v/>
      </c>
      <c r="K29" s="23" t="str">
        <f t="shared" si="11"/>
        <v/>
      </c>
      <c r="L29" s="19" t="str">
        <f t="shared" si="12"/>
        <v/>
      </c>
      <c r="M29" s="23" t="str">
        <f t="shared" si="13"/>
        <v/>
      </c>
    </row>
    <row r="30" spans="2:13" x14ac:dyDescent="0.3">
      <c r="B30" s="2" t="str">
        <f>IF(B29&gt;=$G$5,"",(IF(EOMONTH(EDATE(B29,1),0)&lt;$G$5,EOMONTH(EDATE(B29,1),0),$G$5)))</f>
        <v/>
      </c>
      <c r="C30" s="20" t="str">
        <f t="shared" si="14"/>
        <v/>
      </c>
      <c r="D30" t="str">
        <f t="shared" si="15"/>
        <v/>
      </c>
      <c r="H30" s="2" t="str">
        <f t="shared" si="8"/>
        <v/>
      </c>
      <c r="I30" s="2" t="str">
        <f t="shared" si="9"/>
        <v/>
      </c>
      <c r="J30" s="2" t="str">
        <f t="shared" si="10"/>
        <v/>
      </c>
      <c r="K30" s="23" t="str">
        <f t="shared" si="11"/>
        <v/>
      </c>
      <c r="L30" s="19" t="str">
        <f t="shared" si="12"/>
        <v/>
      </c>
      <c r="M30" s="23" t="str">
        <f t="shared" si="13"/>
        <v/>
      </c>
    </row>
    <row r="31" spans="2:13" x14ac:dyDescent="0.3">
      <c r="B31" s="2" t="str">
        <f>IF(B30&gt;=$G$5,"",(IF(EOMONTH(EDATE(B30,1),0)&lt;$G$5,EOMONTH(EDATE(B30,1),0),$G$5)))</f>
        <v/>
      </c>
      <c r="C31" s="20" t="str">
        <f t="shared" si="14"/>
        <v/>
      </c>
      <c r="D31" t="str">
        <f t="shared" si="15"/>
        <v/>
      </c>
      <c r="H31" s="2" t="str">
        <f t="shared" si="8"/>
        <v/>
      </c>
      <c r="I31" s="2" t="str">
        <f t="shared" si="9"/>
        <v/>
      </c>
      <c r="J31" s="2" t="str">
        <f t="shared" si="10"/>
        <v/>
      </c>
      <c r="K31" s="23" t="str">
        <f t="shared" si="11"/>
        <v/>
      </c>
      <c r="L31" s="19" t="str">
        <f t="shared" si="12"/>
        <v/>
      </c>
      <c r="M31" s="23" t="str">
        <f t="shared" si="13"/>
        <v/>
      </c>
    </row>
    <row r="32" spans="2:13" x14ac:dyDescent="0.3">
      <c r="B32" s="2" t="str">
        <f>IF(B31&gt;=$G$5,"",(IF(EOMONTH(EDATE(B31,1),0)&lt;$G$5,EOMONTH(EDATE(B31,1),0),$G$5)))</f>
        <v/>
      </c>
      <c r="C32" s="20" t="str">
        <f t="shared" si="14"/>
        <v/>
      </c>
      <c r="D32" t="str">
        <f t="shared" si="15"/>
        <v/>
      </c>
      <c r="H32" s="2" t="str">
        <f t="shared" si="8"/>
        <v/>
      </c>
      <c r="I32" s="2" t="str">
        <f t="shared" si="9"/>
        <v/>
      </c>
      <c r="J32" s="2" t="str">
        <f t="shared" si="10"/>
        <v/>
      </c>
      <c r="K32" s="23" t="str">
        <f t="shared" si="11"/>
        <v/>
      </c>
      <c r="L32" s="19" t="str">
        <f t="shared" si="12"/>
        <v/>
      </c>
      <c r="M32" s="23" t="str">
        <f t="shared" si="13"/>
        <v/>
      </c>
    </row>
    <row r="33" spans="2:13" x14ac:dyDescent="0.3">
      <c r="B33" s="2" t="str">
        <f>IF(B32&gt;=$G$5,"",(IF(EOMONTH(EDATE(B32,1),0)&lt;$G$5,EOMONTH(EDATE(B32,1),0),$G$5)))</f>
        <v/>
      </c>
      <c r="C33" s="20" t="str">
        <f t="shared" si="14"/>
        <v/>
      </c>
      <c r="D33" t="str">
        <f t="shared" si="15"/>
        <v/>
      </c>
      <c r="H33" s="2" t="str">
        <f t="shared" si="8"/>
        <v/>
      </c>
      <c r="I33" s="2" t="str">
        <f t="shared" si="9"/>
        <v/>
      </c>
      <c r="J33" s="2" t="str">
        <f t="shared" si="10"/>
        <v/>
      </c>
      <c r="K33" s="23" t="str">
        <f t="shared" si="11"/>
        <v/>
      </c>
      <c r="L33" s="19" t="str">
        <f t="shared" si="12"/>
        <v/>
      </c>
      <c r="M33" s="23" t="str">
        <f t="shared" si="13"/>
        <v/>
      </c>
    </row>
    <row r="34" spans="2:13" x14ac:dyDescent="0.3">
      <c r="B34" s="2" t="str">
        <f>IF(B33&gt;=$G$5,"",(IF(EOMONTH(EDATE(B33,1),0)&lt;$G$5,EOMONTH(EDATE(B33,1),0),$G$5)))</f>
        <v/>
      </c>
      <c r="C34" s="20" t="str">
        <f t="shared" si="14"/>
        <v/>
      </c>
      <c r="D34" t="str">
        <f t="shared" si="15"/>
        <v/>
      </c>
      <c r="H34" s="2" t="str">
        <f t="shared" si="8"/>
        <v/>
      </c>
      <c r="I34" s="2" t="str">
        <f t="shared" si="9"/>
        <v/>
      </c>
      <c r="J34" s="2" t="str">
        <f t="shared" si="10"/>
        <v/>
      </c>
      <c r="K34" s="23" t="str">
        <f t="shared" si="11"/>
        <v/>
      </c>
      <c r="L34" s="19" t="str">
        <f t="shared" si="12"/>
        <v/>
      </c>
      <c r="M34" s="23" t="str">
        <f t="shared" si="13"/>
        <v/>
      </c>
    </row>
    <row r="35" spans="2:13" x14ac:dyDescent="0.3">
      <c r="B35" s="2" t="str">
        <f>IF(B34&gt;=$G$5,"",(IF(EOMONTH(EDATE(B34,1),0)&lt;$G$5,EOMONTH(EDATE(B34,1),0),$G$5)))</f>
        <v/>
      </c>
      <c r="C35" s="20" t="str">
        <f t="shared" si="14"/>
        <v/>
      </c>
      <c r="D35" t="str">
        <f t="shared" si="15"/>
        <v/>
      </c>
      <c r="H35" s="2" t="str">
        <f t="shared" si="8"/>
        <v/>
      </c>
      <c r="I35" s="2" t="str">
        <f t="shared" si="9"/>
        <v/>
      </c>
      <c r="J35" s="2" t="str">
        <f t="shared" si="10"/>
        <v/>
      </c>
      <c r="K35" s="23" t="str">
        <f t="shared" si="11"/>
        <v/>
      </c>
      <c r="L35" s="19" t="str">
        <f t="shared" si="12"/>
        <v/>
      </c>
      <c r="M35" s="23" t="str">
        <f t="shared" si="13"/>
        <v/>
      </c>
    </row>
    <row r="36" spans="2:13" x14ac:dyDescent="0.3">
      <c r="B36" s="2" t="str">
        <f>IF(B35&gt;=$G$5,"",(IF(EOMONTH(EDATE(B35,1),0)&lt;$G$5,EOMONTH(EDATE(B35,1),0),$G$5)))</f>
        <v/>
      </c>
      <c r="C36" s="20" t="str">
        <f t="shared" si="14"/>
        <v/>
      </c>
      <c r="D36" t="str">
        <f t="shared" si="15"/>
        <v/>
      </c>
      <c r="H36" s="2" t="str">
        <f t="shared" si="8"/>
        <v/>
      </c>
      <c r="I36" s="2" t="str">
        <f t="shared" si="9"/>
        <v/>
      </c>
      <c r="J36" s="2" t="str">
        <f t="shared" si="10"/>
        <v/>
      </c>
      <c r="K36" s="23" t="str">
        <f t="shared" si="11"/>
        <v/>
      </c>
      <c r="L36" s="19" t="str">
        <f t="shared" si="12"/>
        <v/>
      </c>
      <c r="M36" s="23" t="str">
        <f t="shared" si="13"/>
        <v/>
      </c>
    </row>
    <row r="37" spans="2:13" x14ac:dyDescent="0.3">
      <c r="B37" s="2" t="str">
        <f>IF(B36&gt;=$G$5,"",(IF(EOMONTH(EDATE(B36,1),0)&lt;$G$5,EOMONTH(EDATE(B36,1),0),$G$5)))</f>
        <v/>
      </c>
      <c r="C37" s="20" t="str">
        <f t="shared" si="14"/>
        <v/>
      </c>
      <c r="D37" t="str">
        <f t="shared" si="15"/>
        <v/>
      </c>
      <c r="H37" s="2" t="str">
        <f t="shared" si="8"/>
        <v/>
      </c>
      <c r="I37" s="2" t="str">
        <f t="shared" si="9"/>
        <v/>
      </c>
      <c r="J37" s="2" t="str">
        <f t="shared" si="10"/>
        <v/>
      </c>
      <c r="K37" s="23" t="str">
        <f t="shared" si="11"/>
        <v/>
      </c>
      <c r="L37" s="19" t="str">
        <f t="shared" si="12"/>
        <v/>
      </c>
      <c r="M37" s="23" t="str">
        <f t="shared" si="13"/>
        <v/>
      </c>
    </row>
    <row r="38" spans="2:13" x14ac:dyDescent="0.3">
      <c r="B38" s="2" t="str">
        <f>IF(B37&gt;=$G$5,"",(IF(EOMONTH(EDATE(B37,1),0)&lt;$G$5,EOMONTH(EDATE(B37,1),0),$G$5)))</f>
        <v/>
      </c>
      <c r="C38" s="20" t="str">
        <f t="shared" si="14"/>
        <v/>
      </c>
      <c r="D38" t="str">
        <f t="shared" si="15"/>
        <v/>
      </c>
      <c r="H38" s="2" t="str">
        <f t="shared" si="8"/>
        <v/>
      </c>
      <c r="I38" s="2" t="str">
        <f t="shared" si="9"/>
        <v/>
      </c>
      <c r="J38" s="2" t="str">
        <f t="shared" si="10"/>
        <v/>
      </c>
      <c r="K38" s="23" t="str">
        <f t="shared" si="11"/>
        <v/>
      </c>
      <c r="L38" s="19" t="str">
        <f t="shared" si="12"/>
        <v/>
      </c>
      <c r="M38" s="23" t="str">
        <f t="shared" si="13"/>
        <v/>
      </c>
    </row>
    <row r="39" spans="2:13" x14ac:dyDescent="0.3">
      <c r="B39" s="2" t="str">
        <f>IF(B38&gt;=$G$5,"",(IF(EOMONTH(EDATE(B38,1),0)&lt;$G$5,EOMONTH(EDATE(B38,1),0),$G$5)))</f>
        <v/>
      </c>
      <c r="C39" s="20" t="str">
        <f t="shared" si="14"/>
        <v/>
      </c>
      <c r="D39" t="str">
        <f t="shared" si="15"/>
        <v/>
      </c>
      <c r="H39" s="2" t="str">
        <f t="shared" si="8"/>
        <v/>
      </c>
      <c r="I39" s="2" t="str">
        <f t="shared" si="9"/>
        <v/>
      </c>
      <c r="J39" s="2" t="str">
        <f t="shared" si="10"/>
        <v/>
      </c>
      <c r="K39" s="23" t="str">
        <f t="shared" si="11"/>
        <v/>
      </c>
      <c r="L39" s="19" t="str">
        <f t="shared" si="12"/>
        <v/>
      </c>
      <c r="M39" s="23" t="str">
        <f t="shared" si="13"/>
        <v/>
      </c>
    </row>
    <row r="40" spans="2:13" x14ac:dyDescent="0.3">
      <c r="B40" s="2" t="str">
        <f>IF(B39&gt;=$G$5,"",(IF(EOMONTH(EDATE(B39,1),0)&lt;$G$5,EOMONTH(EDATE(B39,1),0),$G$5)))</f>
        <v/>
      </c>
      <c r="C40" s="20" t="str">
        <f t="shared" si="14"/>
        <v/>
      </c>
      <c r="D40" t="str">
        <f t="shared" si="15"/>
        <v/>
      </c>
      <c r="H40" s="2" t="str">
        <f t="shared" si="8"/>
        <v/>
      </c>
      <c r="I40" s="2" t="str">
        <f t="shared" si="9"/>
        <v/>
      </c>
      <c r="J40" s="2" t="str">
        <f t="shared" si="10"/>
        <v/>
      </c>
      <c r="K40" s="23" t="str">
        <f t="shared" si="11"/>
        <v/>
      </c>
      <c r="L40" s="19" t="str">
        <f t="shared" si="12"/>
        <v/>
      </c>
      <c r="M40" s="23" t="str">
        <f t="shared" si="13"/>
        <v/>
      </c>
    </row>
    <row r="41" spans="2:13" x14ac:dyDescent="0.3">
      <c r="B41" s="2" t="str">
        <f>IF(B40&gt;=$G$5,"",(IF(EOMONTH(EDATE(B40,1),0)&lt;$G$5,EOMONTH(EDATE(B40,1),0),$G$5)))</f>
        <v/>
      </c>
      <c r="C41" s="20" t="str">
        <f t="shared" si="14"/>
        <v/>
      </c>
      <c r="D41" t="str">
        <f t="shared" si="15"/>
        <v/>
      </c>
      <c r="H41" s="2" t="str">
        <f t="shared" si="8"/>
        <v/>
      </c>
      <c r="I41" s="2" t="str">
        <f t="shared" si="9"/>
        <v/>
      </c>
      <c r="J41" s="2" t="str">
        <f t="shared" si="10"/>
        <v/>
      </c>
      <c r="K41" s="23" t="str">
        <f t="shared" si="11"/>
        <v/>
      </c>
      <c r="L41" s="19" t="str">
        <f t="shared" si="12"/>
        <v/>
      </c>
      <c r="M41" s="23" t="str">
        <f t="shared" si="13"/>
        <v/>
      </c>
    </row>
    <row r="42" spans="2:13" x14ac:dyDescent="0.3">
      <c r="B42" s="2" t="str">
        <f>IF(B41&gt;=$G$5,"",(IF(EOMONTH(EDATE(B41,1),0)&lt;$G$5,EOMONTH(EDATE(B41,1),0),$G$5)))</f>
        <v/>
      </c>
      <c r="C42" s="20" t="str">
        <f t="shared" si="14"/>
        <v/>
      </c>
      <c r="D42" t="str">
        <f t="shared" si="15"/>
        <v/>
      </c>
      <c r="H42" s="2" t="str">
        <f t="shared" si="8"/>
        <v/>
      </c>
      <c r="I42" s="2" t="str">
        <f t="shared" si="9"/>
        <v/>
      </c>
      <c r="J42" s="2" t="str">
        <f t="shared" si="10"/>
        <v/>
      </c>
      <c r="K42" s="23" t="str">
        <f t="shared" si="11"/>
        <v/>
      </c>
      <c r="L42" s="19" t="str">
        <f t="shared" si="12"/>
        <v/>
      </c>
      <c r="M42" s="23" t="str">
        <f t="shared" si="13"/>
        <v/>
      </c>
    </row>
    <row r="43" spans="2:13" x14ac:dyDescent="0.3">
      <c r="B43" s="2" t="str">
        <f>IF(B42&gt;=$G$5,"",(IF(EOMONTH(EDATE(B42,1),0)&lt;$G$5,EOMONTH(EDATE(B42,1),0),$G$5)))</f>
        <v/>
      </c>
      <c r="C43" s="20" t="str">
        <f t="shared" si="14"/>
        <v/>
      </c>
      <c r="D43" t="str">
        <f t="shared" si="15"/>
        <v/>
      </c>
      <c r="H43" s="2" t="str">
        <f t="shared" si="8"/>
        <v/>
      </c>
      <c r="I43" s="2" t="str">
        <f t="shared" si="9"/>
        <v/>
      </c>
      <c r="J43" s="2" t="str">
        <f t="shared" si="10"/>
        <v/>
      </c>
      <c r="K43" s="23" t="str">
        <f t="shared" si="11"/>
        <v/>
      </c>
      <c r="L43" s="19" t="str">
        <f t="shared" si="12"/>
        <v/>
      </c>
      <c r="M43" s="23" t="str">
        <f t="shared" si="13"/>
        <v/>
      </c>
    </row>
    <row r="44" spans="2:13" x14ac:dyDescent="0.3">
      <c r="B44" s="2" t="str">
        <f>IF(B43&gt;=$G$5,"",(IF(EOMONTH(EDATE(B43,1),0)&lt;$G$5,EOMONTH(EDATE(B43,1),0),$G$5)))</f>
        <v/>
      </c>
      <c r="C44" s="20" t="str">
        <f t="shared" si="14"/>
        <v/>
      </c>
      <c r="D44" t="str">
        <f t="shared" si="15"/>
        <v/>
      </c>
      <c r="H44" s="2" t="str">
        <f t="shared" si="8"/>
        <v/>
      </c>
      <c r="I44" s="2" t="str">
        <f t="shared" si="9"/>
        <v/>
      </c>
      <c r="J44" s="2" t="str">
        <f t="shared" si="10"/>
        <v/>
      </c>
      <c r="K44" s="23" t="str">
        <f t="shared" si="11"/>
        <v/>
      </c>
      <c r="L44" s="19" t="str">
        <f t="shared" si="12"/>
        <v/>
      </c>
      <c r="M44" s="23" t="str">
        <f t="shared" si="13"/>
        <v/>
      </c>
    </row>
    <row r="45" spans="2:13" x14ac:dyDescent="0.3">
      <c r="B45" s="2" t="str">
        <f>IF(B44&gt;=$G$5,"",(IF(EOMONTH(EDATE(B44,1),0)&lt;$G$5,EOMONTH(EDATE(B44,1),0),$G$5)))</f>
        <v/>
      </c>
      <c r="C45" s="20" t="str">
        <f t="shared" si="14"/>
        <v/>
      </c>
      <c r="D45" t="str">
        <f t="shared" si="15"/>
        <v/>
      </c>
      <c r="H45" s="2" t="str">
        <f t="shared" si="8"/>
        <v/>
      </c>
      <c r="I45" s="2" t="str">
        <f t="shared" si="9"/>
        <v/>
      </c>
      <c r="J45" s="2" t="str">
        <f t="shared" si="10"/>
        <v/>
      </c>
      <c r="K45" s="23" t="str">
        <f t="shared" si="11"/>
        <v/>
      </c>
      <c r="L45" s="19" t="str">
        <f t="shared" si="12"/>
        <v/>
      </c>
      <c r="M45" s="23" t="str">
        <f t="shared" si="13"/>
        <v/>
      </c>
    </row>
    <row r="46" spans="2:13" x14ac:dyDescent="0.3">
      <c r="B46" s="2" t="str">
        <f>IF(B45&gt;=$G$5,"",(IF(EOMONTH(EDATE(B45,1),0)&lt;$G$5,EOMONTH(EDATE(B45,1),0),$G$5)))</f>
        <v/>
      </c>
      <c r="C46" s="20" t="str">
        <f t="shared" si="14"/>
        <v/>
      </c>
      <c r="D46" t="str">
        <f t="shared" si="15"/>
        <v/>
      </c>
      <c r="H46" s="2" t="str">
        <f t="shared" si="8"/>
        <v/>
      </c>
      <c r="I46" s="2" t="str">
        <f t="shared" si="9"/>
        <v/>
      </c>
      <c r="J46" s="2" t="str">
        <f t="shared" si="10"/>
        <v/>
      </c>
      <c r="K46" s="23" t="str">
        <f t="shared" si="11"/>
        <v/>
      </c>
      <c r="L46" s="19" t="str">
        <f t="shared" si="12"/>
        <v/>
      </c>
      <c r="M46" s="23" t="str">
        <f t="shared" si="13"/>
        <v/>
      </c>
    </row>
    <row r="47" spans="2:13" x14ac:dyDescent="0.3">
      <c r="B47" s="2" t="str">
        <f>IF(B46&gt;=$G$5,"",(IF(EOMONTH(EDATE(B46,1),0)&lt;$G$5,EOMONTH(EDATE(B46,1),0),$G$5)))</f>
        <v/>
      </c>
      <c r="C47" s="20" t="str">
        <f t="shared" si="14"/>
        <v/>
      </c>
      <c r="D47" t="str">
        <f t="shared" si="15"/>
        <v/>
      </c>
      <c r="H47" s="2" t="str">
        <f t="shared" si="8"/>
        <v/>
      </c>
      <c r="I47" s="2" t="str">
        <f t="shared" si="9"/>
        <v/>
      </c>
      <c r="J47" s="2" t="str">
        <f t="shared" si="10"/>
        <v/>
      </c>
      <c r="K47" s="23" t="str">
        <f t="shared" si="11"/>
        <v/>
      </c>
      <c r="L47" s="19" t="str">
        <f t="shared" si="12"/>
        <v/>
      </c>
      <c r="M47" s="23" t="str">
        <f t="shared" si="13"/>
        <v/>
      </c>
    </row>
    <row r="48" spans="2:13" x14ac:dyDescent="0.3">
      <c r="B48" s="2" t="str">
        <f>IF(B47&gt;=$G$5,"",(IF(EOMONTH(EDATE(B47,1),0)&lt;$G$5,EOMONTH(EDATE(B47,1),0),$G$5)))</f>
        <v/>
      </c>
      <c r="C48" s="20" t="str">
        <f t="shared" si="14"/>
        <v/>
      </c>
      <c r="D48" t="str">
        <f t="shared" si="15"/>
        <v/>
      </c>
      <c r="H48" s="2" t="str">
        <f t="shared" si="8"/>
        <v/>
      </c>
      <c r="I48" s="2" t="str">
        <f t="shared" si="9"/>
        <v/>
      </c>
      <c r="J48" s="2" t="str">
        <f t="shared" si="10"/>
        <v/>
      </c>
      <c r="K48" s="23" t="str">
        <f t="shared" si="11"/>
        <v/>
      </c>
      <c r="L48" s="19" t="str">
        <f t="shared" si="12"/>
        <v/>
      </c>
      <c r="M48" s="23" t="str">
        <f t="shared" si="13"/>
        <v/>
      </c>
    </row>
    <row r="49" spans="2:13" x14ac:dyDescent="0.3">
      <c r="B49" s="2" t="str">
        <f>IF(B48&gt;=$G$5,"",(IF(EOMONTH(EDATE(B48,1),0)&lt;$G$5,EOMONTH(EDATE(B48,1),0),$G$5)))</f>
        <v/>
      </c>
      <c r="C49" s="20" t="str">
        <f t="shared" si="14"/>
        <v/>
      </c>
      <c r="D49" t="str">
        <f t="shared" si="15"/>
        <v/>
      </c>
      <c r="H49" s="2" t="str">
        <f t="shared" si="8"/>
        <v/>
      </c>
      <c r="I49" s="2" t="str">
        <f t="shared" si="9"/>
        <v/>
      </c>
      <c r="J49" s="2" t="str">
        <f t="shared" si="10"/>
        <v/>
      </c>
      <c r="K49" s="23" t="str">
        <f t="shared" si="11"/>
        <v/>
      </c>
      <c r="L49" s="19" t="str">
        <f t="shared" si="12"/>
        <v/>
      </c>
      <c r="M49" s="23" t="str">
        <f t="shared" si="13"/>
        <v/>
      </c>
    </row>
    <row r="50" spans="2:13" x14ac:dyDescent="0.3">
      <c r="B50" s="2" t="str">
        <f>IF(B49&gt;=$G$5,"",(IF(EOMONTH(EDATE(B49,1),0)&lt;$G$5,EOMONTH(EDATE(B49,1),0),$G$5)))</f>
        <v/>
      </c>
      <c r="C50" s="20" t="str">
        <f t="shared" si="14"/>
        <v/>
      </c>
      <c r="D50" t="str">
        <f t="shared" si="15"/>
        <v/>
      </c>
      <c r="H50" s="2" t="str">
        <f t="shared" si="8"/>
        <v/>
      </c>
      <c r="I50" s="2" t="str">
        <f t="shared" si="9"/>
        <v/>
      </c>
      <c r="J50" s="2" t="str">
        <f t="shared" si="10"/>
        <v/>
      </c>
      <c r="K50" s="23" t="str">
        <f t="shared" si="11"/>
        <v/>
      </c>
      <c r="L50" s="19" t="str">
        <f t="shared" si="12"/>
        <v/>
      </c>
      <c r="M50" s="23" t="str">
        <f t="shared" si="13"/>
        <v/>
      </c>
    </row>
    <row r="51" spans="2:13" x14ac:dyDescent="0.3">
      <c r="B51" s="2" t="str">
        <f>IF(B50&gt;=$G$5,"",(IF(EOMONTH(EDATE(B50,1),0)&lt;$G$5,EOMONTH(EDATE(B50,1),0),$G$5)))</f>
        <v/>
      </c>
      <c r="C51" s="20" t="str">
        <f t="shared" si="14"/>
        <v/>
      </c>
      <c r="D51" t="str">
        <f t="shared" si="15"/>
        <v/>
      </c>
      <c r="H51" s="2" t="str">
        <f t="shared" si="8"/>
        <v/>
      </c>
      <c r="I51" s="2" t="str">
        <f t="shared" si="9"/>
        <v/>
      </c>
      <c r="J51" s="2" t="str">
        <f t="shared" si="10"/>
        <v/>
      </c>
      <c r="K51" s="23" t="str">
        <f t="shared" si="11"/>
        <v/>
      </c>
      <c r="L51" s="19" t="str">
        <f t="shared" si="12"/>
        <v/>
      </c>
      <c r="M51" s="23" t="str">
        <f t="shared" si="13"/>
        <v/>
      </c>
    </row>
    <row r="52" spans="2:13" x14ac:dyDescent="0.3">
      <c r="B52" s="2" t="str">
        <f>IF(B51&gt;=$G$5,"",(IF(EOMONTH(EDATE(B51,1),0)&lt;$G$5,EOMONTH(EDATE(B51,1),0),$G$5)))</f>
        <v/>
      </c>
      <c r="C52" s="20" t="str">
        <f t="shared" si="14"/>
        <v/>
      </c>
      <c r="D52" t="str">
        <f t="shared" si="15"/>
        <v/>
      </c>
      <c r="H52" s="2" t="str">
        <f t="shared" si="8"/>
        <v/>
      </c>
      <c r="I52" s="2" t="str">
        <f t="shared" si="9"/>
        <v/>
      </c>
      <c r="J52" s="2" t="str">
        <f t="shared" si="10"/>
        <v/>
      </c>
      <c r="K52" s="23" t="str">
        <f t="shared" si="11"/>
        <v/>
      </c>
      <c r="L52" s="19" t="str">
        <f t="shared" si="12"/>
        <v/>
      </c>
      <c r="M52" s="23" t="str">
        <f t="shared" si="13"/>
        <v/>
      </c>
    </row>
    <row r="53" spans="2:13" x14ac:dyDescent="0.3">
      <c r="B53" s="2" t="str">
        <f>IF(B52&gt;=$G$5,"",(IF(EOMONTH(EDATE(B52,1),0)&lt;$G$5,EOMONTH(EDATE(B52,1),0),$G$5)))</f>
        <v/>
      </c>
      <c r="C53" s="20" t="str">
        <f t="shared" si="14"/>
        <v/>
      </c>
      <c r="D53" t="str">
        <f t="shared" si="15"/>
        <v/>
      </c>
      <c r="H53" s="2" t="str">
        <f t="shared" si="8"/>
        <v/>
      </c>
      <c r="I53" s="2" t="str">
        <f t="shared" si="9"/>
        <v/>
      </c>
      <c r="J53" s="2" t="str">
        <f t="shared" si="10"/>
        <v/>
      </c>
      <c r="K53" s="23" t="str">
        <f t="shared" si="11"/>
        <v/>
      </c>
      <c r="L53" s="19" t="str">
        <f t="shared" si="12"/>
        <v/>
      </c>
      <c r="M53" s="23" t="str">
        <f t="shared" si="13"/>
        <v/>
      </c>
    </row>
    <row r="54" spans="2:13" x14ac:dyDescent="0.3">
      <c r="B54" s="2" t="str">
        <f>IF(B53&gt;=$G$5,"",(IF(EOMONTH(EDATE(B53,1),0)&lt;$G$5,EOMONTH(EDATE(B53,1),0),$G$5)))</f>
        <v/>
      </c>
      <c r="C54" s="20" t="str">
        <f t="shared" si="14"/>
        <v/>
      </c>
      <c r="D54" t="str">
        <f t="shared" si="15"/>
        <v/>
      </c>
      <c r="H54" s="2" t="str">
        <f t="shared" si="8"/>
        <v/>
      </c>
      <c r="I54" s="2" t="str">
        <f t="shared" si="9"/>
        <v/>
      </c>
      <c r="J54" s="2" t="str">
        <f t="shared" si="10"/>
        <v/>
      </c>
      <c r="K54" s="23" t="str">
        <f t="shared" si="11"/>
        <v/>
      </c>
      <c r="L54" s="19" t="str">
        <f t="shared" si="12"/>
        <v/>
      </c>
      <c r="M54" s="23" t="str">
        <f t="shared" si="13"/>
        <v/>
      </c>
    </row>
    <row r="55" spans="2:13" x14ac:dyDescent="0.3">
      <c r="B55" s="2" t="str">
        <f>IF(B54&gt;=$G$5,"",(IF(EOMONTH(EDATE(B54,1),0)&lt;$G$5,EOMONTH(EDATE(B54,1),0),$G$5)))</f>
        <v/>
      </c>
      <c r="C55" s="20" t="str">
        <f t="shared" si="14"/>
        <v/>
      </c>
      <c r="D55" t="str">
        <f t="shared" si="15"/>
        <v/>
      </c>
      <c r="H55" s="2"/>
      <c r="I55" s="2"/>
      <c r="J55" s="2"/>
      <c r="K55" s="23"/>
      <c r="L55" s="19" t="str">
        <f t="shared" si="12"/>
        <v/>
      </c>
    </row>
    <row r="56" spans="2:13" x14ac:dyDescent="0.3">
      <c r="B56" s="2" t="str">
        <f>IF(B55&gt;=$G$5,"",(IF(EOMONTH(EDATE(B55,1),0)&lt;$G$5,EOMONTH(EDATE(B55,1),0),$G$5)))</f>
        <v/>
      </c>
      <c r="C56" s="20" t="str">
        <f t="shared" si="14"/>
        <v/>
      </c>
      <c r="D56" t="str">
        <f t="shared" si="15"/>
        <v/>
      </c>
      <c r="H56" s="2"/>
      <c r="I56" s="2"/>
      <c r="J56" s="2"/>
      <c r="K56" s="23"/>
      <c r="L56" s="19" t="str">
        <f t="shared" si="12"/>
        <v/>
      </c>
    </row>
    <row r="57" spans="2:13" x14ac:dyDescent="0.3">
      <c r="B57" s="2" t="str">
        <f>IF(B56&gt;=$G$5,"",(IF(EOMONTH(EDATE(B56,1),0)&lt;$G$5,EOMONTH(EDATE(B56,1),0),$G$5)))</f>
        <v/>
      </c>
      <c r="C57" s="20" t="str">
        <f t="shared" si="14"/>
        <v/>
      </c>
      <c r="D57" t="str">
        <f t="shared" si="15"/>
        <v/>
      </c>
      <c r="H57" s="2"/>
      <c r="I57" s="2"/>
      <c r="J57" s="2"/>
      <c r="K57" s="23"/>
      <c r="L57" s="19" t="str">
        <f t="shared" si="12"/>
        <v/>
      </c>
    </row>
    <row r="58" spans="2:13" x14ac:dyDescent="0.3">
      <c r="B58" s="2" t="str">
        <f>IF(B57&gt;=$G$5,"",(IF(EOMONTH(EDATE(B57,1),0)&lt;$G$5,EOMONTH(EDATE(B57,1),0),$G$5)))</f>
        <v/>
      </c>
      <c r="C58" s="20" t="str">
        <f t="shared" si="14"/>
        <v/>
      </c>
      <c r="D58" t="str">
        <f t="shared" si="15"/>
        <v/>
      </c>
      <c r="H58" s="2"/>
      <c r="I58" s="2"/>
      <c r="J58" s="2"/>
      <c r="K58" s="23"/>
      <c r="L58" s="19" t="str">
        <f t="shared" si="12"/>
        <v/>
      </c>
    </row>
    <row r="59" spans="2:13" x14ac:dyDescent="0.3">
      <c r="B59" s="2" t="str">
        <f>IF(B58&gt;=$G$5,"",(IF(EOMONTH(EDATE(B58,1),0)&lt;$G$5,EOMONTH(EDATE(B58,1),0),$G$5)))</f>
        <v/>
      </c>
      <c r="C59" s="20" t="str">
        <f t="shared" si="14"/>
        <v/>
      </c>
      <c r="D59" t="str">
        <f t="shared" si="15"/>
        <v/>
      </c>
      <c r="H59" s="2"/>
      <c r="I59" s="2"/>
      <c r="J59" s="2"/>
      <c r="K59" s="23"/>
      <c r="L59" s="19" t="str">
        <f t="shared" si="12"/>
        <v/>
      </c>
    </row>
    <row r="60" spans="2:13" x14ac:dyDescent="0.3">
      <c r="H60" s="2"/>
      <c r="I60" s="2"/>
      <c r="J60" s="2"/>
      <c r="K60" s="23"/>
      <c r="L60" s="19" t="str">
        <f t="shared" si="12"/>
        <v/>
      </c>
    </row>
    <row r="61" spans="2:13" x14ac:dyDescent="0.3">
      <c r="H61" s="2"/>
      <c r="I61" s="2"/>
      <c r="J61" s="2"/>
      <c r="K61" s="23"/>
      <c r="L61" s="19" t="str">
        <f t="shared" si="12"/>
        <v/>
      </c>
    </row>
  </sheetData>
  <mergeCells count="1">
    <mergeCell ref="F16:G16"/>
  </mergeCells>
  <conditionalFormatting sqref="F17:G1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ignoredErrors>
    <ignoredError sqref="K10:K20" formula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F42A-E234-4C3C-8CFB-3CB06B8FEB91}">
  <sheetPr>
    <tabColor theme="4" tint="0.39997558519241921"/>
  </sheetPr>
  <dimension ref="A1:H62"/>
  <sheetViews>
    <sheetView workbookViewId="0">
      <selection activeCell="B2" sqref="B2"/>
    </sheetView>
  </sheetViews>
  <sheetFormatPr defaultRowHeight="14.4" x14ac:dyDescent="0.3"/>
  <cols>
    <col min="1" max="1" width="22" customWidth="1"/>
    <col min="2" max="2" width="12" bestFit="1" customWidth="1"/>
    <col min="3" max="3" width="15" bestFit="1" customWidth="1"/>
    <col min="4" max="4" width="15.109375" customWidth="1"/>
    <col min="5" max="5" width="15.77734375" customWidth="1"/>
    <col min="6" max="6" width="15.33203125" customWidth="1"/>
  </cols>
  <sheetData>
    <row r="1" spans="1:8" x14ac:dyDescent="0.3">
      <c r="A1" s="1" t="s">
        <v>173</v>
      </c>
      <c r="B1" s="1" t="s">
        <v>49</v>
      </c>
      <c r="C1" s="1" t="s">
        <v>27</v>
      </c>
      <c r="D1" s="1" t="s">
        <v>28</v>
      </c>
      <c r="E1" s="1" t="s">
        <v>30</v>
      </c>
      <c r="F1" s="1" t="s">
        <v>72</v>
      </c>
      <c r="G1" s="1" t="s">
        <v>93</v>
      </c>
      <c r="H1" s="24" t="s">
        <v>107</v>
      </c>
    </row>
    <row r="2" spans="1:8" x14ac:dyDescent="0.3">
      <c r="B2" s="2">
        <f>'Model_Calc (3)'!H9</f>
        <v>45322</v>
      </c>
      <c r="C2" s="2" t="str">
        <f>'Model_Calc (3)'!I9</f>
        <v>SO1</v>
      </c>
      <c r="D2" s="2" t="str">
        <f>'Model_Calc (3)'!J9</f>
        <v>Revenue</v>
      </c>
      <c r="E2" s="19">
        <f>'Model_Calc (3)'!K9</f>
        <v>106.0584461867427</v>
      </c>
      <c r="F2" s="20">
        <f>'Model_Calc (3)'!L9</f>
        <v>1</v>
      </c>
      <c r="G2">
        <f>'Model_Calc (3)'!M9</f>
        <v>0</v>
      </c>
    </row>
    <row r="3" spans="1:8" x14ac:dyDescent="0.3">
      <c r="B3" s="2">
        <f>'Model_Calc (3)'!H10</f>
        <v>45351</v>
      </c>
      <c r="C3" s="2" t="str">
        <f>'Model_Calc (3)'!I10</f>
        <v>SO1</v>
      </c>
      <c r="D3" s="2" t="str">
        <f>'Model_Calc (3)'!J10</f>
        <v>Revenue</v>
      </c>
      <c r="E3" s="19">
        <f>'Model_Calc (3)'!K10</f>
        <v>99.215965787598009</v>
      </c>
      <c r="F3" s="20">
        <f>'Model_Calc (3)'!L10</f>
        <v>1</v>
      </c>
      <c r="G3" s="23">
        <f>'Model_Calc (3)'!M10</f>
        <v>0</v>
      </c>
    </row>
    <row r="4" spans="1:8" x14ac:dyDescent="0.3">
      <c r="B4" s="2">
        <f>'Model_Calc (3)'!H11</f>
        <v>45382</v>
      </c>
      <c r="C4" s="2" t="str">
        <f>'Model_Calc (3)'!I11</f>
        <v>SO1</v>
      </c>
      <c r="D4" s="2" t="str">
        <f>'Model_Calc (3)'!J11</f>
        <v>Revenue</v>
      </c>
      <c r="E4" s="19">
        <f>'Model_Calc (3)'!K11</f>
        <v>106.0584461867427</v>
      </c>
      <c r="F4" s="20">
        <f>'Model_Calc (3)'!L11</f>
        <v>1</v>
      </c>
      <c r="G4" s="23">
        <f>'Model_Calc (3)'!M11</f>
        <v>0</v>
      </c>
    </row>
    <row r="5" spans="1:8" x14ac:dyDescent="0.3">
      <c r="B5" s="2">
        <f>'Model_Calc (3)'!H12</f>
        <v>45412</v>
      </c>
      <c r="C5" s="2" t="str">
        <f>'Model_Calc (3)'!I12</f>
        <v>SO1</v>
      </c>
      <c r="D5" s="2" t="str">
        <f>'Model_Calc (3)'!J12</f>
        <v>Revenue</v>
      </c>
      <c r="E5" s="19">
        <f>'Model_Calc (3)'!K12</f>
        <v>102.63720598717035</v>
      </c>
      <c r="F5" s="20">
        <f>'Model_Calc (3)'!L12</f>
        <v>1</v>
      </c>
      <c r="G5" s="23">
        <f>'Model_Calc (3)'!M12</f>
        <v>0</v>
      </c>
    </row>
    <row r="6" spans="1:8" x14ac:dyDescent="0.3">
      <c r="B6" s="2">
        <f>'Model_Calc (3)'!H13</f>
        <v>45443</v>
      </c>
      <c r="C6" s="2" t="str">
        <f>'Model_Calc (3)'!I13</f>
        <v>SO1</v>
      </c>
      <c r="D6" s="2" t="str">
        <f>'Model_Calc (3)'!J13</f>
        <v>Revenue</v>
      </c>
      <c r="E6" s="19">
        <f>'Model_Calc (3)'!K13</f>
        <v>106.0584461867427</v>
      </c>
      <c r="F6" s="20">
        <f>'Model_Calc (3)'!L13</f>
        <v>1</v>
      </c>
      <c r="G6" s="23">
        <f>'Model_Calc (3)'!M13</f>
        <v>0</v>
      </c>
    </row>
    <row r="7" spans="1:8" x14ac:dyDescent="0.3">
      <c r="B7" s="2">
        <f>'Model_Calc (3)'!H14</f>
        <v>45473</v>
      </c>
      <c r="C7" s="2" t="str">
        <f>'Model_Calc (3)'!I14</f>
        <v>SO1</v>
      </c>
      <c r="D7" s="2" t="str">
        <f>'Model_Calc (3)'!J14</f>
        <v>Revenue</v>
      </c>
      <c r="E7" s="19">
        <f>'Model_Calc (3)'!K14</f>
        <v>102.63720598717035</v>
      </c>
      <c r="F7" s="20">
        <f>'Model_Calc (3)'!L14</f>
        <v>1</v>
      </c>
      <c r="G7" s="23">
        <f>'Model_Calc (3)'!M14</f>
        <v>0</v>
      </c>
    </row>
    <row r="8" spans="1:8" x14ac:dyDescent="0.3">
      <c r="B8" s="2">
        <f>'Model_Calc (3)'!H15</f>
        <v>45504</v>
      </c>
      <c r="C8" s="2" t="str">
        <f>'Model_Calc (3)'!I15</f>
        <v>SO1</v>
      </c>
      <c r="D8" s="2" t="str">
        <f>'Model_Calc (3)'!J15</f>
        <v>Revenue</v>
      </c>
      <c r="E8" s="19">
        <f>'Model_Calc (3)'!K15</f>
        <v>106.0584461867427</v>
      </c>
      <c r="F8" s="20">
        <f>'Model_Calc (3)'!L15</f>
        <v>1</v>
      </c>
      <c r="G8" s="23">
        <f>'Model_Calc (3)'!M15</f>
        <v>0</v>
      </c>
    </row>
    <row r="9" spans="1:8" x14ac:dyDescent="0.3">
      <c r="B9" s="2">
        <f>'Model_Calc (3)'!H16</f>
        <v>45535</v>
      </c>
      <c r="C9" s="2" t="str">
        <f>'Model_Calc (3)'!I16</f>
        <v>SO1</v>
      </c>
      <c r="D9" s="2" t="str">
        <f>'Model_Calc (3)'!J16</f>
        <v>Revenue</v>
      </c>
      <c r="E9" s="19">
        <f>'Model_Calc (3)'!K16</f>
        <v>106.0584461867427</v>
      </c>
      <c r="F9" s="20">
        <f>'Model_Calc (3)'!L16</f>
        <v>1</v>
      </c>
      <c r="G9" s="23">
        <f>'Model_Calc (3)'!M16</f>
        <v>0</v>
      </c>
    </row>
    <row r="10" spans="1:8" x14ac:dyDescent="0.3">
      <c r="B10" s="2">
        <f>'Model_Calc (3)'!H17</f>
        <v>45565</v>
      </c>
      <c r="C10" s="2" t="str">
        <f>'Model_Calc (3)'!I17</f>
        <v>SO1</v>
      </c>
      <c r="D10" s="2" t="str">
        <f>'Model_Calc (3)'!J17</f>
        <v>Revenue</v>
      </c>
      <c r="E10" s="19">
        <f>'Model_Calc (3)'!K17</f>
        <v>102.63720598717035</v>
      </c>
      <c r="F10" s="20">
        <f>'Model_Calc (3)'!L17</f>
        <v>1</v>
      </c>
      <c r="G10" s="23">
        <f>'Model_Calc (3)'!M17</f>
        <v>0</v>
      </c>
    </row>
    <row r="11" spans="1:8" x14ac:dyDescent="0.3">
      <c r="B11" s="2">
        <f>'Model_Calc (3)'!H18</f>
        <v>45596</v>
      </c>
      <c r="C11" s="2" t="str">
        <f>'Model_Calc (3)'!I18</f>
        <v>SO1</v>
      </c>
      <c r="D11" s="2" t="str">
        <f>'Model_Calc (3)'!J18</f>
        <v>Revenue</v>
      </c>
      <c r="E11" s="19">
        <f>'Model_Calc (3)'!K18</f>
        <v>106.0584461867427</v>
      </c>
      <c r="F11" s="20">
        <f>'Model_Calc (3)'!L18</f>
        <v>1</v>
      </c>
      <c r="G11" s="23">
        <f>'Model_Calc (3)'!M18</f>
        <v>0</v>
      </c>
    </row>
    <row r="12" spans="1:8" x14ac:dyDescent="0.3">
      <c r="B12" s="2">
        <f>'Model_Calc (3)'!H19</f>
        <v>45626</v>
      </c>
      <c r="C12" s="2" t="str">
        <f>'Model_Calc (3)'!I19</f>
        <v>SO1</v>
      </c>
      <c r="D12" s="2" t="str">
        <f>'Model_Calc (3)'!J19</f>
        <v>Revenue</v>
      </c>
      <c r="E12" s="19">
        <f>'Model_Calc (3)'!K19</f>
        <v>102.63720598717035</v>
      </c>
      <c r="F12" s="20">
        <f>'Model_Calc (3)'!L19</f>
        <v>1</v>
      </c>
      <c r="G12" s="23">
        <f>'Model_Calc (3)'!M19</f>
        <v>0</v>
      </c>
    </row>
    <row r="13" spans="1:8" x14ac:dyDescent="0.3">
      <c r="B13" s="2">
        <f>'Model_Calc (3)'!H20</f>
        <v>45657</v>
      </c>
      <c r="C13" s="2" t="str">
        <f>'Model_Calc (3)'!I20</f>
        <v>SO1</v>
      </c>
      <c r="D13" s="2" t="str">
        <f>'Model_Calc (3)'!J20</f>
        <v>Revenue</v>
      </c>
      <c r="E13" s="19">
        <f>'Model_Calc (3)'!K20</f>
        <v>106.0584461867427</v>
      </c>
      <c r="F13" s="20">
        <f>'Model_Calc (3)'!L20</f>
        <v>1</v>
      </c>
      <c r="G13" s="23">
        <f>'Model_Calc (3)'!M20</f>
        <v>0</v>
      </c>
    </row>
    <row r="14" spans="1:8" x14ac:dyDescent="0.3">
      <c r="B14" s="2" t="str">
        <f>'Model_Calc (3)'!H21</f>
        <v/>
      </c>
      <c r="C14" s="2" t="str">
        <f>'Model_Calc (3)'!I21</f>
        <v/>
      </c>
      <c r="D14" s="2" t="str">
        <f>'Model_Calc (3)'!J21</f>
        <v/>
      </c>
      <c r="E14" s="19" t="str">
        <f>'Model_Calc (3)'!K21</f>
        <v/>
      </c>
      <c r="F14" s="20" t="str">
        <f>'Model_Calc (3)'!L21</f>
        <v/>
      </c>
      <c r="G14" s="23" t="str">
        <f>'Model_Calc (3)'!M21</f>
        <v/>
      </c>
    </row>
    <row r="15" spans="1:8" x14ac:dyDescent="0.3">
      <c r="B15" s="2" t="str">
        <f>'Model_Calc (3)'!H22</f>
        <v/>
      </c>
      <c r="C15" s="2" t="str">
        <f>'Model_Calc (3)'!I22</f>
        <v/>
      </c>
      <c r="D15" s="2" t="str">
        <f>'Model_Calc (3)'!J22</f>
        <v/>
      </c>
      <c r="E15" s="19" t="str">
        <f>'Model_Calc (3)'!K22</f>
        <v/>
      </c>
      <c r="F15" s="20" t="str">
        <f>'Model_Calc (3)'!L22</f>
        <v/>
      </c>
      <c r="G15" s="23" t="str">
        <f>'Model_Calc (3)'!M22</f>
        <v/>
      </c>
    </row>
    <row r="16" spans="1:8" x14ac:dyDescent="0.3">
      <c r="B16" s="2" t="str">
        <f>'Model_Calc (3)'!H23</f>
        <v/>
      </c>
      <c r="C16" s="2" t="str">
        <f>'Model_Calc (3)'!I23</f>
        <v/>
      </c>
      <c r="D16" s="2" t="str">
        <f>'Model_Calc (3)'!J23</f>
        <v/>
      </c>
      <c r="E16" s="19" t="str">
        <f>'Model_Calc (3)'!K23</f>
        <v/>
      </c>
      <c r="F16" s="20" t="str">
        <f>'Model_Calc (3)'!L23</f>
        <v/>
      </c>
      <c r="G16" s="23" t="str">
        <f>'Model_Calc (3)'!M23</f>
        <v/>
      </c>
    </row>
    <row r="17" spans="2:7" x14ac:dyDescent="0.3">
      <c r="B17" s="2" t="str">
        <f>'Model_Calc (3)'!H24</f>
        <v/>
      </c>
      <c r="C17" s="2" t="str">
        <f>'Model_Calc (3)'!I24</f>
        <v/>
      </c>
      <c r="D17" s="2" t="str">
        <f>'Model_Calc (3)'!J24</f>
        <v/>
      </c>
      <c r="E17" s="19" t="str">
        <f>'Model_Calc (3)'!K24</f>
        <v/>
      </c>
      <c r="F17" s="20" t="str">
        <f>'Model_Calc (3)'!L24</f>
        <v/>
      </c>
      <c r="G17" s="23" t="str">
        <f>'Model_Calc (3)'!M24</f>
        <v/>
      </c>
    </row>
    <row r="18" spans="2:7" x14ac:dyDescent="0.3">
      <c r="B18" s="2" t="str">
        <f>'Model_Calc (3)'!H25</f>
        <v/>
      </c>
      <c r="C18" s="2" t="str">
        <f>'Model_Calc (3)'!I25</f>
        <v/>
      </c>
      <c r="D18" s="2" t="str">
        <f>'Model_Calc (3)'!J25</f>
        <v/>
      </c>
      <c r="E18" s="19" t="str">
        <f>'Model_Calc (3)'!K25</f>
        <v/>
      </c>
      <c r="F18" s="20" t="str">
        <f>'Model_Calc (3)'!L25</f>
        <v/>
      </c>
      <c r="G18" s="23" t="str">
        <f>'Model_Calc (3)'!M25</f>
        <v/>
      </c>
    </row>
    <row r="19" spans="2:7" x14ac:dyDescent="0.3">
      <c r="B19" s="2" t="str">
        <f>'Model_Calc (3)'!H26</f>
        <v/>
      </c>
      <c r="C19" s="2" t="str">
        <f>'Model_Calc (3)'!I26</f>
        <v/>
      </c>
      <c r="D19" s="2" t="str">
        <f>'Model_Calc (3)'!J26</f>
        <v/>
      </c>
      <c r="E19" s="19" t="str">
        <f>'Model_Calc (3)'!K26</f>
        <v/>
      </c>
      <c r="F19" s="20" t="str">
        <f>'Model_Calc (3)'!L26</f>
        <v/>
      </c>
      <c r="G19" s="23" t="str">
        <f>'Model_Calc (3)'!M26</f>
        <v/>
      </c>
    </row>
    <row r="20" spans="2:7" x14ac:dyDescent="0.3">
      <c r="B20" s="2" t="str">
        <f>'Model_Calc (3)'!H27</f>
        <v/>
      </c>
      <c r="C20" s="2" t="str">
        <f>'Model_Calc (3)'!I27</f>
        <v/>
      </c>
      <c r="D20" s="2" t="str">
        <f>'Model_Calc (3)'!J27</f>
        <v/>
      </c>
      <c r="E20" s="19" t="str">
        <f>'Model_Calc (3)'!K27</f>
        <v/>
      </c>
      <c r="F20" s="20" t="str">
        <f>'Model_Calc (3)'!L27</f>
        <v/>
      </c>
      <c r="G20" s="23" t="str">
        <f>'Model_Calc (3)'!M27</f>
        <v/>
      </c>
    </row>
    <row r="21" spans="2:7" x14ac:dyDescent="0.3">
      <c r="B21" s="2" t="str">
        <f>'Model_Calc (3)'!H28</f>
        <v/>
      </c>
      <c r="C21" s="2" t="str">
        <f>'Model_Calc (3)'!I28</f>
        <v/>
      </c>
      <c r="D21" s="2" t="str">
        <f>'Model_Calc (3)'!J28</f>
        <v/>
      </c>
      <c r="E21" s="19" t="str">
        <f>'Model_Calc (3)'!K28</f>
        <v/>
      </c>
      <c r="F21" s="20" t="str">
        <f>'Model_Calc (3)'!L28</f>
        <v/>
      </c>
      <c r="G21" s="23" t="str">
        <f>'Model_Calc (3)'!M28</f>
        <v/>
      </c>
    </row>
    <row r="22" spans="2:7" x14ac:dyDescent="0.3">
      <c r="B22" s="2" t="str">
        <f>'Model_Calc (3)'!H29</f>
        <v/>
      </c>
      <c r="C22" s="2" t="str">
        <f>'Model_Calc (3)'!I29</f>
        <v/>
      </c>
      <c r="D22" s="2" t="str">
        <f>'Model_Calc (3)'!J29</f>
        <v/>
      </c>
      <c r="E22" s="19" t="str">
        <f>'Model_Calc (3)'!K29</f>
        <v/>
      </c>
      <c r="F22" s="20" t="str">
        <f>'Model_Calc (3)'!L29</f>
        <v/>
      </c>
      <c r="G22" s="23" t="str">
        <f>'Model_Calc (3)'!M29</f>
        <v/>
      </c>
    </row>
    <row r="23" spans="2:7" x14ac:dyDescent="0.3">
      <c r="B23" s="2" t="str">
        <f>'Model_Calc (3)'!H30</f>
        <v/>
      </c>
      <c r="C23" s="2" t="str">
        <f>'Model_Calc (3)'!I30</f>
        <v/>
      </c>
      <c r="D23" s="2" t="str">
        <f>'Model_Calc (3)'!J30</f>
        <v/>
      </c>
      <c r="E23" s="19" t="str">
        <f>'Model_Calc (3)'!K30</f>
        <v/>
      </c>
      <c r="F23" s="20" t="str">
        <f>'Model_Calc (3)'!L30</f>
        <v/>
      </c>
      <c r="G23" s="23" t="str">
        <f>'Model_Calc (3)'!M30</f>
        <v/>
      </c>
    </row>
    <row r="24" spans="2:7" x14ac:dyDescent="0.3">
      <c r="B24" s="2" t="str">
        <f>'Model_Calc (3)'!H31</f>
        <v/>
      </c>
      <c r="C24" s="2" t="str">
        <f>'Model_Calc (3)'!I31</f>
        <v/>
      </c>
      <c r="D24" s="2" t="str">
        <f>'Model_Calc (3)'!J31</f>
        <v/>
      </c>
      <c r="E24" s="19" t="str">
        <f>'Model_Calc (3)'!K31</f>
        <v/>
      </c>
      <c r="F24" s="20" t="str">
        <f>'Model_Calc (3)'!L31</f>
        <v/>
      </c>
      <c r="G24" s="23" t="str">
        <f>'Model_Calc (3)'!M31</f>
        <v/>
      </c>
    </row>
    <row r="25" spans="2:7" x14ac:dyDescent="0.3">
      <c r="B25" s="2" t="str">
        <f>'Model_Calc (3)'!H32</f>
        <v/>
      </c>
      <c r="C25" s="2" t="str">
        <f>'Model_Calc (3)'!I32</f>
        <v/>
      </c>
      <c r="D25" s="2" t="str">
        <f>'Model_Calc (3)'!J32</f>
        <v/>
      </c>
      <c r="E25" s="19" t="str">
        <f>'Model_Calc (3)'!K32</f>
        <v/>
      </c>
      <c r="F25" s="20" t="str">
        <f>'Model_Calc (3)'!L32</f>
        <v/>
      </c>
      <c r="G25" s="23" t="str">
        <f>'Model_Calc (3)'!M32</f>
        <v/>
      </c>
    </row>
    <row r="26" spans="2:7" x14ac:dyDescent="0.3">
      <c r="B26" s="2" t="str">
        <f>'Model_Calc (3)'!H33</f>
        <v/>
      </c>
      <c r="C26" s="2" t="str">
        <f>'Model_Calc (3)'!I33</f>
        <v/>
      </c>
      <c r="D26" s="2" t="str">
        <f>'Model_Calc (3)'!J33</f>
        <v/>
      </c>
      <c r="E26" s="19" t="str">
        <f>'Model_Calc (3)'!K33</f>
        <v/>
      </c>
      <c r="F26" s="20" t="str">
        <f>'Model_Calc (3)'!L33</f>
        <v/>
      </c>
      <c r="G26" s="23" t="str">
        <f>'Model_Calc (3)'!M33</f>
        <v/>
      </c>
    </row>
    <row r="27" spans="2:7" x14ac:dyDescent="0.3">
      <c r="B27" s="2" t="str">
        <f>'Model_Calc (3)'!H34</f>
        <v/>
      </c>
      <c r="C27" s="2" t="str">
        <f>'Model_Calc (3)'!I34</f>
        <v/>
      </c>
      <c r="D27" s="2" t="str">
        <f>'Model_Calc (3)'!J34</f>
        <v/>
      </c>
      <c r="E27" s="19" t="str">
        <f>'Model_Calc (3)'!K34</f>
        <v/>
      </c>
      <c r="F27" s="20" t="str">
        <f>'Model_Calc (3)'!L34</f>
        <v/>
      </c>
      <c r="G27" s="23" t="str">
        <f>'Model_Calc (3)'!M34</f>
        <v/>
      </c>
    </row>
    <row r="28" spans="2:7" x14ac:dyDescent="0.3">
      <c r="B28" s="2" t="str">
        <f>'Model_Calc (3)'!H35</f>
        <v/>
      </c>
      <c r="C28" s="2" t="str">
        <f>'Model_Calc (3)'!I35</f>
        <v/>
      </c>
      <c r="D28" s="2" t="str">
        <f>'Model_Calc (3)'!J35</f>
        <v/>
      </c>
      <c r="E28" s="19" t="str">
        <f>'Model_Calc (3)'!K35</f>
        <v/>
      </c>
      <c r="F28" s="20" t="str">
        <f>'Model_Calc (3)'!L35</f>
        <v/>
      </c>
      <c r="G28" s="23" t="str">
        <f>'Model_Calc (3)'!M35</f>
        <v/>
      </c>
    </row>
    <row r="29" spans="2:7" x14ac:dyDescent="0.3">
      <c r="B29" s="2" t="str">
        <f>'Model_Calc (3)'!H36</f>
        <v/>
      </c>
      <c r="C29" s="2" t="str">
        <f>'Model_Calc (3)'!I36</f>
        <v/>
      </c>
      <c r="D29" s="2" t="str">
        <f>'Model_Calc (3)'!J36</f>
        <v/>
      </c>
      <c r="E29" s="19" t="str">
        <f>'Model_Calc (3)'!K36</f>
        <v/>
      </c>
      <c r="F29" s="20" t="str">
        <f>'Model_Calc (3)'!L36</f>
        <v/>
      </c>
      <c r="G29" s="23" t="str">
        <f>'Model_Calc (3)'!M36</f>
        <v/>
      </c>
    </row>
    <row r="30" spans="2:7" x14ac:dyDescent="0.3">
      <c r="B30" s="2" t="str">
        <f>'Model_Calc (3)'!H37</f>
        <v/>
      </c>
      <c r="C30" s="2" t="str">
        <f>'Model_Calc (3)'!I37</f>
        <v/>
      </c>
      <c r="D30" s="2" t="str">
        <f>'Model_Calc (3)'!J37</f>
        <v/>
      </c>
      <c r="E30" s="19" t="str">
        <f>'Model_Calc (3)'!K37</f>
        <v/>
      </c>
      <c r="F30" s="20" t="str">
        <f>'Model_Calc (3)'!L37</f>
        <v/>
      </c>
      <c r="G30" s="23" t="str">
        <f>'Model_Calc (3)'!M37</f>
        <v/>
      </c>
    </row>
    <row r="31" spans="2:7" x14ac:dyDescent="0.3">
      <c r="B31" s="2" t="str">
        <f>'Model_Calc (3)'!H38</f>
        <v/>
      </c>
      <c r="C31" s="2" t="str">
        <f>'Model_Calc (3)'!I38</f>
        <v/>
      </c>
      <c r="D31" s="2" t="str">
        <f>'Model_Calc (3)'!J38</f>
        <v/>
      </c>
      <c r="E31" s="19" t="str">
        <f>'Model_Calc (3)'!K38</f>
        <v/>
      </c>
      <c r="F31" s="20" t="str">
        <f>'Model_Calc (3)'!L38</f>
        <v/>
      </c>
      <c r="G31" s="23" t="str">
        <f>'Model_Calc (3)'!M38</f>
        <v/>
      </c>
    </row>
    <row r="32" spans="2:7" x14ac:dyDescent="0.3">
      <c r="B32" s="2" t="str">
        <f>'Model_Calc (3)'!H39</f>
        <v/>
      </c>
      <c r="C32" s="2" t="str">
        <f>'Model_Calc (3)'!I39</f>
        <v/>
      </c>
      <c r="D32" s="2" t="str">
        <f>'Model_Calc (3)'!J39</f>
        <v/>
      </c>
      <c r="E32" s="19" t="str">
        <f>'Model_Calc (3)'!K39</f>
        <v/>
      </c>
      <c r="F32" s="20" t="str">
        <f>'Model_Calc (3)'!L39</f>
        <v/>
      </c>
      <c r="G32" s="23" t="str">
        <f>'Model_Calc (3)'!M39</f>
        <v/>
      </c>
    </row>
    <row r="33" spans="2:7" x14ac:dyDescent="0.3">
      <c r="B33" s="2" t="str">
        <f>'Model_Calc (3)'!H40</f>
        <v/>
      </c>
      <c r="C33" s="2" t="str">
        <f>'Model_Calc (3)'!I40</f>
        <v/>
      </c>
      <c r="D33" s="2" t="str">
        <f>'Model_Calc (3)'!J40</f>
        <v/>
      </c>
      <c r="E33" s="19" t="str">
        <f>'Model_Calc (3)'!K40</f>
        <v/>
      </c>
      <c r="F33" s="20" t="str">
        <f>'Model_Calc (3)'!L40</f>
        <v/>
      </c>
      <c r="G33" s="23" t="str">
        <f>'Model_Calc (3)'!M40</f>
        <v/>
      </c>
    </row>
    <row r="34" spans="2:7" x14ac:dyDescent="0.3">
      <c r="B34" s="2" t="str">
        <f>'Model_Calc (3)'!H41</f>
        <v/>
      </c>
      <c r="C34" s="2" t="str">
        <f>'Model_Calc (3)'!I41</f>
        <v/>
      </c>
      <c r="D34" s="2" t="str">
        <f>'Model_Calc (3)'!J41</f>
        <v/>
      </c>
      <c r="E34" s="19" t="str">
        <f>'Model_Calc (3)'!K41</f>
        <v/>
      </c>
      <c r="F34" s="20" t="str">
        <f>'Model_Calc (3)'!L41</f>
        <v/>
      </c>
      <c r="G34" s="23" t="str">
        <f>'Model_Calc (3)'!M41</f>
        <v/>
      </c>
    </row>
    <row r="35" spans="2:7" x14ac:dyDescent="0.3">
      <c r="B35" s="2" t="str">
        <f>'Model_Calc (3)'!H42</f>
        <v/>
      </c>
      <c r="C35" s="2" t="str">
        <f>'Model_Calc (3)'!I42</f>
        <v/>
      </c>
      <c r="D35" s="2" t="str">
        <f>'Model_Calc (3)'!J42</f>
        <v/>
      </c>
      <c r="E35" s="19" t="str">
        <f>'Model_Calc (3)'!K42</f>
        <v/>
      </c>
      <c r="F35" s="20" t="str">
        <f>'Model_Calc (3)'!L42</f>
        <v/>
      </c>
      <c r="G35" s="23" t="str">
        <f>'Model_Calc (3)'!M42</f>
        <v/>
      </c>
    </row>
    <row r="36" spans="2:7" x14ac:dyDescent="0.3">
      <c r="B36" s="2" t="str">
        <f>'Model_Calc (3)'!H43</f>
        <v/>
      </c>
      <c r="C36" s="2" t="str">
        <f>'Model_Calc (3)'!I43</f>
        <v/>
      </c>
      <c r="D36" s="2" t="str">
        <f>'Model_Calc (3)'!J43</f>
        <v/>
      </c>
      <c r="E36" s="19" t="str">
        <f>'Model_Calc (3)'!K43</f>
        <v/>
      </c>
      <c r="F36" s="20" t="str">
        <f>'Model_Calc (3)'!L43</f>
        <v/>
      </c>
      <c r="G36" s="23" t="str">
        <f>'Model_Calc (3)'!M43</f>
        <v/>
      </c>
    </row>
    <row r="37" spans="2:7" x14ac:dyDescent="0.3">
      <c r="B37" s="2" t="str">
        <f>'Model_Calc (3)'!H44</f>
        <v/>
      </c>
      <c r="C37" s="2" t="str">
        <f>'Model_Calc (3)'!I44</f>
        <v/>
      </c>
      <c r="D37" s="2" t="str">
        <f>'Model_Calc (3)'!J44</f>
        <v/>
      </c>
      <c r="E37" s="19" t="str">
        <f>'Model_Calc (3)'!K44</f>
        <v/>
      </c>
      <c r="F37" s="20" t="str">
        <f>'Model_Calc (3)'!L44</f>
        <v/>
      </c>
      <c r="G37" s="23" t="str">
        <f>'Model_Calc (3)'!M44</f>
        <v/>
      </c>
    </row>
    <row r="38" spans="2:7" x14ac:dyDescent="0.3">
      <c r="B38" s="2" t="str">
        <f>'Model_Calc (3)'!H45</f>
        <v/>
      </c>
      <c r="C38" s="2" t="str">
        <f>'Model_Calc (3)'!I45</f>
        <v/>
      </c>
      <c r="D38" s="2" t="str">
        <f>'Model_Calc (3)'!J45</f>
        <v/>
      </c>
      <c r="E38" s="19" t="str">
        <f>'Model_Calc (3)'!K45</f>
        <v/>
      </c>
      <c r="F38" s="20" t="str">
        <f>'Model_Calc (3)'!L45</f>
        <v/>
      </c>
      <c r="G38" s="23" t="str">
        <f>'Model_Calc (3)'!M45</f>
        <v/>
      </c>
    </row>
    <row r="39" spans="2:7" x14ac:dyDescent="0.3">
      <c r="B39" s="2" t="str">
        <f>'Model_Calc (3)'!H46</f>
        <v/>
      </c>
      <c r="C39" s="2" t="str">
        <f>'Model_Calc (3)'!I46</f>
        <v/>
      </c>
      <c r="D39" s="2" t="str">
        <f>'Model_Calc (3)'!J46</f>
        <v/>
      </c>
      <c r="E39" s="19" t="str">
        <f>'Model_Calc (3)'!K46</f>
        <v/>
      </c>
      <c r="F39" s="20" t="str">
        <f>'Model_Calc (3)'!L46</f>
        <v/>
      </c>
      <c r="G39" s="23" t="str">
        <f>'Model_Calc (3)'!M46</f>
        <v/>
      </c>
    </row>
    <row r="40" spans="2:7" x14ac:dyDescent="0.3">
      <c r="B40" s="2" t="str">
        <f>'Model_Calc (3)'!H47</f>
        <v/>
      </c>
      <c r="C40" s="2" t="str">
        <f>'Model_Calc (3)'!I47</f>
        <v/>
      </c>
      <c r="D40" s="2" t="str">
        <f>'Model_Calc (3)'!J47</f>
        <v/>
      </c>
      <c r="E40" s="19" t="str">
        <f>'Model_Calc (3)'!K47</f>
        <v/>
      </c>
      <c r="F40" s="20" t="str">
        <f>'Model_Calc (3)'!L47</f>
        <v/>
      </c>
      <c r="G40" s="23" t="str">
        <f>'Model_Calc (3)'!M47</f>
        <v/>
      </c>
    </row>
    <row r="41" spans="2:7" x14ac:dyDescent="0.3">
      <c r="B41" s="2" t="str">
        <f>'Model_Calc (3)'!H48</f>
        <v/>
      </c>
      <c r="C41" s="2" t="str">
        <f>'Model_Calc (3)'!I48</f>
        <v/>
      </c>
      <c r="D41" s="2" t="str">
        <f>'Model_Calc (3)'!J48</f>
        <v/>
      </c>
      <c r="E41" s="19" t="str">
        <f>'Model_Calc (3)'!K48</f>
        <v/>
      </c>
      <c r="F41" s="20" t="str">
        <f>'Model_Calc (3)'!L48</f>
        <v/>
      </c>
      <c r="G41" s="23" t="str">
        <f>'Model_Calc (3)'!M48</f>
        <v/>
      </c>
    </row>
    <row r="42" spans="2:7" x14ac:dyDescent="0.3">
      <c r="B42" s="2" t="str">
        <f>'Model_Calc (3)'!H49</f>
        <v/>
      </c>
      <c r="C42" s="2" t="str">
        <f>'Model_Calc (3)'!I49</f>
        <v/>
      </c>
      <c r="D42" s="2" t="str">
        <f>'Model_Calc (3)'!J49</f>
        <v/>
      </c>
      <c r="E42" s="19" t="str">
        <f>'Model_Calc (3)'!K49</f>
        <v/>
      </c>
      <c r="F42" s="20" t="str">
        <f>'Model_Calc (3)'!L49</f>
        <v/>
      </c>
      <c r="G42" s="23" t="str">
        <f>'Model_Calc (3)'!M49</f>
        <v/>
      </c>
    </row>
    <row r="43" spans="2:7" x14ac:dyDescent="0.3">
      <c r="B43" s="2" t="str">
        <f>'Model_Calc (3)'!H50</f>
        <v/>
      </c>
      <c r="C43" s="2" t="str">
        <f>'Model_Calc (3)'!I50</f>
        <v/>
      </c>
      <c r="D43" s="2" t="str">
        <f>'Model_Calc (3)'!J50</f>
        <v/>
      </c>
      <c r="E43" s="19" t="str">
        <f>'Model_Calc (3)'!K50</f>
        <v/>
      </c>
      <c r="F43" s="20" t="str">
        <f>'Model_Calc (3)'!L50</f>
        <v/>
      </c>
      <c r="G43" s="23" t="str">
        <f>'Model_Calc (3)'!M50</f>
        <v/>
      </c>
    </row>
    <row r="44" spans="2:7" x14ac:dyDescent="0.3">
      <c r="B44" s="2" t="str">
        <f>'Model_Calc (3)'!H51</f>
        <v/>
      </c>
      <c r="C44" s="2" t="str">
        <f>'Model_Calc (3)'!I51</f>
        <v/>
      </c>
      <c r="D44" s="2" t="str">
        <f>'Model_Calc (3)'!J51</f>
        <v/>
      </c>
      <c r="E44" s="19" t="str">
        <f>'Model_Calc (3)'!K51</f>
        <v/>
      </c>
      <c r="F44" s="20" t="str">
        <f>'Model_Calc (3)'!L51</f>
        <v/>
      </c>
      <c r="G44" s="23" t="str">
        <f>'Model_Calc (3)'!M51</f>
        <v/>
      </c>
    </row>
    <row r="45" spans="2:7" x14ac:dyDescent="0.3">
      <c r="B45" s="2" t="str">
        <f>'Model_Calc (3)'!H52</f>
        <v/>
      </c>
      <c r="C45" s="2" t="str">
        <f>'Model_Calc (3)'!I52</f>
        <v/>
      </c>
      <c r="D45" s="2" t="str">
        <f>'Model_Calc (3)'!J52</f>
        <v/>
      </c>
      <c r="E45" s="19" t="str">
        <f>'Model_Calc (3)'!K52</f>
        <v/>
      </c>
      <c r="F45" s="20" t="str">
        <f>'Model_Calc (3)'!L52</f>
        <v/>
      </c>
      <c r="G45" s="23" t="str">
        <f>'Model_Calc (3)'!M52</f>
        <v/>
      </c>
    </row>
    <row r="46" spans="2:7" x14ac:dyDescent="0.3">
      <c r="B46" s="2" t="str">
        <f>'Model_Calc (3)'!H53</f>
        <v/>
      </c>
      <c r="C46" s="2" t="str">
        <f>'Model_Calc (3)'!I53</f>
        <v/>
      </c>
      <c r="D46" s="2" t="str">
        <f>'Model_Calc (3)'!J53</f>
        <v/>
      </c>
      <c r="E46" s="19" t="str">
        <f>'Model_Calc (3)'!K53</f>
        <v/>
      </c>
      <c r="F46" s="20" t="str">
        <f>'Model_Calc (3)'!L53</f>
        <v/>
      </c>
      <c r="G46" s="23" t="str">
        <f>'Model_Calc (3)'!M53</f>
        <v/>
      </c>
    </row>
    <row r="47" spans="2:7" x14ac:dyDescent="0.3">
      <c r="B47" s="2" t="str">
        <f>'Model_Calc (3)'!H54</f>
        <v/>
      </c>
      <c r="C47" s="2" t="str">
        <f>'Model_Calc (3)'!I54</f>
        <v/>
      </c>
      <c r="D47" s="2" t="str">
        <f>'Model_Calc (3)'!J54</f>
        <v/>
      </c>
      <c r="E47" s="19" t="str">
        <f>'Model_Calc (3)'!K54</f>
        <v/>
      </c>
      <c r="F47" s="20" t="str">
        <f>'Model_Calc (3)'!L54</f>
        <v/>
      </c>
      <c r="G47" s="23" t="str">
        <f>'Model_Calc (3)'!M54</f>
        <v/>
      </c>
    </row>
    <row r="48" spans="2:7" x14ac:dyDescent="0.3">
      <c r="B48" s="2"/>
      <c r="C48" s="2"/>
      <c r="D48" s="2"/>
      <c r="E48" s="19"/>
      <c r="F48" s="20"/>
      <c r="G48" s="23"/>
    </row>
    <row r="49" spans="2:7" x14ac:dyDescent="0.3">
      <c r="B49" s="2"/>
      <c r="C49" s="2"/>
      <c r="D49" s="2"/>
      <c r="E49" s="19"/>
      <c r="F49" s="20"/>
      <c r="G49" s="23"/>
    </row>
    <row r="50" spans="2:7" x14ac:dyDescent="0.3">
      <c r="B50" s="2"/>
      <c r="C50" s="2"/>
      <c r="D50" s="2"/>
      <c r="E50" s="19"/>
      <c r="F50" s="20"/>
      <c r="G50" s="23"/>
    </row>
    <row r="51" spans="2:7" x14ac:dyDescent="0.3">
      <c r="B51" s="2"/>
      <c r="C51" s="2"/>
      <c r="D51" s="2"/>
      <c r="E51" s="19"/>
      <c r="F51" s="20"/>
      <c r="G51" s="23"/>
    </row>
    <row r="52" spans="2:7" x14ac:dyDescent="0.3">
      <c r="B52" s="2"/>
      <c r="C52" s="2"/>
      <c r="D52" s="2"/>
      <c r="E52" s="19"/>
      <c r="F52" s="20"/>
      <c r="G52" s="23"/>
    </row>
    <row r="53" spans="2:7" x14ac:dyDescent="0.3">
      <c r="B53" s="2"/>
      <c r="C53" s="2"/>
      <c r="D53" s="2"/>
      <c r="E53" s="19"/>
      <c r="F53" s="20"/>
      <c r="G53" s="23"/>
    </row>
    <row r="54" spans="2:7" x14ac:dyDescent="0.3">
      <c r="B54" s="2"/>
      <c r="C54" s="2"/>
      <c r="D54" s="2"/>
      <c r="E54" s="19"/>
      <c r="F54" s="20"/>
      <c r="G54" s="23"/>
    </row>
    <row r="55" spans="2:7" x14ac:dyDescent="0.3">
      <c r="B55" s="2"/>
      <c r="C55" s="2"/>
      <c r="D55" s="2"/>
      <c r="E55" s="19"/>
      <c r="F55" s="20"/>
      <c r="G55" s="23"/>
    </row>
    <row r="56" spans="2:7" x14ac:dyDescent="0.3">
      <c r="B56" s="2"/>
      <c r="C56" s="2"/>
      <c r="D56" s="2"/>
      <c r="E56" s="19"/>
      <c r="F56" s="20"/>
      <c r="G56" s="23"/>
    </row>
    <row r="57" spans="2:7" x14ac:dyDescent="0.3">
      <c r="B57" s="2"/>
      <c r="C57" s="2"/>
      <c r="D57" s="2"/>
      <c r="E57" s="19"/>
      <c r="F57" s="20"/>
      <c r="G57" s="23"/>
    </row>
    <row r="58" spans="2:7" x14ac:dyDescent="0.3">
      <c r="B58" s="2"/>
      <c r="C58" s="2"/>
      <c r="D58" s="2"/>
      <c r="E58" s="19"/>
      <c r="F58" s="20"/>
      <c r="G58" s="23"/>
    </row>
    <row r="59" spans="2:7" x14ac:dyDescent="0.3">
      <c r="B59" s="2"/>
      <c r="C59" s="2"/>
      <c r="D59" s="2"/>
      <c r="E59" s="19"/>
      <c r="F59" s="20"/>
      <c r="G59" s="23"/>
    </row>
    <row r="60" spans="2:7" x14ac:dyDescent="0.3">
      <c r="B60" s="2"/>
      <c r="C60" s="2"/>
      <c r="D60" s="2"/>
      <c r="E60" s="19"/>
      <c r="F60" s="20"/>
      <c r="G60" s="23"/>
    </row>
    <row r="61" spans="2:7" x14ac:dyDescent="0.3">
      <c r="B61" s="2"/>
      <c r="C61" s="2"/>
      <c r="D61" s="2"/>
      <c r="E61" s="19"/>
      <c r="F61" s="20"/>
      <c r="G61" s="23"/>
    </row>
    <row r="62" spans="2:7" x14ac:dyDescent="0.3">
      <c r="B62" s="2"/>
      <c r="C62" s="2"/>
      <c r="D62" s="2"/>
      <c r="E62" s="19"/>
      <c r="F62" s="20"/>
      <c r="G6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8A72-0C43-42B9-A327-08FBBCA541E4}">
  <sheetPr>
    <tabColor rgb="FF92D050"/>
  </sheetPr>
  <dimension ref="A1:D12"/>
  <sheetViews>
    <sheetView zoomScale="67" workbookViewId="0">
      <selection activeCell="E12" sqref="E12"/>
    </sheetView>
  </sheetViews>
  <sheetFormatPr defaultRowHeight="14.4" x14ac:dyDescent="0.3"/>
  <cols>
    <col min="2" max="2" width="42.5546875" customWidth="1"/>
    <col min="3" max="3" width="17.33203125" customWidth="1"/>
    <col min="4" max="4" width="19.33203125" customWidth="1"/>
  </cols>
  <sheetData>
    <row r="1" spans="1:4" x14ac:dyDescent="0.3">
      <c r="A1" s="1" t="s">
        <v>0</v>
      </c>
    </row>
    <row r="3" spans="1:4" x14ac:dyDescent="0.3">
      <c r="A3" s="1" t="s">
        <v>1</v>
      </c>
      <c r="B3" s="1" t="s">
        <v>2</v>
      </c>
      <c r="C3" s="24" t="s">
        <v>65</v>
      </c>
      <c r="D3" s="1" t="s">
        <v>95</v>
      </c>
    </row>
    <row r="4" spans="1:4" x14ac:dyDescent="0.3">
      <c r="A4">
        <v>1</v>
      </c>
      <c r="B4" t="s">
        <v>3</v>
      </c>
      <c r="C4" s="26">
        <v>0</v>
      </c>
      <c r="D4">
        <v>1</v>
      </c>
    </row>
    <row r="5" spans="1:4" x14ac:dyDescent="0.3">
      <c r="A5">
        <v>2</v>
      </c>
      <c r="B5" t="s">
        <v>116</v>
      </c>
      <c r="C5" s="26">
        <v>0</v>
      </c>
      <c r="D5">
        <v>1</v>
      </c>
    </row>
    <row r="6" spans="1:4" s="23" customFormat="1" x14ac:dyDescent="0.3">
      <c r="A6" s="23">
        <v>3</v>
      </c>
      <c r="B6" s="23" t="s">
        <v>70</v>
      </c>
      <c r="C6" s="26">
        <v>1</v>
      </c>
      <c r="D6" s="23">
        <v>0</v>
      </c>
    </row>
    <row r="7" spans="1:4" s="23" customFormat="1" x14ac:dyDescent="0.3">
      <c r="A7" s="23">
        <v>4</v>
      </c>
      <c r="B7" s="23" t="s">
        <v>71</v>
      </c>
      <c r="C7" s="26">
        <v>1</v>
      </c>
      <c r="D7" s="23">
        <v>0</v>
      </c>
    </row>
    <row r="8" spans="1:4" s="23" customFormat="1" x14ac:dyDescent="0.3">
      <c r="A8" s="23">
        <v>5</v>
      </c>
      <c r="B8" s="23" t="s">
        <v>226</v>
      </c>
      <c r="C8" s="26">
        <v>1</v>
      </c>
      <c r="D8" s="23">
        <v>0</v>
      </c>
    </row>
    <row r="9" spans="1:4" x14ac:dyDescent="0.3">
      <c r="A9">
        <v>6</v>
      </c>
      <c r="B9" t="s">
        <v>227</v>
      </c>
      <c r="C9" s="26">
        <v>1</v>
      </c>
      <c r="D9">
        <v>0</v>
      </c>
    </row>
    <row r="10" spans="1:4" s="23" customFormat="1" x14ac:dyDescent="0.3">
      <c r="A10" s="23">
        <v>7</v>
      </c>
      <c r="B10" s="23" t="s">
        <v>228</v>
      </c>
      <c r="C10" s="26">
        <v>1</v>
      </c>
      <c r="D10" s="23">
        <v>0</v>
      </c>
    </row>
    <row r="11" spans="1:4" s="23" customFormat="1" x14ac:dyDescent="0.3">
      <c r="A11" s="23">
        <v>8</v>
      </c>
      <c r="B11" s="23" t="s">
        <v>231</v>
      </c>
      <c r="C11" s="26">
        <v>1</v>
      </c>
      <c r="D11" s="23">
        <v>0</v>
      </c>
    </row>
    <row r="12" spans="1:4" s="23" customFormat="1" x14ac:dyDescent="0.3">
      <c r="A12" s="23">
        <v>9</v>
      </c>
      <c r="B12" s="23" t="s">
        <v>255</v>
      </c>
      <c r="C12" s="26">
        <v>1</v>
      </c>
      <c r="D12" s="23">
        <v>0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CF5A-085E-4F3A-B262-EA02B27342EA}">
  <sheetPr>
    <tabColor rgb="FFFFFF00"/>
  </sheetPr>
  <dimension ref="A1:H17"/>
  <sheetViews>
    <sheetView workbookViewId="0">
      <selection activeCell="A3" sqref="A3"/>
    </sheetView>
  </sheetViews>
  <sheetFormatPr defaultRowHeight="14.4" x14ac:dyDescent="0.3"/>
  <cols>
    <col min="1" max="1" width="22.21875" customWidth="1"/>
    <col min="2" max="2" width="19" customWidth="1"/>
    <col min="5" max="5" width="15.77734375" customWidth="1"/>
  </cols>
  <sheetData>
    <row r="1" spans="1:8" x14ac:dyDescent="0.3">
      <c r="A1" s="11" t="s">
        <v>56</v>
      </c>
    </row>
    <row r="2" spans="1:8" x14ac:dyDescent="0.3">
      <c r="A2" t="s">
        <v>105</v>
      </c>
      <c r="B2" s="2">
        <v>45292</v>
      </c>
    </row>
    <row r="3" spans="1:8" x14ac:dyDescent="0.3">
      <c r="B3" s="2"/>
    </row>
    <row r="4" spans="1:8" x14ac:dyDescent="0.3">
      <c r="A4" s="1" t="s">
        <v>7</v>
      </c>
    </row>
    <row r="5" spans="1:8" x14ac:dyDescent="0.3">
      <c r="A5" s="1" t="s">
        <v>50</v>
      </c>
      <c r="B5" s="1" t="s">
        <v>52</v>
      </c>
      <c r="C5" s="1" t="s">
        <v>53</v>
      </c>
      <c r="D5" s="1" t="s">
        <v>54</v>
      </c>
      <c r="E5" s="1" t="s">
        <v>51</v>
      </c>
      <c r="F5" s="1" t="s">
        <v>55</v>
      </c>
      <c r="G5" s="1" t="s">
        <v>47</v>
      </c>
      <c r="H5" s="1" t="s">
        <v>58</v>
      </c>
    </row>
    <row r="6" spans="1:8" x14ac:dyDescent="0.3">
      <c r="A6" s="2">
        <f>B2</f>
        <v>45292</v>
      </c>
      <c r="B6">
        <f>MONTH(A6)</f>
        <v>1</v>
      </c>
      <c r="C6">
        <f>YEAR(A6)</f>
        <v>2024</v>
      </c>
      <c r="D6">
        <f>DAY(EOMONTH(A6,0))</f>
        <v>31</v>
      </c>
      <c r="E6" s="2">
        <f t="shared" ref="E6:E17" si="0">A6+D6</f>
        <v>45323</v>
      </c>
      <c r="F6">
        <v>1</v>
      </c>
      <c r="G6" t="str">
        <f>CONCATENATE($C$17,"-",F6)</f>
        <v>2024-1</v>
      </c>
      <c r="H6" t="s">
        <v>59</v>
      </c>
    </row>
    <row r="7" spans="1:8" x14ac:dyDescent="0.3">
      <c r="A7" s="2">
        <f>E6</f>
        <v>45323</v>
      </c>
      <c r="B7">
        <f>MONTH(A7)</f>
        <v>2</v>
      </c>
      <c r="C7">
        <f>YEAR(A7)</f>
        <v>2024</v>
      </c>
      <c r="D7">
        <f>DAY(EOMONTH(A7,0))</f>
        <v>29</v>
      </c>
      <c r="E7" s="2">
        <f t="shared" si="0"/>
        <v>45352</v>
      </c>
      <c r="F7">
        <f>F6+1</f>
        <v>2</v>
      </c>
      <c r="G7" t="str">
        <f t="shared" ref="G7:G17" si="1">CONCATENATE($C$17,"-",F7)</f>
        <v>2024-2</v>
      </c>
      <c r="H7" t="s">
        <v>59</v>
      </c>
    </row>
    <row r="8" spans="1:8" x14ac:dyDescent="0.3">
      <c r="A8" s="2">
        <f t="shared" ref="A8:A17" si="2">E7</f>
        <v>45352</v>
      </c>
      <c r="B8">
        <f t="shared" ref="B8:B17" si="3">MONTH(A8)</f>
        <v>3</v>
      </c>
      <c r="C8">
        <f t="shared" ref="C8:C17" si="4">YEAR(A8)</f>
        <v>2024</v>
      </c>
      <c r="D8">
        <f t="shared" ref="D8:D17" si="5">DAY(EOMONTH(A8,0))</f>
        <v>31</v>
      </c>
      <c r="E8" s="2">
        <f t="shared" si="0"/>
        <v>45383</v>
      </c>
      <c r="F8">
        <f t="shared" ref="F8:F17" si="6">F7+1</f>
        <v>3</v>
      </c>
      <c r="G8" t="str">
        <f t="shared" si="1"/>
        <v>2024-3</v>
      </c>
      <c r="H8" t="s">
        <v>59</v>
      </c>
    </row>
    <row r="9" spans="1:8" x14ac:dyDescent="0.3">
      <c r="A9" s="2">
        <f t="shared" si="2"/>
        <v>45383</v>
      </c>
      <c r="B9">
        <f t="shared" si="3"/>
        <v>4</v>
      </c>
      <c r="C9">
        <f t="shared" si="4"/>
        <v>2024</v>
      </c>
      <c r="D9">
        <f t="shared" si="5"/>
        <v>30</v>
      </c>
      <c r="E9" s="2">
        <f t="shared" si="0"/>
        <v>45413</v>
      </c>
      <c r="F9">
        <f t="shared" si="6"/>
        <v>4</v>
      </c>
      <c r="G9" t="str">
        <f t="shared" si="1"/>
        <v>2024-4</v>
      </c>
      <c r="H9" t="s">
        <v>59</v>
      </c>
    </row>
    <row r="10" spans="1:8" x14ac:dyDescent="0.3">
      <c r="A10" s="2">
        <f t="shared" si="2"/>
        <v>45413</v>
      </c>
      <c r="B10">
        <f t="shared" si="3"/>
        <v>5</v>
      </c>
      <c r="C10">
        <f t="shared" si="4"/>
        <v>2024</v>
      </c>
      <c r="D10">
        <f t="shared" si="5"/>
        <v>31</v>
      </c>
      <c r="E10" s="2">
        <f t="shared" si="0"/>
        <v>45444</v>
      </c>
      <c r="F10">
        <f t="shared" si="6"/>
        <v>5</v>
      </c>
      <c r="G10" t="str">
        <f t="shared" si="1"/>
        <v>2024-5</v>
      </c>
      <c r="H10" t="s">
        <v>59</v>
      </c>
    </row>
    <row r="11" spans="1:8" x14ac:dyDescent="0.3">
      <c r="A11" s="2">
        <f t="shared" si="2"/>
        <v>45444</v>
      </c>
      <c r="B11">
        <f t="shared" si="3"/>
        <v>6</v>
      </c>
      <c r="C11">
        <f t="shared" si="4"/>
        <v>2024</v>
      </c>
      <c r="D11">
        <f t="shared" si="5"/>
        <v>30</v>
      </c>
      <c r="E11" s="2">
        <f t="shared" si="0"/>
        <v>45474</v>
      </c>
      <c r="F11">
        <f t="shared" si="6"/>
        <v>6</v>
      </c>
      <c r="G11" t="str">
        <f t="shared" si="1"/>
        <v>2024-6</v>
      </c>
      <c r="H11" t="s">
        <v>59</v>
      </c>
    </row>
    <row r="12" spans="1:8" x14ac:dyDescent="0.3">
      <c r="A12" s="2">
        <f t="shared" si="2"/>
        <v>45474</v>
      </c>
      <c r="B12">
        <f t="shared" si="3"/>
        <v>7</v>
      </c>
      <c r="C12">
        <f t="shared" si="4"/>
        <v>2024</v>
      </c>
      <c r="D12">
        <f t="shared" si="5"/>
        <v>31</v>
      </c>
      <c r="E12" s="2">
        <f t="shared" si="0"/>
        <v>45505</v>
      </c>
      <c r="F12">
        <f t="shared" si="6"/>
        <v>7</v>
      </c>
      <c r="G12" t="str">
        <f t="shared" si="1"/>
        <v>2024-7</v>
      </c>
      <c r="H12" t="s">
        <v>59</v>
      </c>
    </row>
    <row r="13" spans="1:8" x14ac:dyDescent="0.3">
      <c r="A13" s="2">
        <f t="shared" si="2"/>
        <v>45505</v>
      </c>
      <c r="B13">
        <f t="shared" si="3"/>
        <v>8</v>
      </c>
      <c r="C13">
        <f t="shared" si="4"/>
        <v>2024</v>
      </c>
      <c r="D13">
        <f t="shared" si="5"/>
        <v>31</v>
      </c>
      <c r="E13" s="2">
        <f t="shared" si="0"/>
        <v>45536</v>
      </c>
      <c r="F13">
        <f t="shared" si="6"/>
        <v>8</v>
      </c>
      <c r="G13" t="str">
        <f t="shared" si="1"/>
        <v>2024-8</v>
      </c>
      <c r="H13" t="s">
        <v>59</v>
      </c>
    </row>
    <row r="14" spans="1:8" x14ac:dyDescent="0.3">
      <c r="A14" s="2">
        <f t="shared" si="2"/>
        <v>45536</v>
      </c>
      <c r="B14">
        <f t="shared" si="3"/>
        <v>9</v>
      </c>
      <c r="C14">
        <f t="shared" si="4"/>
        <v>2024</v>
      </c>
      <c r="D14">
        <f t="shared" si="5"/>
        <v>30</v>
      </c>
      <c r="E14" s="2">
        <f t="shared" si="0"/>
        <v>45566</v>
      </c>
      <c r="F14">
        <f t="shared" si="6"/>
        <v>9</v>
      </c>
      <c r="G14" t="str">
        <f t="shared" si="1"/>
        <v>2024-9</v>
      </c>
      <c r="H14" t="s">
        <v>59</v>
      </c>
    </row>
    <row r="15" spans="1:8" x14ac:dyDescent="0.3">
      <c r="A15" s="2">
        <f t="shared" si="2"/>
        <v>45566</v>
      </c>
      <c r="B15">
        <f t="shared" si="3"/>
        <v>10</v>
      </c>
      <c r="C15">
        <f t="shared" si="4"/>
        <v>2024</v>
      </c>
      <c r="D15">
        <f t="shared" si="5"/>
        <v>31</v>
      </c>
      <c r="E15" s="2">
        <f t="shared" si="0"/>
        <v>45597</v>
      </c>
      <c r="F15">
        <f t="shared" si="6"/>
        <v>10</v>
      </c>
      <c r="G15" t="str">
        <f t="shared" si="1"/>
        <v>2024-10</v>
      </c>
      <c r="H15" t="s">
        <v>59</v>
      </c>
    </row>
    <row r="16" spans="1:8" x14ac:dyDescent="0.3">
      <c r="A16" s="2">
        <f t="shared" si="2"/>
        <v>45597</v>
      </c>
      <c r="B16">
        <f t="shared" si="3"/>
        <v>11</v>
      </c>
      <c r="C16">
        <f t="shared" si="4"/>
        <v>2024</v>
      </c>
      <c r="D16">
        <f t="shared" si="5"/>
        <v>30</v>
      </c>
      <c r="E16" s="2">
        <f t="shared" si="0"/>
        <v>45627</v>
      </c>
      <c r="F16">
        <f t="shared" si="6"/>
        <v>11</v>
      </c>
      <c r="G16" t="str">
        <f t="shared" si="1"/>
        <v>2024-11</v>
      </c>
      <c r="H16" t="s">
        <v>59</v>
      </c>
    </row>
    <row r="17" spans="1:8" x14ac:dyDescent="0.3">
      <c r="A17" s="2">
        <f t="shared" si="2"/>
        <v>45627</v>
      </c>
      <c r="B17">
        <f t="shared" si="3"/>
        <v>12</v>
      </c>
      <c r="C17">
        <f t="shared" si="4"/>
        <v>2024</v>
      </c>
      <c r="D17">
        <f t="shared" si="5"/>
        <v>31</v>
      </c>
      <c r="E17" s="2">
        <f t="shared" si="0"/>
        <v>45658</v>
      </c>
      <c r="F17">
        <f t="shared" si="6"/>
        <v>12</v>
      </c>
      <c r="G17" t="str">
        <f t="shared" si="1"/>
        <v>2024-12</v>
      </c>
      <c r="H17" t="s">
        <v>59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3F20-A9A7-401D-B285-20CD93C43890}">
  <sheetPr>
    <tabColor rgb="FFFFFF00"/>
  </sheetPr>
  <dimension ref="A1:I40"/>
  <sheetViews>
    <sheetView workbookViewId="0">
      <selection activeCell="C17" sqref="C17"/>
    </sheetView>
  </sheetViews>
  <sheetFormatPr defaultRowHeight="14.4" x14ac:dyDescent="0.3"/>
  <cols>
    <col min="1" max="1" width="34.6640625" customWidth="1"/>
    <col min="2" max="2" width="24.109375" customWidth="1"/>
    <col min="3" max="3" width="14.77734375" bestFit="1" customWidth="1"/>
    <col min="4" max="4" width="12" bestFit="1" customWidth="1"/>
    <col min="5" max="5" width="27.44140625" customWidth="1"/>
    <col min="6" max="6" width="18.44140625" customWidth="1"/>
    <col min="7" max="7" width="22.5546875" customWidth="1"/>
    <col min="8" max="8" width="24.88671875" customWidth="1"/>
  </cols>
  <sheetData>
    <row r="1" spans="1:9" x14ac:dyDescent="0.3">
      <c r="A1" s="1" t="s">
        <v>7</v>
      </c>
    </row>
    <row r="2" spans="1:9" x14ac:dyDescent="0.3">
      <c r="A2" s="1" t="s">
        <v>63</v>
      </c>
      <c r="B2" s="1" t="s">
        <v>64</v>
      </c>
      <c r="C2" s="1" t="s">
        <v>49</v>
      </c>
      <c r="D2" s="1" t="s">
        <v>27</v>
      </c>
      <c r="E2" s="1" t="s">
        <v>28</v>
      </c>
      <c r="F2" s="1" t="s">
        <v>30</v>
      </c>
      <c r="G2" s="1" t="s">
        <v>72</v>
      </c>
      <c r="H2" s="1" t="s">
        <v>87</v>
      </c>
      <c r="I2" s="24" t="s">
        <v>65</v>
      </c>
    </row>
    <row r="3" spans="1:9" x14ac:dyDescent="0.3">
      <c r="A3" s="23">
        <v>1</v>
      </c>
      <c r="B3" s="23" t="str">
        <f>VLOOKUP('TransactionHistory (2)'!C3,'AccountingPeriod (3)'!$A$6:$G$17,7,TRUE)</f>
        <v>2024-1</v>
      </c>
      <c r="C3" s="2">
        <f>TransactionInput!A3</f>
        <v>45292</v>
      </c>
      <c r="D3" s="2" t="str">
        <f>TransactionInput!B3</f>
        <v>SO1</v>
      </c>
      <c r="E3" s="2" t="str">
        <f>TransactionInput!C3</f>
        <v>Billing</v>
      </c>
      <c r="F3" s="19">
        <f>TransactionInput!D3</f>
        <v>1200</v>
      </c>
      <c r="G3" s="20">
        <f>TransactionInput!E3</f>
        <v>1</v>
      </c>
      <c r="H3" s="23">
        <v>0</v>
      </c>
      <c r="I3" s="23">
        <v>0</v>
      </c>
    </row>
    <row r="4" spans="1:9" x14ac:dyDescent="0.3">
      <c r="A4" s="23">
        <v>2</v>
      </c>
      <c r="B4" s="23" t="str">
        <f>VLOOKUP('TransactionHistory (2)'!C4,'AccountingPeriod (3)'!$A$6:$G$17,7,TRUE)</f>
        <v>2024-1</v>
      </c>
      <c r="C4" s="2">
        <f>TransactionInput!A4</f>
        <v>45292</v>
      </c>
      <c r="D4" s="2" t="str">
        <f>TransactionInput!B4</f>
        <v>SO1</v>
      </c>
      <c r="E4" s="2" t="str">
        <f>TransactionInput!C4</f>
        <v>Billing</v>
      </c>
      <c r="F4" s="19">
        <f>TransactionInput!D4</f>
        <v>600</v>
      </c>
      <c r="G4" s="20">
        <f>TransactionInput!E4</f>
        <v>2</v>
      </c>
      <c r="H4" s="23">
        <v>0</v>
      </c>
      <c r="I4" s="23">
        <v>0</v>
      </c>
    </row>
    <row r="5" spans="1:9" x14ac:dyDescent="0.3">
      <c r="A5" s="23">
        <v>3</v>
      </c>
      <c r="B5" s="23" t="str">
        <f>VLOOKUP('TransactionHistory (2)'!C5,'AccountingPeriod (3)'!$A$6:$G$17,7,TRUE)</f>
        <v>2024-1</v>
      </c>
      <c r="C5" s="2">
        <f>'TransactionHistory (2)'!C4</f>
        <v>45292</v>
      </c>
      <c r="D5" s="2" t="str">
        <f>'TransactionHistory (2)'!D4</f>
        <v>SO1</v>
      </c>
      <c r="E5" s="2" t="str">
        <f>'Output_Transactions (1)'!D2</f>
        <v>ExtendedSalesPrice</v>
      </c>
      <c r="F5" s="19">
        <f>'Output_Transactions (1)'!E2</f>
        <v>1200</v>
      </c>
      <c r="G5" s="20">
        <f>'Output_Transactions (3)'!F2</f>
        <v>1</v>
      </c>
      <c r="H5" s="23">
        <v>1</v>
      </c>
      <c r="I5" s="23">
        <v>1</v>
      </c>
    </row>
    <row r="6" spans="1:9" x14ac:dyDescent="0.3">
      <c r="A6" s="23">
        <v>4</v>
      </c>
      <c r="B6" s="23" t="str">
        <f>VLOOKUP('TransactionHistory (2)'!C6,'AccountingPeriod (3)'!$A$6:$G$17,7,TRUE)</f>
        <v>2024-1</v>
      </c>
      <c r="C6" s="2">
        <f>C5</f>
        <v>45292</v>
      </c>
      <c r="D6" s="2" t="str">
        <f>D5</f>
        <v>SO1</v>
      </c>
      <c r="E6" s="2" t="str">
        <f>E5</f>
        <v>ExtendedSalesPrice</v>
      </c>
      <c r="F6" s="19">
        <f>F5/2</f>
        <v>600</v>
      </c>
      <c r="G6" s="23">
        <v>2</v>
      </c>
      <c r="H6" s="23">
        <v>1</v>
      </c>
      <c r="I6" s="23">
        <v>1</v>
      </c>
    </row>
    <row r="7" spans="1:9" x14ac:dyDescent="0.3">
      <c r="A7" s="23">
        <v>5</v>
      </c>
      <c r="B7" s="23" t="str">
        <f>VLOOKUP('TransactionHistory (2)'!C7,'AccountingPeriod (3)'!$A$6:$G$17,7,TRUE)</f>
        <v>2024-1</v>
      </c>
      <c r="C7" s="2">
        <f>C6</f>
        <v>45292</v>
      </c>
      <c r="D7" s="2" t="str">
        <f>D6</f>
        <v>SO1</v>
      </c>
      <c r="E7" s="2" t="str">
        <f>'Output_Transactions (1)'!D3</f>
        <v>StandaloneSellingPrice</v>
      </c>
      <c r="F7" s="19">
        <f>'Output_Transactions (1)'!E3</f>
        <v>960</v>
      </c>
      <c r="G7" s="20">
        <f>'Output_Transactions (3)'!F4</f>
        <v>1</v>
      </c>
      <c r="H7" s="23">
        <v>1</v>
      </c>
      <c r="I7" s="23">
        <v>1</v>
      </c>
    </row>
    <row r="8" spans="1:9" x14ac:dyDescent="0.3">
      <c r="A8" s="23">
        <v>6</v>
      </c>
      <c r="B8" s="23" t="str">
        <f>VLOOKUP('TransactionHistory (2)'!C8,'AccountingPeriod (3)'!$A$6:$G$17,7,TRUE)</f>
        <v>2024-1</v>
      </c>
      <c r="C8" s="2">
        <f>C7</f>
        <v>45292</v>
      </c>
      <c r="D8" s="2" t="str">
        <f>D7</f>
        <v>SO1</v>
      </c>
      <c r="E8" s="2" t="str">
        <f>E7</f>
        <v>StandaloneSellingPrice</v>
      </c>
      <c r="F8" s="19">
        <v>420</v>
      </c>
      <c r="G8" s="23">
        <v>2</v>
      </c>
      <c r="H8" s="23">
        <v>1</v>
      </c>
      <c r="I8" s="23">
        <v>1</v>
      </c>
    </row>
    <row r="9" spans="1:9" x14ac:dyDescent="0.3">
      <c r="A9" s="23">
        <f>A8+1</f>
        <v>7</v>
      </c>
      <c r="B9" s="23" t="str">
        <f>VLOOKUP('TransactionHistory (2)'!C9,'AccountingPeriod (3)'!$A$6:$G$17,7,TRUE)</f>
        <v>2024-1</v>
      </c>
      <c r="C9" s="2">
        <v>45292</v>
      </c>
      <c r="D9" s="23" t="s">
        <v>29</v>
      </c>
      <c r="E9" s="23" t="s">
        <v>70</v>
      </c>
      <c r="F9" s="23">
        <v>100</v>
      </c>
      <c r="G9" s="23">
        <v>1</v>
      </c>
      <c r="H9" s="23">
        <v>0</v>
      </c>
      <c r="I9" s="23">
        <v>1</v>
      </c>
    </row>
    <row r="10" spans="1:9" x14ac:dyDescent="0.3">
      <c r="A10" s="23">
        <f>A9+1</f>
        <v>8</v>
      </c>
      <c r="B10" s="23" t="str">
        <f>VLOOKUP('TransactionHistory (2)'!C10,'AccountingPeriod (3)'!$A$6:$G$17,7,TRUE)</f>
        <v>2024-1</v>
      </c>
      <c r="C10" s="2">
        <v>45292</v>
      </c>
      <c r="D10" s="23" t="s">
        <v>29</v>
      </c>
      <c r="E10" s="23" t="s">
        <v>70</v>
      </c>
      <c r="F10" s="23">
        <v>100</v>
      </c>
      <c r="G10" s="23">
        <v>2</v>
      </c>
      <c r="H10" s="23">
        <v>0</v>
      </c>
      <c r="I10" s="23">
        <v>1</v>
      </c>
    </row>
    <row r="11" spans="1:9" x14ac:dyDescent="0.3">
      <c r="A11" s="23">
        <f>A10+1</f>
        <v>9</v>
      </c>
      <c r="B11" s="23" t="str">
        <f>VLOOKUP('TransactionHistory (2)'!C11,'AccountingPeriod (3)'!$A$6:$G$17,7,TRUE)</f>
        <v>2024-1</v>
      </c>
      <c r="C11" s="2">
        <v>45292</v>
      </c>
      <c r="D11" s="23" t="s">
        <v>29</v>
      </c>
      <c r="E11" s="23" t="s">
        <v>71</v>
      </c>
      <c r="F11" s="23">
        <v>12</v>
      </c>
      <c r="G11" s="23">
        <v>1</v>
      </c>
      <c r="H11" s="23">
        <v>0</v>
      </c>
      <c r="I11" s="23">
        <v>1</v>
      </c>
    </row>
    <row r="12" spans="1:9" x14ac:dyDescent="0.3">
      <c r="A12" s="23">
        <f>A11+1</f>
        <v>10</v>
      </c>
      <c r="B12" s="23" t="str">
        <f>VLOOKUP('TransactionHistory (2)'!C12,'AccountingPeriod (3)'!$A$6:$G$17,7,TRUE)</f>
        <v>2024-1</v>
      </c>
      <c r="C12" s="2">
        <v>45292</v>
      </c>
      <c r="D12" s="23" t="s">
        <v>29</v>
      </c>
      <c r="E12" s="23" t="s">
        <v>71</v>
      </c>
      <c r="F12" s="23">
        <v>6</v>
      </c>
      <c r="G12" s="23">
        <v>2</v>
      </c>
      <c r="H12" s="23">
        <v>0</v>
      </c>
      <c r="I12" s="23">
        <v>1</v>
      </c>
    </row>
    <row r="13" spans="1:9" x14ac:dyDescent="0.3">
      <c r="A13" s="23">
        <f>A12+1</f>
        <v>11</v>
      </c>
      <c r="B13" s="23" t="str">
        <f>VLOOKUP('TransactionHistory (2)'!C13,'AccountingPeriod (3)'!$A$6:$G$17,7,TRUE)</f>
        <v>2024-1</v>
      </c>
      <c r="C13" s="2">
        <v>45292</v>
      </c>
      <c r="D13" s="23" t="s">
        <v>29</v>
      </c>
      <c r="E13" s="23" t="s">
        <v>231</v>
      </c>
      <c r="F13" s="23">
        <v>0.2</v>
      </c>
      <c r="G13" s="23">
        <v>1</v>
      </c>
      <c r="H13" s="23">
        <v>0</v>
      </c>
      <c r="I13" s="23">
        <v>1</v>
      </c>
    </row>
    <row r="14" spans="1:9" x14ac:dyDescent="0.3">
      <c r="A14" s="23">
        <f>A13+1</f>
        <v>12</v>
      </c>
      <c r="B14" s="23" t="str">
        <f>VLOOKUP('TransactionHistory (2)'!C14,'AccountingPeriod (3)'!$A$6:$G$17,7,TRUE)</f>
        <v>2024-1</v>
      </c>
      <c r="C14" s="2">
        <v>45292</v>
      </c>
      <c r="D14" s="23" t="s">
        <v>29</v>
      </c>
      <c r="E14" s="23" t="s">
        <v>231</v>
      </c>
      <c r="F14" s="23">
        <v>0.3</v>
      </c>
      <c r="G14" s="23">
        <v>2</v>
      </c>
      <c r="H14" s="23">
        <v>0</v>
      </c>
      <c r="I14" s="23">
        <v>1</v>
      </c>
    </row>
    <row r="15" spans="1:9" x14ac:dyDescent="0.3">
      <c r="A15" s="23">
        <f t="shared" ref="A15:A29" si="0">A14+1</f>
        <v>13</v>
      </c>
      <c r="B15" s="23" t="str">
        <f>VLOOKUP('TransactionHistory (2)'!C15,'AccountingPeriod (3)'!$A$6:$G$17,7,TRUE)</f>
        <v>2024-1</v>
      </c>
      <c r="C15" s="2">
        <f>'Output_Transactions (2)'!B2</f>
        <v>45292</v>
      </c>
      <c r="D15" s="2" t="str">
        <f>'Output_Transactions (2)'!C2</f>
        <v>SO1</v>
      </c>
      <c r="E15" s="2" t="str">
        <f>'Output_Transactions (2)'!D2</f>
        <v>AllocatedRevenue</v>
      </c>
      <c r="F15" s="19">
        <f>'Output_Transactions (2)'!E2</f>
        <v>1252.1739130434783</v>
      </c>
      <c r="G15" s="20">
        <f>'Output_Transactions (2)'!F2</f>
        <v>1</v>
      </c>
      <c r="H15" s="23">
        <v>1</v>
      </c>
      <c r="I15" s="23">
        <v>1</v>
      </c>
    </row>
    <row r="16" spans="1:9" x14ac:dyDescent="0.3">
      <c r="A16" s="23">
        <f t="shared" si="0"/>
        <v>14</v>
      </c>
      <c r="B16" s="23" t="str">
        <f>VLOOKUP('TransactionHistory (2)'!C16,'AccountingPeriod (3)'!$A$6:$G$17,7,TRUE)</f>
        <v>2024-1</v>
      </c>
      <c r="C16" s="2">
        <f>C15</f>
        <v>45292</v>
      </c>
      <c r="D16" s="2" t="str">
        <f>D15</f>
        <v>SO1</v>
      </c>
      <c r="E16" s="2" t="str">
        <f>E15</f>
        <v>AllocatedRevenue</v>
      </c>
      <c r="F16" s="19">
        <v>547.82608695652175</v>
      </c>
      <c r="G16" s="23">
        <v>2</v>
      </c>
      <c r="H16" s="23">
        <v>1</v>
      </c>
      <c r="I16" s="23">
        <v>1</v>
      </c>
    </row>
    <row r="17" spans="1:9" x14ac:dyDescent="0.3">
      <c r="A17" s="23">
        <f t="shared" si="0"/>
        <v>15</v>
      </c>
      <c r="B17" t="str">
        <f>VLOOKUP('TransactionHistory (3)'!C17,'AccountingPeriod (3)'!$A$6:$G$17,7,TRUE)</f>
        <v>2024-1</v>
      </c>
      <c r="C17" s="2">
        <f>'Output_Transactions (3)'!B2</f>
        <v>45322</v>
      </c>
      <c r="D17" s="2" t="str">
        <f>D4</f>
        <v>SO1</v>
      </c>
      <c r="E17" s="2" t="str">
        <f>'Output_Transactions (3)'!D2</f>
        <v>Revenue</v>
      </c>
      <c r="F17" s="19">
        <f>'Output_Transactions (3)'!E2</f>
        <v>106.0584461867427</v>
      </c>
      <c r="G17" s="20">
        <f>'Output_Transactions (3)'!F2</f>
        <v>1</v>
      </c>
      <c r="H17" s="20">
        <v>1</v>
      </c>
      <c r="I17" s="20">
        <v>0</v>
      </c>
    </row>
    <row r="18" spans="1:9" x14ac:dyDescent="0.3">
      <c r="A18" s="23">
        <f t="shared" si="0"/>
        <v>16</v>
      </c>
      <c r="B18" s="23" t="str">
        <f>VLOOKUP('TransactionHistory (3)'!C18,'AccountingPeriod (3)'!$A$6:$G$17,7,TRUE)</f>
        <v>2024-2</v>
      </c>
      <c r="C18" s="2">
        <f>'Output_Transactions (3)'!B3</f>
        <v>45351</v>
      </c>
      <c r="D18" s="2" t="str">
        <f>D5</f>
        <v>SO1</v>
      </c>
      <c r="E18" s="2" t="str">
        <f>'Output_Transactions (3)'!D3</f>
        <v>Revenue</v>
      </c>
      <c r="F18" s="19">
        <f>'Output_Transactions (3)'!E3</f>
        <v>99.215965787598009</v>
      </c>
      <c r="G18" s="20">
        <f>'Output_Transactions (3)'!F3</f>
        <v>1</v>
      </c>
      <c r="H18" s="20">
        <v>1</v>
      </c>
      <c r="I18" s="20">
        <v>0</v>
      </c>
    </row>
    <row r="19" spans="1:9" x14ac:dyDescent="0.3">
      <c r="A19" s="23">
        <f t="shared" si="0"/>
        <v>17</v>
      </c>
      <c r="B19" s="23" t="str">
        <f>VLOOKUP('TransactionHistory (3)'!C19,'AccountingPeriod (3)'!$A$6:$G$17,7,TRUE)</f>
        <v>2024-3</v>
      </c>
      <c r="C19" s="2">
        <f>'Output_Transactions (3)'!B4</f>
        <v>45382</v>
      </c>
      <c r="D19" s="2" t="str">
        <f>D6</f>
        <v>SO1</v>
      </c>
      <c r="E19" s="2" t="str">
        <f>'Output_Transactions (3)'!D4</f>
        <v>Revenue</v>
      </c>
      <c r="F19" s="19">
        <f>'Output_Transactions (3)'!E4</f>
        <v>106.0584461867427</v>
      </c>
      <c r="G19" s="20">
        <f>'Output_Transactions (3)'!F4</f>
        <v>1</v>
      </c>
      <c r="H19" s="20">
        <v>1</v>
      </c>
      <c r="I19" s="20">
        <v>0</v>
      </c>
    </row>
    <row r="20" spans="1:9" x14ac:dyDescent="0.3">
      <c r="A20" s="23">
        <f t="shared" si="0"/>
        <v>18</v>
      </c>
      <c r="B20" s="23" t="str">
        <f>VLOOKUP('TransactionHistory (3)'!C20,'AccountingPeriod (3)'!$A$6:$G$17,7,TRUE)</f>
        <v>2024-4</v>
      </c>
      <c r="C20" s="2">
        <f>'Output_Transactions (3)'!B5</f>
        <v>45412</v>
      </c>
      <c r="D20" s="2" t="str">
        <f>D7</f>
        <v>SO1</v>
      </c>
      <c r="E20" s="2" t="str">
        <f>'Output_Transactions (3)'!D5</f>
        <v>Revenue</v>
      </c>
      <c r="F20" s="19">
        <f>'Output_Transactions (3)'!E5</f>
        <v>102.63720598717035</v>
      </c>
      <c r="G20" s="20">
        <f>'Output_Transactions (3)'!F5</f>
        <v>1</v>
      </c>
      <c r="H20" s="20">
        <v>1</v>
      </c>
      <c r="I20" s="20">
        <v>0</v>
      </c>
    </row>
    <row r="21" spans="1:9" x14ac:dyDescent="0.3">
      <c r="A21" s="23">
        <f t="shared" si="0"/>
        <v>19</v>
      </c>
      <c r="B21" s="23" t="str">
        <f>VLOOKUP('TransactionHistory (3)'!C21,'AccountingPeriod (3)'!$A$6:$G$17,7,TRUE)</f>
        <v>2024-5</v>
      </c>
      <c r="C21" s="2">
        <f>'Output_Transactions (3)'!B6</f>
        <v>45443</v>
      </c>
      <c r="D21" s="2" t="str">
        <f>D8</f>
        <v>SO1</v>
      </c>
      <c r="E21" s="2" t="str">
        <f>'Output_Transactions (3)'!D6</f>
        <v>Revenue</v>
      </c>
      <c r="F21" s="19">
        <f>'Output_Transactions (3)'!E6</f>
        <v>106.0584461867427</v>
      </c>
      <c r="G21" s="20">
        <f>'Output_Transactions (3)'!F6</f>
        <v>1</v>
      </c>
      <c r="H21" s="20">
        <v>1</v>
      </c>
      <c r="I21" s="20">
        <v>0</v>
      </c>
    </row>
    <row r="22" spans="1:9" x14ac:dyDescent="0.3">
      <c r="A22" s="23">
        <f t="shared" si="0"/>
        <v>20</v>
      </c>
      <c r="B22" s="23" t="str">
        <f>VLOOKUP('TransactionHistory (3)'!C22,'AccountingPeriod (3)'!$A$6:$G$17,7,TRUE)</f>
        <v>2024-6</v>
      </c>
      <c r="C22" s="2">
        <f>'Output_Transactions (3)'!B7</f>
        <v>45473</v>
      </c>
      <c r="D22" s="2" t="str">
        <f>D9</f>
        <v>SO1</v>
      </c>
      <c r="E22" s="2" t="str">
        <f>'Output_Transactions (3)'!D7</f>
        <v>Revenue</v>
      </c>
      <c r="F22" s="19">
        <f>'Output_Transactions (3)'!E7</f>
        <v>102.63720598717035</v>
      </c>
      <c r="G22" s="20">
        <f>'Output_Transactions (3)'!F7</f>
        <v>1</v>
      </c>
      <c r="H22" s="20">
        <v>1</v>
      </c>
      <c r="I22" s="20">
        <v>0</v>
      </c>
    </row>
    <row r="23" spans="1:9" x14ac:dyDescent="0.3">
      <c r="A23" s="23">
        <f t="shared" si="0"/>
        <v>21</v>
      </c>
      <c r="B23" s="23" t="str">
        <f>VLOOKUP('TransactionHistory (3)'!C23,'AccountingPeriod (3)'!$A$6:$G$17,7,TRUE)</f>
        <v>2024-7</v>
      </c>
      <c r="C23" s="2">
        <f>'Output_Transactions (3)'!B8</f>
        <v>45504</v>
      </c>
      <c r="D23" s="2" t="str">
        <f>D10</f>
        <v>SO1</v>
      </c>
      <c r="E23" s="2" t="str">
        <f>'Output_Transactions (3)'!D8</f>
        <v>Revenue</v>
      </c>
      <c r="F23" s="19">
        <f>'Output_Transactions (3)'!E8</f>
        <v>106.0584461867427</v>
      </c>
      <c r="G23" s="20">
        <f>'Output_Transactions (3)'!F8</f>
        <v>1</v>
      </c>
      <c r="H23" s="20">
        <v>1</v>
      </c>
      <c r="I23" s="20">
        <v>0</v>
      </c>
    </row>
    <row r="24" spans="1:9" x14ac:dyDescent="0.3">
      <c r="A24" s="23">
        <f t="shared" si="0"/>
        <v>22</v>
      </c>
      <c r="B24" s="23" t="str">
        <f>VLOOKUP('TransactionHistory (3)'!C24,'AccountingPeriod (3)'!$A$6:$G$17,7,TRUE)</f>
        <v>2024-8</v>
      </c>
      <c r="C24" s="2">
        <f>'Output_Transactions (3)'!B9</f>
        <v>45535</v>
      </c>
      <c r="D24" s="2" t="str">
        <f>D11</f>
        <v>SO1</v>
      </c>
      <c r="E24" s="2" t="str">
        <f>'Output_Transactions (3)'!D9</f>
        <v>Revenue</v>
      </c>
      <c r="F24" s="19">
        <f>'Output_Transactions (3)'!E9</f>
        <v>106.0584461867427</v>
      </c>
      <c r="G24" s="20">
        <f>'Output_Transactions (3)'!F9</f>
        <v>1</v>
      </c>
      <c r="H24" s="20">
        <v>1</v>
      </c>
      <c r="I24" s="20">
        <v>0</v>
      </c>
    </row>
    <row r="25" spans="1:9" x14ac:dyDescent="0.3">
      <c r="A25" s="23">
        <f t="shared" si="0"/>
        <v>23</v>
      </c>
      <c r="B25" s="23" t="str">
        <f>VLOOKUP('TransactionHistory (3)'!C25,'AccountingPeriod (3)'!$A$6:$G$17,7,TRUE)</f>
        <v>2024-9</v>
      </c>
      <c r="C25" s="2">
        <f>'Output_Transactions (3)'!B10</f>
        <v>45565</v>
      </c>
      <c r="D25" s="2" t="str">
        <f>D12</f>
        <v>SO1</v>
      </c>
      <c r="E25" s="2" t="str">
        <f>'Output_Transactions (3)'!D10</f>
        <v>Revenue</v>
      </c>
      <c r="F25" s="19">
        <f>'Output_Transactions (3)'!E10</f>
        <v>102.63720598717035</v>
      </c>
      <c r="G25" s="20">
        <f>'Output_Transactions (3)'!F10</f>
        <v>1</v>
      </c>
      <c r="H25" s="20">
        <v>1</v>
      </c>
      <c r="I25" s="20">
        <v>0</v>
      </c>
    </row>
    <row r="26" spans="1:9" x14ac:dyDescent="0.3">
      <c r="A26" s="23">
        <f t="shared" si="0"/>
        <v>24</v>
      </c>
      <c r="B26" s="23" t="str">
        <f>VLOOKUP('TransactionHistory (3)'!C26,'AccountingPeriod (3)'!$A$6:$G$17,7,TRUE)</f>
        <v>2024-10</v>
      </c>
      <c r="C26" s="2">
        <f>'Output_Transactions (3)'!B11</f>
        <v>45596</v>
      </c>
      <c r="D26" s="2" t="str">
        <f>D13</f>
        <v>SO1</v>
      </c>
      <c r="E26" s="2" t="str">
        <f>'Output_Transactions (3)'!D11</f>
        <v>Revenue</v>
      </c>
      <c r="F26" s="19">
        <f>'Output_Transactions (3)'!E11</f>
        <v>106.0584461867427</v>
      </c>
      <c r="G26" s="20">
        <f>'Output_Transactions (3)'!F11</f>
        <v>1</v>
      </c>
      <c r="H26" s="20">
        <v>1</v>
      </c>
      <c r="I26" s="20">
        <v>0</v>
      </c>
    </row>
    <row r="27" spans="1:9" x14ac:dyDescent="0.3">
      <c r="A27" s="23">
        <f t="shared" si="0"/>
        <v>25</v>
      </c>
      <c r="B27" s="23" t="str">
        <f>VLOOKUP('TransactionHistory (3)'!C27,'AccountingPeriod (3)'!$A$6:$G$17,7,TRUE)</f>
        <v>2024-11</v>
      </c>
      <c r="C27" s="2">
        <f>'Output_Transactions (3)'!B12</f>
        <v>45626</v>
      </c>
      <c r="D27" s="2" t="str">
        <f>D14</f>
        <v>SO1</v>
      </c>
      <c r="E27" s="2" t="str">
        <f>'Output_Transactions (3)'!D12</f>
        <v>Revenue</v>
      </c>
      <c r="F27" s="19">
        <f>'Output_Transactions (3)'!E12</f>
        <v>102.63720598717035</v>
      </c>
      <c r="G27" s="20">
        <f>'Output_Transactions (3)'!F12</f>
        <v>1</v>
      </c>
      <c r="H27" s="20">
        <v>1</v>
      </c>
      <c r="I27" s="20">
        <v>0</v>
      </c>
    </row>
    <row r="28" spans="1:9" x14ac:dyDescent="0.3">
      <c r="A28" s="23">
        <f t="shared" si="0"/>
        <v>26</v>
      </c>
      <c r="B28" s="23" t="str">
        <f>VLOOKUP('TransactionHistory (3)'!C28,'AccountingPeriod (3)'!$A$6:$G$17,7,TRUE)</f>
        <v>2024-12</v>
      </c>
      <c r="C28" s="2">
        <f>'Output_Transactions (3)'!B13</f>
        <v>45657</v>
      </c>
      <c r="D28" s="2" t="str">
        <f>D15</f>
        <v>SO1</v>
      </c>
      <c r="E28" s="2" t="str">
        <f>'Output_Transactions (3)'!D13</f>
        <v>Revenue</v>
      </c>
      <c r="F28" s="19">
        <f>'Output_Transactions (3)'!E13</f>
        <v>106.0584461867427</v>
      </c>
      <c r="G28" s="20">
        <f>'Output_Transactions (3)'!F13</f>
        <v>1</v>
      </c>
      <c r="H28" s="20">
        <v>1</v>
      </c>
      <c r="I28" s="20">
        <v>0</v>
      </c>
    </row>
    <row r="29" spans="1:9" x14ac:dyDescent="0.3">
      <c r="A29" s="23">
        <f t="shared" si="0"/>
        <v>27</v>
      </c>
      <c r="B29" t="str">
        <f>B17</f>
        <v>2024-1</v>
      </c>
      <c r="C29" s="2">
        <f>C17</f>
        <v>45322</v>
      </c>
      <c r="D29" s="2" t="str">
        <f>D17</f>
        <v>SO1</v>
      </c>
      <c r="E29" s="2" t="str">
        <f>E17</f>
        <v>Revenue</v>
      </c>
      <c r="F29" s="19">
        <v>46.400570206699925</v>
      </c>
      <c r="G29" s="20">
        <v>2</v>
      </c>
      <c r="H29" s="20">
        <f>H28</f>
        <v>1</v>
      </c>
      <c r="I29" s="20">
        <f>I28</f>
        <v>0</v>
      </c>
    </row>
    <row r="30" spans="1:9" x14ac:dyDescent="0.3">
      <c r="A30" s="23">
        <f t="shared" ref="A30:A40" si="1">A29+1</f>
        <v>28</v>
      </c>
      <c r="B30" s="23" t="str">
        <f t="shared" ref="B30:E30" si="2">B18</f>
        <v>2024-2</v>
      </c>
      <c r="C30" s="2">
        <f t="shared" si="2"/>
        <v>45351</v>
      </c>
      <c r="D30" s="2" t="str">
        <f t="shared" si="2"/>
        <v>SO1</v>
      </c>
      <c r="E30" s="2" t="str">
        <f t="shared" si="2"/>
        <v>Revenue</v>
      </c>
      <c r="F30" s="19">
        <v>43.406985032074125</v>
      </c>
      <c r="G30" s="20">
        <v>2</v>
      </c>
      <c r="H30" s="20">
        <f t="shared" ref="H30:H40" si="3">H29</f>
        <v>1</v>
      </c>
      <c r="I30" s="20">
        <f t="shared" ref="I30:I40" si="4">I29</f>
        <v>0</v>
      </c>
    </row>
    <row r="31" spans="1:9" x14ac:dyDescent="0.3">
      <c r="A31" s="23">
        <f t="shared" si="1"/>
        <v>29</v>
      </c>
      <c r="B31" s="23" t="str">
        <f t="shared" ref="B31:E31" si="5">B19</f>
        <v>2024-3</v>
      </c>
      <c r="C31" s="2">
        <f t="shared" si="5"/>
        <v>45382</v>
      </c>
      <c r="D31" s="2" t="str">
        <f t="shared" si="5"/>
        <v>SO1</v>
      </c>
      <c r="E31" s="2" t="str">
        <f t="shared" si="5"/>
        <v>Revenue</v>
      </c>
      <c r="F31" s="19">
        <v>46.400570206699925</v>
      </c>
      <c r="G31" s="20">
        <v>2</v>
      </c>
      <c r="H31" s="20">
        <f t="shared" si="3"/>
        <v>1</v>
      </c>
      <c r="I31" s="20">
        <f t="shared" si="4"/>
        <v>0</v>
      </c>
    </row>
    <row r="32" spans="1:9" x14ac:dyDescent="0.3">
      <c r="A32" s="23">
        <f t="shared" si="1"/>
        <v>30</v>
      </c>
      <c r="B32" s="23" t="str">
        <f t="shared" ref="B32:E32" si="6">B20</f>
        <v>2024-4</v>
      </c>
      <c r="C32" s="2">
        <f t="shared" si="6"/>
        <v>45412</v>
      </c>
      <c r="D32" s="2" t="str">
        <f t="shared" si="6"/>
        <v>SO1</v>
      </c>
      <c r="E32" s="2" t="str">
        <f t="shared" si="6"/>
        <v>Revenue</v>
      </c>
      <c r="F32" s="19">
        <v>44.903777619387029</v>
      </c>
      <c r="G32" s="20">
        <v>2</v>
      </c>
      <c r="H32" s="20">
        <f t="shared" si="3"/>
        <v>1</v>
      </c>
      <c r="I32" s="20">
        <f t="shared" si="4"/>
        <v>0</v>
      </c>
    </row>
    <row r="33" spans="1:9" x14ac:dyDescent="0.3">
      <c r="A33" s="23">
        <f t="shared" si="1"/>
        <v>31</v>
      </c>
      <c r="B33" s="23" t="str">
        <f t="shared" ref="B33:E33" si="7">B21</f>
        <v>2024-5</v>
      </c>
      <c r="C33" s="2">
        <f t="shared" si="7"/>
        <v>45443</v>
      </c>
      <c r="D33" s="2" t="str">
        <f t="shared" si="7"/>
        <v>SO1</v>
      </c>
      <c r="E33" s="2" t="str">
        <f t="shared" si="7"/>
        <v>Revenue</v>
      </c>
      <c r="F33" s="19">
        <v>46.400570206699925</v>
      </c>
      <c r="G33" s="20">
        <v>2</v>
      </c>
      <c r="H33" s="20">
        <f t="shared" si="3"/>
        <v>1</v>
      </c>
      <c r="I33" s="20">
        <f t="shared" si="4"/>
        <v>0</v>
      </c>
    </row>
    <row r="34" spans="1:9" x14ac:dyDescent="0.3">
      <c r="A34" s="23">
        <f t="shared" si="1"/>
        <v>32</v>
      </c>
      <c r="B34" s="23" t="str">
        <f t="shared" ref="B34:E34" si="8">B22</f>
        <v>2024-6</v>
      </c>
      <c r="C34" s="2">
        <f t="shared" si="8"/>
        <v>45473</v>
      </c>
      <c r="D34" s="2" t="str">
        <f t="shared" si="8"/>
        <v>SO1</v>
      </c>
      <c r="E34" s="2" t="str">
        <f t="shared" si="8"/>
        <v>Revenue</v>
      </c>
      <c r="F34" s="19">
        <v>44.903777619387029</v>
      </c>
      <c r="G34" s="20">
        <v>2</v>
      </c>
      <c r="H34" s="20">
        <f t="shared" si="3"/>
        <v>1</v>
      </c>
      <c r="I34" s="20">
        <f t="shared" si="4"/>
        <v>0</v>
      </c>
    </row>
    <row r="35" spans="1:9" x14ac:dyDescent="0.3">
      <c r="A35" s="23">
        <f t="shared" si="1"/>
        <v>33</v>
      </c>
      <c r="B35" s="23" t="str">
        <f t="shared" ref="B35:E35" si="9">B23</f>
        <v>2024-7</v>
      </c>
      <c r="C35" s="2">
        <f t="shared" si="9"/>
        <v>45504</v>
      </c>
      <c r="D35" s="2" t="str">
        <f t="shared" si="9"/>
        <v>SO1</v>
      </c>
      <c r="E35" s="2" t="str">
        <f t="shared" si="9"/>
        <v>Revenue</v>
      </c>
      <c r="F35" s="19">
        <v>46.400570206699925</v>
      </c>
      <c r="G35" s="20">
        <v>2</v>
      </c>
      <c r="H35" s="20">
        <f t="shared" si="3"/>
        <v>1</v>
      </c>
      <c r="I35" s="20">
        <f t="shared" si="4"/>
        <v>0</v>
      </c>
    </row>
    <row r="36" spans="1:9" x14ac:dyDescent="0.3">
      <c r="A36" s="23">
        <f t="shared" si="1"/>
        <v>34</v>
      </c>
      <c r="B36" s="23" t="str">
        <f t="shared" ref="B36:E36" si="10">B24</f>
        <v>2024-8</v>
      </c>
      <c r="C36" s="2">
        <f t="shared" si="10"/>
        <v>45535</v>
      </c>
      <c r="D36" s="2" t="str">
        <f t="shared" si="10"/>
        <v>SO1</v>
      </c>
      <c r="E36" s="2" t="str">
        <f t="shared" si="10"/>
        <v>Revenue</v>
      </c>
      <c r="F36" s="19">
        <v>46.400570206699925</v>
      </c>
      <c r="G36" s="20">
        <v>2</v>
      </c>
      <c r="H36" s="20">
        <f t="shared" si="3"/>
        <v>1</v>
      </c>
      <c r="I36" s="20">
        <f t="shared" si="4"/>
        <v>0</v>
      </c>
    </row>
    <row r="37" spans="1:9" x14ac:dyDescent="0.3">
      <c r="A37" s="23">
        <f t="shared" si="1"/>
        <v>35</v>
      </c>
      <c r="B37" s="23" t="str">
        <f t="shared" ref="B37:E37" si="11">B25</f>
        <v>2024-9</v>
      </c>
      <c r="C37" s="2">
        <f t="shared" si="11"/>
        <v>45565</v>
      </c>
      <c r="D37" s="2" t="str">
        <f t="shared" si="11"/>
        <v>SO1</v>
      </c>
      <c r="E37" s="2" t="str">
        <f t="shared" si="11"/>
        <v>Revenue</v>
      </c>
      <c r="F37" s="19">
        <v>44.903777619387029</v>
      </c>
      <c r="G37" s="20">
        <v>2</v>
      </c>
      <c r="H37" s="20">
        <f t="shared" si="3"/>
        <v>1</v>
      </c>
      <c r="I37" s="20">
        <f t="shared" si="4"/>
        <v>0</v>
      </c>
    </row>
    <row r="38" spans="1:9" x14ac:dyDescent="0.3">
      <c r="A38" s="23">
        <f t="shared" si="1"/>
        <v>36</v>
      </c>
      <c r="B38" s="23" t="str">
        <f t="shared" ref="B38:E38" si="12">B26</f>
        <v>2024-10</v>
      </c>
      <c r="C38" s="2">
        <f t="shared" si="12"/>
        <v>45596</v>
      </c>
      <c r="D38" s="2" t="str">
        <f t="shared" si="12"/>
        <v>SO1</v>
      </c>
      <c r="E38" s="2" t="str">
        <f t="shared" si="12"/>
        <v>Revenue</v>
      </c>
      <c r="F38" s="19">
        <v>46.400570206699925</v>
      </c>
      <c r="G38" s="20">
        <v>2</v>
      </c>
      <c r="H38" s="20">
        <f t="shared" si="3"/>
        <v>1</v>
      </c>
      <c r="I38" s="20">
        <f t="shared" si="4"/>
        <v>0</v>
      </c>
    </row>
    <row r="39" spans="1:9" x14ac:dyDescent="0.3">
      <c r="A39" s="23">
        <f t="shared" si="1"/>
        <v>37</v>
      </c>
      <c r="B39" s="23" t="str">
        <f t="shared" ref="B39:E39" si="13">B27</f>
        <v>2024-11</v>
      </c>
      <c r="C39" s="2">
        <f t="shared" si="13"/>
        <v>45626</v>
      </c>
      <c r="D39" s="2" t="str">
        <f t="shared" si="13"/>
        <v>SO1</v>
      </c>
      <c r="E39" s="2" t="str">
        <f t="shared" si="13"/>
        <v>Revenue</v>
      </c>
      <c r="F39" s="19">
        <v>44.903777619387029</v>
      </c>
      <c r="G39" s="20">
        <v>2</v>
      </c>
      <c r="H39" s="20">
        <f t="shared" si="3"/>
        <v>1</v>
      </c>
      <c r="I39" s="20">
        <f t="shared" si="4"/>
        <v>0</v>
      </c>
    </row>
    <row r="40" spans="1:9" x14ac:dyDescent="0.3">
      <c r="A40" s="23">
        <f t="shared" si="1"/>
        <v>38</v>
      </c>
      <c r="B40" s="23" t="str">
        <f t="shared" ref="B40:E40" si="14">B28</f>
        <v>2024-12</v>
      </c>
      <c r="C40" s="2">
        <f t="shared" si="14"/>
        <v>45657</v>
      </c>
      <c r="D40" s="2" t="str">
        <f t="shared" si="14"/>
        <v>SO1</v>
      </c>
      <c r="E40" s="2" t="str">
        <f t="shared" si="14"/>
        <v>Revenue</v>
      </c>
      <c r="F40" s="19">
        <v>46.400570206699925</v>
      </c>
      <c r="G40" s="20">
        <v>2</v>
      </c>
      <c r="H40" s="20">
        <f t="shared" si="3"/>
        <v>1</v>
      </c>
      <c r="I40" s="20">
        <f t="shared" si="4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9B82-D91E-4A13-8821-683372D1F9BA}">
  <sheetPr>
    <tabColor rgb="FFFFFF00"/>
  </sheetPr>
  <dimension ref="A1:O6"/>
  <sheetViews>
    <sheetView workbookViewId="0"/>
  </sheetViews>
  <sheetFormatPr defaultRowHeight="14.4" x14ac:dyDescent="0.3"/>
  <cols>
    <col min="1" max="1" width="16.109375" bestFit="1" customWidth="1"/>
    <col min="2" max="2" width="12.21875" bestFit="1" customWidth="1"/>
    <col min="3" max="3" width="9.5546875" bestFit="1" customWidth="1"/>
    <col min="4" max="4" width="12" bestFit="1" customWidth="1"/>
    <col min="5" max="5" width="9.6640625" bestFit="1" customWidth="1"/>
    <col min="10" max="10" width="16" customWidth="1"/>
  </cols>
  <sheetData>
    <row r="1" spans="1:15" x14ac:dyDescent="0.3">
      <c r="A1" s="1" t="s">
        <v>7</v>
      </c>
    </row>
    <row r="2" spans="1:15" x14ac:dyDescent="0.3">
      <c r="A2" s="1" t="s">
        <v>57</v>
      </c>
      <c r="B2" s="1" t="s">
        <v>26</v>
      </c>
      <c r="C2" s="1" t="s">
        <v>72</v>
      </c>
      <c r="D2" s="1" t="s">
        <v>27</v>
      </c>
      <c r="E2" s="1" t="s">
        <v>62</v>
      </c>
      <c r="F2" s="1" t="s">
        <v>78</v>
      </c>
      <c r="G2" s="1" t="s">
        <v>43</v>
      </c>
      <c r="H2" s="1" t="s">
        <v>66</v>
      </c>
      <c r="I2" s="1" t="s">
        <v>68</v>
      </c>
      <c r="J2" s="1" t="s">
        <v>69</v>
      </c>
      <c r="K2" s="1" t="s">
        <v>73</v>
      </c>
      <c r="L2" s="1"/>
      <c r="M2" s="24"/>
      <c r="N2" s="24"/>
      <c r="O2" s="24"/>
    </row>
    <row r="3" spans="1:15" x14ac:dyDescent="0.3">
      <c r="A3" t="str">
        <f>A4</f>
        <v>2024-1</v>
      </c>
      <c r="B3" s="2">
        <f>InstrumentAttributeValue!A3</f>
        <v>45292</v>
      </c>
      <c r="C3">
        <f>InstrumentAttributeValue!B3</f>
        <v>1</v>
      </c>
      <c r="D3" t="str">
        <f>InstrumentAttributeValue!C3</f>
        <v>SO1</v>
      </c>
      <c r="E3">
        <v>111</v>
      </c>
      <c r="F3" s="2">
        <f>B5</f>
        <v>45292</v>
      </c>
      <c r="G3" s="2">
        <f>InstrumentAttributeValue!D3</f>
        <v>45292</v>
      </c>
      <c r="H3" s="2">
        <f>InstrumentAttributeValue!E3</f>
        <v>45657</v>
      </c>
      <c r="I3" t="str">
        <f>InstrumentAttributeValue!F3</f>
        <v>SaaS</v>
      </c>
      <c r="J3" t="str">
        <f>InstrumentAttributeValue!G3</f>
        <v>Ratable</v>
      </c>
      <c r="M3" s="19"/>
      <c r="N3" s="19"/>
    </row>
    <row r="4" spans="1:15" x14ac:dyDescent="0.3">
      <c r="A4" t="str">
        <f>'AccountingPeriod (3)'!G6</f>
        <v>2024-1</v>
      </c>
      <c r="B4" s="2">
        <f>InstrumentAttributeValue!A4</f>
        <v>45292</v>
      </c>
      <c r="C4">
        <f>InstrumentAttributeValue!B4</f>
        <v>2</v>
      </c>
      <c r="D4" t="str">
        <f>InstrumentAttributeValue!C4</f>
        <v>SO1</v>
      </c>
      <c r="E4">
        <v>222</v>
      </c>
      <c r="F4" s="2">
        <f>B6</f>
        <v>45292</v>
      </c>
      <c r="G4" s="2">
        <f>InstrumentAttributeValue!D4</f>
        <v>45292</v>
      </c>
      <c r="H4" s="2">
        <f>InstrumentAttributeValue!E4</f>
        <v>45657</v>
      </c>
      <c r="I4" t="str">
        <f>InstrumentAttributeValue!F4</f>
        <v>Training</v>
      </c>
      <c r="J4" t="str">
        <f>InstrumentAttributeValue!G4</f>
        <v>PointInTime</v>
      </c>
      <c r="M4" s="19"/>
      <c r="N4" s="19"/>
    </row>
    <row r="5" spans="1:15" x14ac:dyDescent="0.3">
      <c r="A5" t="str">
        <f>A3</f>
        <v>2024-1</v>
      </c>
      <c r="B5" s="2">
        <f>B4</f>
        <v>45292</v>
      </c>
      <c r="C5">
        <f>C3</f>
        <v>1</v>
      </c>
      <c r="D5" t="str">
        <f>D3</f>
        <v>SO1</v>
      </c>
      <c r="E5">
        <v>333</v>
      </c>
      <c r="G5" s="2">
        <f>G3</f>
        <v>45292</v>
      </c>
      <c r="H5" s="2">
        <f>H3</f>
        <v>45657</v>
      </c>
      <c r="I5" t="str">
        <f>I3</f>
        <v>SaaS</v>
      </c>
      <c r="J5" s="23" t="str">
        <f>J3</f>
        <v>Ratable</v>
      </c>
      <c r="K5" t="s">
        <v>201</v>
      </c>
    </row>
    <row r="6" spans="1:15" x14ac:dyDescent="0.3">
      <c r="A6" s="23" t="str">
        <f>A4</f>
        <v>2024-1</v>
      </c>
      <c r="B6" s="2">
        <f>B5</f>
        <v>45292</v>
      </c>
      <c r="C6">
        <f>C4</f>
        <v>2</v>
      </c>
      <c r="D6" t="str">
        <f>D5</f>
        <v>SO1</v>
      </c>
      <c r="E6">
        <v>444</v>
      </c>
      <c r="G6" s="2">
        <f>G4</f>
        <v>45292</v>
      </c>
      <c r="H6" s="2">
        <f>H4</f>
        <v>45657</v>
      </c>
      <c r="I6" s="23" t="str">
        <f>I4</f>
        <v>Training</v>
      </c>
      <c r="J6" s="23" t="str">
        <f>J4</f>
        <v>PointInTime</v>
      </c>
      <c r="K6" s="23" t="s">
        <v>201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24DE-8C41-4D6E-974F-B32075283A2E}">
  <sheetPr>
    <tabColor rgb="FFFFFF00"/>
  </sheetPr>
  <dimension ref="A1:E17"/>
  <sheetViews>
    <sheetView workbookViewId="0">
      <selection activeCell="D22" sqref="D22"/>
    </sheetView>
  </sheetViews>
  <sheetFormatPr defaultRowHeight="14.4" x14ac:dyDescent="0.3"/>
  <cols>
    <col min="1" max="1" width="34.6640625" style="23" customWidth="1"/>
    <col min="2" max="2" width="28.21875" style="23" customWidth="1"/>
    <col min="3" max="3" width="22.33203125" style="23" customWidth="1"/>
    <col min="4" max="4" width="23.5546875" style="23" customWidth="1"/>
    <col min="5" max="16384" width="8.88671875" style="23"/>
  </cols>
  <sheetData>
    <row r="1" spans="1:5" x14ac:dyDescent="0.3">
      <c r="A1" s="24" t="s">
        <v>7</v>
      </c>
    </row>
    <row r="2" spans="1:5" x14ac:dyDescent="0.3">
      <c r="A2" s="24" t="s">
        <v>57</v>
      </c>
      <c r="B2" s="24" t="s">
        <v>237</v>
      </c>
      <c r="C2" s="24" t="s">
        <v>239</v>
      </c>
      <c r="D2" s="24" t="s">
        <v>240</v>
      </c>
      <c r="E2" s="24" t="s">
        <v>241</v>
      </c>
    </row>
    <row r="3" spans="1:5" x14ac:dyDescent="0.3">
      <c r="A3" s="23" t="s">
        <v>48</v>
      </c>
      <c r="B3" s="2" t="str">
        <f>'TransactionHistory (1)'!D5</f>
        <v>SO1</v>
      </c>
      <c r="C3" s="23" t="str">
        <f>AccRules_Aggregation!D5</f>
        <v>Total Selling Price</v>
      </c>
      <c r="D3" s="19">
        <f>'TransactionHistory (1)'!F5+'TransactionHistory (1)'!F6</f>
        <v>1800</v>
      </c>
      <c r="E3" s="19">
        <f>D3</f>
        <v>1800</v>
      </c>
    </row>
    <row r="4" spans="1:5" x14ac:dyDescent="0.3">
      <c r="A4" s="23" t="s">
        <v>48</v>
      </c>
      <c r="B4" s="2" t="str">
        <f>'TransactionHistory (1)'!D6</f>
        <v>SO1</v>
      </c>
      <c r="C4" s="23" t="str">
        <f>AccRules_Aggregation!D6</f>
        <v>Total SSP</v>
      </c>
      <c r="D4" s="19">
        <f>'TransactionHistory (1)'!F7+'TransactionHistory (1)'!F8</f>
        <v>1380</v>
      </c>
      <c r="E4" s="19">
        <f>D4</f>
        <v>1380</v>
      </c>
    </row>
    <row r="5" spans="1:5" x14ac:dyDescent="0.3">
      <c r="A5" s="23" t="str">
        <f>A4</f>
        <v>2024-1</v>
      </c>
      <c r="B5" s="2" t="str">
        <f>B4</f>
        <v>SO1</v>
      </c>
      <c r="C5" s="23" t="str">
        <f>AccRules_Aggregation!D4</f>
        <v>Invoice &amp; Credits</v>
      </c>
      <c r="D5" s="19">
        <f>'TransactionHistory (1)'!F3+'TransactionHistory (1)'!F4</f>
        <v>1800</v>
      </c>
      <c r="E5" s="19">
        <f>D5</f>
        <v>1800</v>
      </c>
    </row>
    <row r="6" spans="1:5" x14ac:dyDescent="0.3">
      <c r="A6" s="23" t="str">
        <f>A5</f>
        <v>2024-1</v>
      </c>
      <c r="B6" s="2" t="str">
        <f>B5</f>
        <v>SO1</v>
      </c>
      <c r="C6" s="23" t="s">
        <v>101</v>
      </c>
      <c r="D6" s="19">
        <f>'TransactionHistory (3)'!F17+'TransactionHistory (3)'!F29</f>
        <v>152.45901639344262</v>
      </c>
      <c r="E6" s="19">
        <f>D6</f>
        <v>152.45901639344262</v>
      </c>
    </row>
    <row r="7" spans="1:5" x14ac:dyDescent="0.3">
      <c r="A7" s="23" t="str">
        <f t="shared" ref="A7:A17" si="0">A6</f>
        <v>2024-1</v>
      </c>
      <c r="B7" s="2" t="str">
        <f t="shared" ref="B7:B17" si="1">B6</f>
        <v>SO1</v>
      </c>
      <c r="C7" s="23" t="s">
        <v>101</v>
      </c>
      <c r="D7" s="19">
        <f>'TransactionHistory (3)'!F18+'TransactionHistory (3)'!F30</f>
        <v>142.62295081967213</v>
      </c>
      <c r="E7" s="19">
        <f>SUM($D$6:D7)</f>
        <v>295.08196721311475</v>
      </c>
    </row>
    <row r="8" spans="1:5" x14ac:dyDescent="0.3">
      <c r="A8" s="23" t="str">
        <f t="shared" si="0"/>
        <v>2024-1</v>
      </c>
      <c r="B8" s="2" t="str">
        <f t="shared" si="1"/>
        <v>SO1</v>
      </c>
      <c r="C8" s="23" t="s">
        <v>101</v>
      </c>
      <c r="D8" s="19">
        <f>'TransactionHistory (3)'!F19+'TransactionHistory (3)'!F31</f>
        <v>152.45901639344262</v>
      </c>
      <c r="E8" s="19">
        <f>SUM($D$6:D8)</f>
        <v>447.54098360655735</v>
      </c>
    </row>
    <row r="9" spans="1:5" x14ac:dyDescent="0.3">
      <c r="A9" s="23" t="str">
        <f t="shared" si="0"/>
        <v>2024-1</v>
      </c>
      <c r="B9" s="2" t="str">
        <f t="shared" si="1"/>
        <v>SO1</v>
      </c>
      <c r="C9" s="23" t="s">
        <v>101</v>
      </c>
      <c r="D9" s="19">
        <f>'TransactionHistory (3)'!F20+'TransactionHistory (3)'!F32</f>
        <v>147.54098360655738</v>
      </c>
      <c r="E9" s="19">
        <f>SUM($D$6:D9)</f>
        <v>595.08196721311469</v>
      </c>
    </row>
    <row r="10" spans="1:5" x14ac:dyDescent="0.3">
      <c r="A10" s="23" t="str">
        <f t="shared" si="0"/>
        <v>2024-1</v>
      </c>
      <c r="B10" s="2" t="str">
        <f t="shared" si="1"/>
        <v>SO1</v>
      </c>
      <c r="C10" s="23" t="s">
        <v>101</v>
      </c>
      <c r="D10" s="19">
        <f>'TransactionHistory (3)'!F21+'TransactionHistory (3)'!F33</f>
        <v>152.45901639344262</v>
      </c>
      <c r="E10" s="19">
        <f>SUM($D$6:D10)</f>
        <v>747.54098360655735</v>
      </c>
    </row>
    <row r="11" spans="1:5" x14ac:dyDescent="0.3">
      <c r="A11" s="23" t="str">
        <f t="shared" si="0"/>
        <v>2024-1</v>
      </c>
      <c r="B11" s="2" t="str">
        <f t="shared" si="1"/>
        <v>SO1</v>
      </c>
      <c r="C11" s="23" t="s">
        <v>101</v>
      </c>
      <c r="D11" s="19">
        <f>'TransactionHistory (3)'!F22+'TransactionHistory (3)'!F34</f>
        <v>147.54098360655738</v>
      </c>
      <c r="E11" s="19">
        <f>SUM($D$6:D11)</f>
        <v>895.08196721311469</v>
      </c>
    </row>
    <row r="12" spans="1:5" x14ac:dyDescent="0.3">
      <c r="A12" s="23" t="str">
        <f t="shared" si="0"/>
        <v>2024-1</v>
      </c>
      <c r="B12" s="2" t="str">
        <f t="shared" si="1"/>
        <v>SO1</v>
      </c>
      <c r="C12" s="23" t="s">
        <v>101</v>
      </c>
      <c r="D12" s="19">
        <f>'TransactionHistory (3)'!F23+'TransactionHistory (3)'!F35</f>
        <v>152.45901639344262</v>
      </c>
      <c r="E12" s="19">
        <f>SUM($D$6:D12)</f>
        <v>1047.5409836065573</v>
      </c>
    </row>
    <row r="13" spans="1:5" x14ac:dyDescent="0.3">
      <c r="A13" s="23" t="str">
        <f t="shared" si="0"/>
        <v>2024-1</v>
      </c>
      <c r="B13" s="2" t="str">
        <f t="shared" si="1"/>
        <v>SO1</v>
      </c>
      <c r="C13" s="23" t="s">
        <v>101</v>
      </c>
      <c r="D13" s="19">
        <f>'TransactionHistory (3)'!F24+'TransactionHistory (3)'!F36</f>
        <v>152.45901639344262</v>
      </c>
      <c r="E13" s="19">
        <f>SUM($D$6:D13)</f>
        <v>1200</v>
      </c>
    </row>
    <row r="14" spans="1:5" x14ac:dyDescent="0.3">
      <c r="A14" s="23" t="str">
        <f t="shared" si="0"/>
        <v>2024-1</v>
      </c>
      <c r="B14" s="2" t="str">
        <f t="shared" si="1"/>
        <v>SO1</v>
      </c>
      <c r="C14" s="23" t="s">
        <v>101</v>
      </c>
      <c r="D14" s="19">
        <f>'TransactionHistory (3)'!F25+'TransactionHistory (3)'!F37</f>
        <v>147.54098360655738</v>
      </c>
      <c r="E14" s="19">
        <f>SUM($D$6:D14)</f>
        <v>1347.5409836065573</v>
      </c>
    </row>
    <row r="15" spans="1:5" x14ac:dyDescent="0.3">
      <c r="A15" s="23" t="str">
        <f t="shared" si="0"/>
        <v>2024-1</v>
      </c>
      <c r="B15" s="2" t="str">
        <f t="shared" si="1"/>
        <v>SO1</v>
      </c>
      <c r="C15" s="23" t="s">
        <v>101</v>
      </c>
      <c r="D15" s="19">
        <f>'TransactionHistory (3)'!F26+'TransactionHistory (3)'!F38</f>
        <v>152.45901639344262</v>
      </c>
      <c r="E15" s="19">
        <f>SUM($D$6:D15)</f>
        <v>1500</v>
      </c>
    </row>
    <row r="16" spans="1:5" x14ac:dyDescent="0.3">
      <c r="A16" s="23" t="str">
        <f t="shared" si="0"/>
        <v>2024-1</v>
      </c>
      <c r="B16" s="2" t="str">
        <f t="shared" si="1"/>
        <v>SO1</v>
      </c>
      <c r="C16" s="23" t="s">
        <v>101</v>
      </c>
      <c r="D16" s="19">
        <f>'TransactionHistory (3)'!F27+'TransactionHistory (3)'!F39</f>
        <v>147.54098360655738</v>
      </c>
      <c r="E16" s="19">
        <f>SUM($D$6:D16)</f>
        <v>1647.5409836065573</v>
      </c>
    </row>
    <row r="17" spans="1:5" x14ac:dyDescent="0.3">
      <c r="A17" s="23" t="str">
        <f t="shared" si="0"/>
        <v>2024-1</v>
      </c>
      <c r="B17" s="2" t="str">
        <f t="shared" si="1"/>
        <v>SO1</v>
      </c>
      <c r="C17" s="23" t="s">
        <v>101</v>
      </c>
      <c r="D17" s="19">
        <f>'TransactionHistory (3)'!F28+'TransactionHistory (3)'!F40</f>
        <v>152.45901639344262</v>
      </c>
      <c r="E17" s="19">
        <f>SUM($D$6:D17)</f>
        <v>1800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30C-8B3A-41FB-AFF7-E592C86C98DE}">
  <sheetPr>
    <tabColor rgb="FFFFFF00"/>
  </sheetPr>
  <dimension ref="A1:L11"/>
  <sheetViews>
    <sheetView tabSelected="1" topLeftCell="C8" workbookViewId="0">
      <selection activeCell="K10" sqref="K10"/>
    </sheetView>
  </sheetViews>
  <sheetFormatPr defaultRowHeight="14.4" x14ac:dyDescent="0.3"/>
  <cols>
    <col min="1" max="2" width="22.33203125" customWidth="1"/>
    <col min="3" max="3" width="21.77734375" customWidth="1"/>
    <col min="4" max="5" width="28" customWidth="1"/>
    <col min="6" max="6" width="28.5546875" customWidth="1"/>
    <col min="7" max="8" width="23.6640625" customWidth="1"/>
    <col min="9" max="9" width="9.5546875" bestFit="1" customWidth="1"/>
    <col min="10" max="10" width="10.21875" bestFit="1" customWidth="1"/>
  </cols>
  <sheetData>
    <row r="1" spans="1:12" x14ac:dyDescent="0.3">
      <c r="A1" s="1" t="s">
        <v>7</v>
      </c>
    </row>
    <row r="2" spans="1:12" x14ac:dyDescent="0.3">
      <c r="A2" s="1" t="s">
        <v>49</v>
      </c>
      <c r="B2" s="1" t="s">
        <v>57</v>
      </c>
      <c r="C2" s="1" t="s">
        <v>27</v>
      </c>
      <c r="D2" s="1" t="s">
        <v>28</v>
      </c>
      <c r="E2" s="1" t="s">
        <v>34</v>
      </c>
      <c r="F2" s="3" t="s">
        <v>31</v>
      </c>
      <c r="G2" s="3" t="s">
        <v>32</v>
      </c>
      <c r="H2" s="3" t="s">
        <v>33</v>
      </c>
      <c r="I2" s="3" t="s">
        <v>13</v>
      </c>
      <c r="J2" s="3" t="s">
        <v>14</v>
      </c>
      <c r="K2" s="3" t="s">
        <v>211</v>
      </c>
      <c r="L2" s="3" t="s">
        <v>61</v>
      </c>
    </row>
    <row r="3" spans="1:12" x14ac:dyDescent="0.3">
      <c r="A3" s="2">
        <f>'TransactionHistory (3)'!C3</f>
        <v>45292</v>
      </c>
      <c r="B3" s="2" t="s">
        <v>48</v>
      </c>
      <c r="C3" t="str">
        <f>TransactionInput!B3</f>
        <v>SO1</v>
      </c>
      <c r="D3" t="str">
        <f>TransactionInput!C3</f>
        <v>Billing</v>
      </c>
      <c r="E3">
        <v>4000</v>
      </c>
      <c r="F3" t="str">
        <f>VLOOKUP(E3,Acc_ChartOfAccount!$A$3:$B$8,2,FALSE)</f>
        <v>Account Rec</v>
      </c>
      <c r="G3" t="str">
        <f>VLOOKUP(H3,AccRules_AccountType!$B$3:$C$5,2,FALSE)</f>
        <v>Balance Sheet</v>
      </c>
      <c r="H3" t="str">
        <f>VLOOKUP(D3,'Acc_Subledger Account Mappings'!$B$4:$E$7,4,FALSE)</f>
        <v>A/R</v>
      </c>
      <c r="I3" s="19">
        <f>'TransactionHistory (3)'!F3</f>
        <v>1200</v>
      </c>
      <c r="K3" t="s">
        <v>201</v>
      </c>
    </row>
    <row r="4" spans="1:12" x14ac:dyDescent="0.3">
      <c r="A4" s="2">
        <f>A3</f>
        <v>45292</v>
      </c>
      <c r="B4" s="2" t="s">
        <v>48</v>
      </c>
      <c r="C4" t="str">
        <f>C3</f>
        <v>SO1</v>
      </c>
      <c r="D4" t="str">
        <f>TransactionInput!C3</f>
        <v>Billing</v>
      </c>
      <c r="E4">
        <v>6000</v>
      </c>
      <c r="F4" t="str">
        <f>VLOOKUP(E4,Acc_ChartOfAccount!$A$3:$B$8,2,FALSE)</f>
        <v>Deferred Revenue</v>
      </c>
      <c r="G4" t="str">
        <f>VLOOKUP(H4,AccRules_AccountType!$B$3:$C$5,2,FALSE)</f>
        <v>Balance Sheet</v>
      </c>
      <c r="H4" t="str">
        <f>Acc_ChartOfAccount!C7</f>
        <v>Deferred Revenue</v>
      </c>
      <c r="J4" s="19">
        <f>-I3</f>
        <v>-1200</v>
      </c>
      <c r="K4" s="23" t="s">
        <v>201</v>
      </c>
    </row>
    <row r="5" spans="1:12" x14ac:dyDescent="0.3">
      <c r="A5" s="2">
        <f>'TransactionHistory (3)'!C17</f>
        <v>45322</v>
      </c>
      <c r="B5" s="2" t="s">
        <v>48</v>
      </c>
      <c r="C5" t="str">
        <f>C4</f>
        <v>SO1</v>
      </c>
      <c r="D5" s="2" t="str">
        <f>'TransactionHistory (3)'!E17</f>
        <v>Revenue</v>
      </c>
      <c r="E5">
        <v>6000</v>
      </c>
      <c r="F5" t="str">
        <f>VLOOKUP(E5,Acc_ChartOfAccount!$A$3:$B$8,2,FALSE)</f>
        <v>Deferred Revenue</v>
      </c>
      <c r="G5" t="str">
        <f>VLOOKUP(H5,AccRules_AccountType!$B$3:$C$5,2,FALSE)</f>
        <v>Balance Sheet</v>
      </c>
      <c r="H5" t="str">
        <f>Acc_ChartOfAccount!C7</f>
        <v>Deferred Revenue</v>
      </c>
      <c r="I5" s="19">
        <f>'TransactionHistory (3)'!F26</f>
        <v>106.0584461867427</v>
      </c>
      <c r="K5" s="23" t="s">
        <v>201</v>
      </c>
    </row>
    <row r="6" spans="1:12" x14ac:dyDescent="0.3">
      <c r="A6" s="2">
        <f t="shared" ref="A6:A10" si="0">A5</f>
        <v>45322</v>
      </c>
      <c r="B6" s="2" t="s">
        <v>48</v>
      </c>
      <c r="C6" t="str">
        <f>C5</f>
        <v>SO1</v>
      </c>
      <c r="D6" t="str">
        <f>D5</f>
        <v>Revenue</v>
      </c>
      <c r="E6">
        <v>2000</v>
      </c>
      <c r="F6" t="str">
        <f>VLOOKUP(E6,Acc_ChartOfAccount!$A$3:$B$8,2,FALSE)</f>
        <v>Revenue</v>
      </c>
      <c r="G6" t="str">
        <f>VLOOKUP(H6,AccRules_AccountType!$B$3:$C$5,2,FALSE)</f>
        <v>Income Statement</v>
      </c>
      <c r="H6" t="str">
        <f>Acc_ChartOfAccount!C3</f>
        <v>Revenue</v>
      </c>
      <c r="J6">
        <f>-I5</f>
        <v>-106.0584461867427</v>
      </c>
      <c r="K6" s="23" t="s">
        <v>201</v>
      </c>
    </row>
    <row r="7" spans="1:12" x14ac:dyDescent="0.3">
      <c r="A7" s="2">
        <f>A4</f>
        <v>45292</v>
      </c>
      <c r="B7" s="2" t="s">
        <v>48</v>
      </c>
      <c r="C7" t="str">
        <f t="shared" ref="C7:C10" si="1">C6</f>
        <v>SO1</v>
      </c>
      <c r="D7" t="str">
        <f>D3</f>
        <v>Billing</v>
      </c>
      <c r="E7" s="23">
        <v>4000</v>
      </c>
      <c r="F7" t="str">
        <f>VLOOKUP(E7,Acc_ChartOfAccount!$A$3:$B$8,2,FALSE)</f>
        <v>Account Rec</v>
      </c>
      <c r="G7" t="str">
        <f>VLOOKUP(H7,AccRules_AccountType!$B$3:$C$5,2,FALSE)</f>
        <v>Balance Sheet</v>
      </c>
      <c r="H7" t="str">
        <f>H3</f>
        <v>A/R</v>
      </c>
      <c r="I7" s="19">
        <f>'TransactionHistory (3)'!F4</f>
        <v>600</v>
      </c>
      <c r="K7" s="23" t="s">
        <v>201</v>
      </c>
    </row>
    <row r="8" spans="1:12" x14ac:dyDescent="0.3">
      <c r="A8" s="2">
        <f>A7</f>
        <v>45292</v>
      </c>
      <c r="B8" s="2" t="s">
        <v>48</v>
      </c>
      <c r="C8" t="str">
        <f t="shared" si="1"/>
        <v>SO1</v>
      </c>
      <c r="D8" t="str">
        <f t="shared" ref="D8:D10" si="2">D4</f>
        <v>Billing</v>
      </c>
      <c r="E8" s="23">
        <v>6000</v>
      </c>
      <c r="F8" t="str">
        <f>VLOOKUP(E8,Acc_ChartOfAccount!$A$3:$B$8,2,FALSE)</f>
        <v>Deferred Revenue</v>
      </c>
      <c r="G8" t="str">
        <f>VLOOKUP(H8,AccRules_AccountType!$B$3:$C$5,2,FALSE)</f>
        <v>Balance Sheet</v>
      </c>
      <c r="H8" t="str">
        <f t="shared" ref="H8:H10" si="3">H4</f>
        <v>Deferred Revenue</v>
      </c>
      <c r="J8">
        <f>-I7</f>
        <v>-600</v>
      </c>
      <c r="K8" s="23" t="s">
        <v>201</v>
      </c>
    </row>
    <row r="9" spans="1:12" x14ac:dyDescent="0.3">
      <c r="A9" s="2">
        <f>A5</f>
        <v>45322</v>
      </c>
      <c r="B9" s="2" t="s">
        <v>48</v>
      </c>
      <c r="C9" t="str">
        <f t="shared" si="1"/>
        <v>SO1</v>
      </c>
      <c r="D9" t="str">
        <f t="shared" si="2"/>
        <v>Revenue</v>
      </c>
      <c r="E9" s="23">
        <v>6000</v>
      </c>
      <c r="F9" t="str">
        <f>VLOOKUP(E9,Acc_ChartOfAccount!$A$3:$B$8,2,FALSE)</f>
        <v>Deferred Revenue</v>
      </c>
      <c r="G9" t="str">
        <f>VLOOKUP(H9,AccRules_AccountType!$B$3:$C$5,2,FALSE)</f>
        <v>Balance Sheet</v>
      </c>
      <c r="H9" t="str">
        <f t="shared" si="3"/>
        <v>Deferred Revenue</v>
      </c>
      <c r="I9" s="19">
        <f>'TransactionHistory (3)'!F29</f>
        <v>46.400570206699925</v>
      </c>
      <c r="J9" s="19"/>
      <c r="K9" s="23" t="s">
        <v>201</v>
      </c>
    </row>
    <row r="10" spans="1:12" x14ac:dyDescent="0.3">
      <c r="A10" s="2">
        <f t="shared" si="0"/>
        <v>45322</v>
      </c>
      <c r="B10" s="2" t="s">
        <v>48</v>
      </c>
      <c r="C10" t="str">
        <f t="shared" si="1"/>
        <v>SO1</v>
      </c>
      <c r="D10" t="str">
        <f t="shared" si="2"/>
        <v>Revenue</v>
      </c>
      <c r="E10" s="23">
        <v>2000</v>
      </c>
      <c r="F10" t="str">
        <f>VLOOKUP(E10,Acc_ChartOfAccount!$A$3:$B$8,2,FALSE)</f>
        <v>Revenue</v>
      </c>
      <c r="G10" t="str">
        <f>VLOOKUP(H10,AccRules_AccountType!$B$3:$C$5,2,FALSE)</f>
        <v>Income Statement</v>
      </c>
      <c r="H10" t="str">
        <f t="shared" si="3"/>
        <v>Revenue</v>
      </c>
      <c r="I10" s="19"/>
      <c r="J10" s="19">
        <f>-I9</f>
        <v>-46.400570206699925</v>
      </c>
      <c r="K10" s="23" t="s">
        <v>201</v>
      </c>
    </row>
    <row r="11" spans="1:12" ht="3.6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10"/>
    </row>
  </sheetData>
  <mergeCells count="1">
    <mergeCell ref="A11:J1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DC67-B02D-4578-BEFF-1E63375ED425}">
  <sheetPr>
    <tabColor rgb="FFFFFF00"/>
  </sheetPr>
  <dimension ref="A1:F15"/>
  <sheetViews>
    <sheetView workbookViewId="0">
      <selection activeCell="B28" sqref="B28"/>
    </sheetView>
  </sheetViews>
  <sheetFormatPr defaultRowHeight="14.4" x14ac:dyDescent="0.3"/>
  <cols>
    <col min="1" max="1" width="57.6640625" customWidth="1"/>
    <col min="2" max="2" width="27" customWidth="1"/>
    <col min="3" max="3" width="29" customWidth="1"/>
    <col min="4" max="4" width="34.6640625" customWidth="1"/>
  </cols>
  <sheetData>
    <row r="1" spans="1:6" x14ac:dyDescent="0.3">
      <c r="A1" s="1" t="s">
        <v>7</v>
      </c>
    </row>
    <row r="2" spans="1:6" x14ac:dyDescent="0.3">
      <c r="A2" t="s">
        <v>39</v>
      </c>
      <c r="B2" s="1" t="s">
        <v>8</v>
      </c>
      <c r="C2" s="1" t="s">
        <v>5</v>
      </c>
      <c r="D2" s="1" t="s">
        <v>9</v>
      </c>
      <c r="E2" s="1" t="s">
        <v>18</v>
      </c>
      <c r="F2" s="1" t="s">
        <v>10</v>
      </c>
    </row>
    <row r="3" spans="1:6" x14ac:dyDescent="0.3">
      <c r="A3" t="str">
        <f>CONCATENATE(C3,F3,E3)</f>
        <v>Revenueamount&gt;1Dr</v>
      </c>
      <c r="B3">
        <v>1</v>
      </c>
      <c r="C3" t="s">
        <v>3</v>
      </c>
      <c r="D3" t="s">
        <v>11</v>
      </c>
      <c r="E3" t="s">
        <v>13</v>
      </c>
      <c r="F3" t="s">
        <v>40</v>
      </c>
    </row>
    <row r="4" spans="1:6" x14ac:dyDescent="0.3">
      <c r="A4" t="str">
        <f t="shared" ref="A4:A14" si="0">CONCATENATE(C4,F4,E4)</f>
        <v>Revenueamount&gt;1Cr</v>
      </c>
      <c r="B4">
        <v>2</v>
      </c>
      <c r="C4" s="8" t="s">
        <v>3</v>
      </c>
      <c r="D4" s="8" t="s">
        <v>11</v>
      </c>
      <c r="E4" s="8" t="s">
        <v>14</v>
      </c>
      <c r="F4" t="s">
        <v>40</v>
      </c>
    </row>
    <row r="5" spans="1:6" x14ac:dyDescent="0.3">
      <c r="A5" t="str">
        <f t="shared" si="0"/>
        <v>Revenueamount&lt;1Dr</v>
      </c>
      <c r="B5">
        <v>3</v>
      </c>
      <c r="C5" s="8" t="s">
        <v>3</v>
      </c>
      <c r="D5" s="8" t="s">
        <v>12</v>
      </c>
      <c r="E5" s="8" t="s">
        <v>13</v>
      </c>
      <c r="F5" t="s">
        <v>41</v>
      </c>
    </row>
    <row r="6" spans="1:6" x14ac:dyDescent="0.3">
      <c r="A6" t="str">
        <f t="shared" si="0"/>
        <v>Revenueamount&lt;1Cr</v>
      </c>
      <c r="B6">
        <v>4</v>
      </c>
      <c r="C6" t="s">
        <v>3</v>
      </c>
      <c r="D6" t="s">
        <v>12</v>
      </c>
      <c r="E6" t="s">
        <v>14</v>
      </c>
      <c r="F6" t="s">
        <v>41</v>
      </c>
    </row>
    <row r="7" spans="1:6" x14ac:dyDescent="0.3">
      <c r="A7" t="str">
        <f t="shared" si="0"/>
        <v>Deferred Revenueamount&gt;1Dr</v>
      </c>
      <c r="B7">
        <v>5</v>
      </c>
      <c r="C7" t="s">
        <v>6</v>
      </c>
      <c r="D7" t="s">
        <v>11</v>
      </c>
      <c r="E7" t="s">
        <v>13</v>
      </c>
      <c r="F7" t="s">
        <v>40</v>
      </c>
    </row>
    <row r="8" spans="1:6" x14ac:dyDescent="0.3">
      <c r="A8" t="str">
        <f t="shared" si="0"/>
        <v>Deferred Revenueamount&gt;1Cr</v>
      </c>
      <c r="B8">
        <v>6</v>
      </c>
      <c r="C8" t="s">
        <v>6</v>
      </c>
      <c r="D8" t="s">
        <v>11</v>
      </c>
      <c r="E8" t="s">
        <v>14</v>
      </c>
      <c r="F8" t="s">
        <v>40</v>
      </c>
    </row>
    <row r="9" spans="1:6" x14ac:dyDescent="0.3">
      <c r="A9" t="str">
        <f t="shared" si="0"/>
        <v>Deferred Revenueamount&lt;1Dr</v>
      </c>
      <c r="B9">
        <v>7</v>
      </c>
      <c r="C9" t="s">
        <v>6</v>
      </c>
      <c r="D9" t="s">
        <v>12</v>
      </c>
      <c r="E9" t="s">
        <v>13</v>
      </c>
      <c r="F9" t="s">
        <v>41</v>
      </c>
    </row>
    <row r="10" spans="1:6" x14ac:dyDescent="0.3">
      <c r="A10" t="str">
        <f t="shared" si="0"/>
        <v>Deferred Revenueamount&lt;1Cr</v>
      </c>
      <c r="B10">
        <v>8</v>
      </c>
      <c r="C10" t="s">
        <v>6</v>
      </c>
      <c r="D10" t="s">
        <v>12</v>
      </c>
      <c r="E10" t="s">
        <v>14</v>
      </c>
      <c r="F10" t="s">
        <v>41</v>
      </c>
    </row>
    <row r="11" spans="1:6" x14ac:dyDescent="0.3">
      <c r="A11" t="str">
        <f t="shared" si="0"/>
        <v>A/Ramount&gt;1Dr</v>
      </c>
      <c r="B11">
        <v>9</v>
      </c>
      <c r="C11" t="s">
        <v>20</v>
      </c>
      <c r="D11" t="s">
        <v>11</v>
      </c>
      <c r="E11" t="s">
        <v>13</v>
      </c>
      <c r="F11" t="s">
        <v>40</v>
      </c>
    </row>
    <row r="12" spans="1:6" x14ac:dyDescent="0.3">
      <c r="A12" t="str">
        <f t="shared" si="0"/>
        <v>A/Ramount&gt;1Cr</v>
      </c>
      <c r="B12">
        <v>10</v>
      </c>
      <c r="C12" t="s">
        <v>20</v>
      </c>
      <c r="D12" t="s">
        <v>11</v>
      </c>
      <c r="E12" t="s">
        <v>14</v>
      </c>
      <c r="F12" t="s">
        <v>40</v>
      </c>
    </row>
    <row r="13" spans="1:6" x14ac:dyDescent="0.3">
      <c r="A13" t="str">
        <f t="shared" si="0"/>
        <v>A/Ramount&lt;1Dr</v>
      </c>
      <c r="B13">
        <v>11</v>
      </c>
      <c r="C13" t="s">
        <v>20</v>
      </c>
      <c r="D13" t="s">
        <v>12</v>
      </c>
      <c r="E13" t="s">
        <v>13</v>
      </c>
      <c r="F13" t="s">
        <v>41</v>
      </c>
    </row>
    <row r="14" spans="1:6" x14ac:dyDescent="0.3">
      <c r="A14" t="str">
        <f t="shared" si="0"/>
        <v>A/Ramount&lt;1Cr</v>
      </c>
      <c r="B14">
        <v>12</v>
      </c>
      <c r="C14" t="s">
        <v>20</v>
      </c>
      <c r="D14" t="s">
        <v>12</v>
      </c>
      <c r="E14" t="s">
        <v>14</v>
      </c>
      <c r="F14" t="s">
        <v>41</v>
      </c>
    </row>
    <row r="15" spans="1:6" x14ac:dyDescent="0.3">
      <c r="A15" t="str">
        <f t="shared" ref="A15" si="1">CONCATENATE(C15,D15,E15)</f>
        <v/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EF22-30EE-4777-AFD6-6D6C58F7AD40}">
  <sheetPr>
    <tabColor rgb="FFFFFF00"/>
  </sheetPr>
  <dimension ref="A1:E20"/>
  <sheetViews>
    <sheetView workbookViewId="0">
      <selection activeCell="F20" sqref="F20"/>
    </sheetView>
  </sheetViews>
  <sheetFormatPr defaultRowHeight="14.4" x14ac:dyDescent="0.3"/>
  <cols>
    <col min="1" max="1" width="20" customWidth="1"/>
    <col min="2" max="2" width="24.5546875" customWidth="1"/>
    <col min="3" max="3" width="27.33203125" customWidth="1"/>
  </cols>
  <sheetData>
    <row r="1" spans="1:5" x14ac:dyDescent="0.3">
      <c r="A1" s="1" t="s">
        <v>7</v>
      </c>
    </row>
    <row r="2" spans="1:5" x14ac:dyDescent="0.3">
      <c r="A2" s="1" t="s">
        <v>35</v>
      </c>
    </row>
    <row r="3" spans="1:5" x14ac:dyDescent="0.3">
      <c r="A3" s="1" t="s">
        <v>34</v>
      </c>
      <c r="B3" s="3" t="s">
        <v>31</v>
      </c>
      <c r="C3" s="3" t="s">
        <v>33</v>
      </c>
      <c r="D3" s="1" t="s">
        <v>13</v>
      </c>
      <c r="E3" s="1" t="s">
        <v>14</v>
      </c>
    </row>
    <row r="4" spans="1:5" x14ac:dyDescent="0.3">
      <c r="A4">
        <f>Acc_ChartOfAccount!A3</f>
        <v>1000</v>
      </c>
      <c r="B4" t="str">
        <f>VLOOKUP(A4,Acc_ChartOfAccount!A3:$C$8,2,FALSE)</f>
        <v>Revenue</v>
      </c>
      <c r="C4" t="str">
        <f>VLOOKUP(A4,Acc_ChartOfAccount!A3:$C$8,3,FALSE)</f>
        <v>Revenue</v>
      </c>
      <c r="D4">
        <f ca="1">SUMIF(GLEntry!$E$3:$I$11,TrialBalance!A4,GLEntry!$I$3:$I$11)</f>
        <v>0</v>
      </c>
      <c r="E4">
        <f ca="1">SUMIF(GLEntry!$E$3:$J$11,TrialBalance!A4,GLEntry!$J$3:$J$11)</f>
        <v>0</v>
      </c>
    </row>
    <row r="5" spans="1:5" x14ac:dyDescent="0.3">
      <c r="A5">
        <f>Acc_ChartOfAccount!A4</f>
        <v>2000</v>
      </c>
      <c r="B5" t="str">
        <f>VLOOKUP(A5,Acc_ChartOfAccount!A4:$C$8,2,FALSE)</f>
        <v>Revenue</v>
      </c>
      <c r="C5" t="str">
        <f>VLOOKUP(A5,Acc_ChartOfAccount!A4:$C$8,3,FALSE)</f>
        <v>Revenue</v>
      </c>
      <c r="D5">
        <f ca="1">SUMIF(GLEntry!$E$3:$I$11,TrialBalance!A5,GLEntry!$I$3:$I$11)</f>
        <v>0</v>
      </c>
      <c r="E5">
        <f ca="1">SUMIF(GLEntry!$E$3:$J$11,TrialBalance!A5,GLEntry!$J$3:$J$11)</f>
        <v>-152.45901639344262</v>
      </c>
    </row>
    <row r="6" spans="1:5" x14ac:dyDescent="0.3">
      <c r="A6">
        <f>Acc_ChartOfAccount!A5</f>
        <v>3000</v>
      </c>
      <c r="B6" t="str">
        <f>VLOOKUP(A6,Acc_ChartOfAccount!A5:$C$8,2,FALSE)</f>
        <v>Account Rec</v>
      </c>
      <c r="C6" t="str">
        <f>VLOOKUP(A6,Acc_ChartOfAccount!A5:$C$8,3,FALSE)</f>
        <v>A/R</v>
      </c>
      <c r="D6">
        <f ca="1">SUMIF(GLEntry!$E$3:$I$11,TrialBalance!A6,GLEntry!$I$3:$I$11)</f>
        <v>0</v>
      </c>
      <c r="E6">
        <f ca="1">SUMIF(GLEntry!$E$3:$J$11,TrialBalance!A6,GLEntry!$J$3:$J$11)</f>
        <v>0</v>
      </c>
    </row>
    <row r="7" spans="1:5" x14ac:dyDescent="0.3">
      <c r="A7">
        <f>Acc_ChartOfAccount!A6</f>
        <v>4000</v>
      </c>
      <c r="B7" t="str">
        <f>VLOOKUP(A7,Acc_ChartOfAccount!A6:$C$8,2,FALSE)</f>
        <v>Account Rec</v>
      </c>
      <c r="C7" t="str">
        <f>VLOOKUP(A7,Acc_ChartOfAccount!A6:$C$8,3,FALSE)</f>
        <v>A/R</v>
      </c>
      <c r="D7">
        <f ca="1">SUMIF(GLEntry!$E$3:$I$11,TrialBalance!A7,GLEntry!$I$3:$I$11)</f>
        <v>1800</v>
      </c>
      <c r="E7">
        <f ca="1">SUMIF(GLEntry!$E$3:$J$11,TrialBalance!A7,GLEntry!$J$3:$J$11)</f>
        <v>0</v>
      </c>
    </row>
    <row r="8" spans="1:5" x14ac:dyDescent="0.3">
      <c r="A8">
        <f>Acc_ChartOfAccount!A7</f>
        <v>5000</v>
      </c>
      <c r="B8" t="str">
        <f>VLOOKUP(A8,Acc_ChartOfAccount!A7:$C$8,2,FALSE)</f>
        <v>Unbilled Receivable</v>
      </c>
      <c r="C8" t="str">
        <f>VLOOKUP(A8,Acc_ChartOfAccount!A7:$C$8,3,FALSE)</f>
        <v>Deferred Revenue</v>
      </c>
      <c r="D8">
        <f ca="1">SUMIF(GLEntry!$E$3:$I$11,TrialBalance!A8,GLEntry!$I$3:$I$11)</f>
        <v>0</v>
      </c>
      <c r="E8">
        <f ca="1">SUMIF(GLEntry!$E$3:$J$11,TrialBalance!A8,GLEntry!$J$3:$J$11)</f>
        <v>0</v>
      </c>
    </row>
    <row r="9" spans="1:5" x14ac:dyDescent="0.3">
      <c r="A9">
        <f>Acc_ChartOfAccount!A8</f>
        <v>6000</v>
      </c>
      <c r="B9" t="str">
        <f>VLOOKUP(A9,Acc_ChartOfAccount!A8:$C$8,2,FALSE)</f>
        <v>Deferred Revenue</v>
      </c>
      <c r="C9" t="str">
        <f>VLOOKUP(A9,Acc_ChartOfAccount!A8:$C$8,3,FALSE)</f>
        <v>Deferred Revenue</v>
      </c>
      <c r="D9">
        <f ca="1">SUMIF(GLEntry!$E$3:$I$11,TrialBalance!A9,GLEntry!$I$3:$I$11)</f>
        <v>152.45901639344262</v>
      </c>
      <c r="E9">
        <f ca="1">SUMIF(GLEntry!$E$3:$J$11,TrialBalance!A9,GLEntry!$J$3:$J$11)</f>
        <v>-1800</v>
      </c>
    </row>
    <row r="10" spans="1:5" x14ac:dyDescent="0.3">
      <c r="D10" s="1">
        <f ca="1">SUM(D4:D9)</f>
        <v>1952.4590163934427</v>
      </c>
      <c r="E10" s="1">
        <f ca="1">SUM(E4:E9)</f>
        <v>-1952.4590163934427</v>
      </c>
    </row>
    <row r="13" spans="1:5" x14ac:dyDescent="0.3">
      <c r="A13" s="1" t="s">
        <v>36</v>
      </c>
    </row>
    <row r="14" spans="1:5" x14ac:dyDescent="0.3">
      <c r="A14" s="1" t="s">
        <v>34</v>
      </c>
      <c r="B14" s="3" t="s">
        <v>31</v>
      </c>
      <c r="C14" s="3" t="s">
        <v>33</v>
      </c>
      <c r="D14" s="1" t="s">
        <v>37</v>
      </c>
    </row>
    <row r="15" spans="1:5" x14ac:dyDescent="0.3">
      <c r="A15">
        <f>A4</f>
        <v>1000</v>
      </c>
      <c r="B15" t="str">
        <f t="shared" ref="B15:C15" si="0">B4</f>
        <v>Revenue</v>
      </c>
      <c r="C15" t="str">
        <f t="shared" si="0"/>
        <v>Revenue</v>
      </c>
      <c r="D15">
        <f ca="1">ABS(D4+E4)</f>
        <v>0</v>
      </c>
    </row>
    <row r="16" spans="1:5" x14ac:dyDescent="0.3">
      <c r="A16">
        <f>A5</f>
        <v>2000</v>
      </c>
      <c r="B16" t="str">
        <f>B5</f>
        <v>Revenue</v>
      </c>
      <c r="C16" t="str">
        <f>C5</f>
        <v>Revenue</v>
      </c>
      <c r="D16">
        <f t="shared" ref="D16:D20" ca="1" si="1">ABS(D5+E5)</f>
        <v>152.45901639344262</v>
      </c>
    </row>
    <row r="17" spans="1:4" x14ac:dyDescent="0.3">
      <c r="A17">
        <f>A6</f>
        <v>3000</v>
      </c>
      <c r="B17" t="str">
        <f>B6</f>
        <v>Account Rec</v>
      </c>
      <c r="C17" t="str">
        <f>C6</f>
        <v>A/R</v>
      </c>
      <c r="D17">
        <f t="shared" ca="1" si="1"/>
        <v>0</v>
      </c>
    </row>
    <row r="18" spans="1:4" x14ac:dyDescent="0.3">
      <c r="A18">
        <f t="shared" ref="A18:C18" si="2">A7</f>
        <v>4000</v>
      </c>
      <c r="B18" t="str">
        <f t="shared" si="2"/>
        <v>Account Rec</v>
      </c>
      <c r="C18" t="str">
        <f t="shared" si="2"/>
        <v>A/R</v>
      </c>
      <c r="D18">
        <f t="shared" ca="1" si="1"/>
        <v>1800</v>
      </c>
    </row>
    <row r="19" spans="1:4" x14ac:dyDescent="0.3">
      <c r="A19">
        <f t="shared" ref="A19:C19" si="3">A8</f>
        <v>5000</v>
      </c>
      <c r="B19" t="str">
        <f t="shared" si="3"/>
        <v>Unbilled Receivable</v>
      </c>
      <c r="C19" t="str">
        <f t="shared" si="3"/>
        <v>Deferred Revenue</v>
      </c>
      <c r="D19">
        <f t="shared" ca="1" si="1"/>
        <v>0</v>
      </c>
    </row>
    <row r="20" spans="1:4" x14ac:dyDescent="0.3">
      <c r="A20">
        <f t="shared" ref="A20:C20" si="4">A9</f>
        <v>6000</v>
      </c>
      <c r="B20" t="str">
        <f t="shared" si="4"/>
        <v>Deferred Revenue</v>
      </c>
      <c r="C20" t="str">
        <f t="shared" si="4"/>
        <v>Deferred Revenue</v>
      </c>
      <c r="D20">
        <f t="shared" ca="1" si="1"/>
        <v>1647.5409836065573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3356-5EE2-4055-9DE8-2C9F8EBD56E0}">
  <dimension ref="A1:Q107"/>
  <sheetViews>
    <sheetView workbookViewId="0">
      <selection activeCell="G21" sqref="G21"/>
    </sheetView>
  </sheetViews>
  <sheetFormatPr defaultRowHeight="14.4" x14ac:dyDescent="0.3"/>
  <cols>
    <col min="1" max="1" width="12.21875" bestFit="1" customWidth="1"/>
    <col min="2" max="2" width="18.33203125" customWidth="1"/>
    <col min="3" max="3" width="12" bestFit="1" customWidth="1"/>
    <col min="4" max="4" width="11.77734375" bestFit="1" customWidth="1"/>
    <col min="5" max="5" width="9.6640625" bestFit="1" customWidth="1"/>
    <col min="6" max="6" width="14" customWidth="1"/>
    <col min="7" max="7" width="25.77734375" customWidth="1"/>
    <col min="8" max="8" width="12.6640625" bestFit="1" customWidth="1"/>
    <col min="9" max="9" width="18.109375" bestFit="1" customWidth="1"/>
    <col min="10" max="10" width="10.5546875" bestFit="1" customWidth="1"/>
    <col min="11" max="11" width="13.109375" bestFit="1" customWidth="1"/>
  </cols>
  <sheetData>
    <row r="1" spans="1:14" s="23" customFormat="1" ht="23.4" x14ac:dyDescent="0.45">
      <c r="A1" s="28" t="s">
        <v>136</v>
      </c>
    </row>
    <row r="2" spans="1:14" x14ac:dyDescent="0.3">
      <c r="A2" s="27" t="s">
        <v>120</v>
      </c>
    </row>
    <row r="3" spans="1:14" x14ac:dyDescent="0.3">
      <c r="A3" s="24" t="s">
        <v>49</v>
      </c>
      <c r="B3" s="24" t="s">
        <v>27</v>
      </c>
      <c r="C3" s="24" t="s">
        <v>28</v>
      </c>
      <c r="D3" s="24" t="s">
        <v>30</v>
      </c>
      <c r="E3" s="24" t="s">
        <v>72</v>
      </c>
      <c r="F3" s="17" t="s">
        <v>9</v>
      </c>
    </row>
    <row r="4" spans="1:14" x14ac:dyDescent="0.3">
      <c r="A4" s="2">
        <v>45292</v>
      </c>
      <c r="B4" s="23" t="s">
        <v>29</v>
      </c>
      <c r="C4" s="23" t="s">
        <v>116</v>
      </c>
      <c r="D4" s="23">
        <v>1200</v>
      </c>
      <c r="E4" s="23">
        <v>1</v>
      </c>
      <c r="F4" s="18" t="str">
        <f>IF(D4&lt;0,"Negative","Positive")</f>
        <v>Positive</v>
      </c>
    </row>
    <row r="5" spans="1:14" x14ac:dyDescent="0.3">
      <c r="A5" s="27" t="s">
        <v>121</v>
      </c>
    </row>
    <row r="6" spans="1:14" x14ac:dyDescent="0.3">
      <c r="A6" s="24" t="s">
        <v>26</v>
      </c>
      <c r="B6" s="24" t="s">
        <v>72</v>
      </c>
      <c r="C6" s="24" t="s">
        <v>27</v>
      </c>
      <c r="D6" s="24" t="s">
        <v>23</v>
      </c>
      <c r="E6" s="24" t="s">
        <v>67</v>
      </c>
      <c r="F6" s="24" t="s">
        <v>50</v>
      </c>
      <c r="G6" s="24" t="s">
        <v>77</v>
      </c>
      <c r="H6" s="24" t="s">
        <v>74</v>
      </c>
      <c r="I6" s="24" t="s">
        <v>83</v>
      </c>
      <c r="J6" s="24" t="s">
        <v>70</v>
      </c>
      <c r="K6" s="24" t="s">
        <v>71</v>
      </c>
      <c r="L6" s="23"/>
    </row>
    <row r="7" spans="1:14" x14ac:dyDescent="0.3">
      <c r="A7" s="2">
        <v>45292</v>
      </c>
      <c r="B7" s="24">
        <v>1</v>
      </c>
      <c r="C7" s="23" t="s">
        <v>29</v>
      </c>
      <c r="D7" s="23">
        <v>102</v>
      </c>
      <c r="E7" s="2">
        <v>45292</v>
      </c>
      <c r="F7" s="2">
        <v>45292</v>
      </c>
      <c r="G7" s="2">
        <v>45657</v>
      </c>
      <c r="H7" s="23" t="s">
        <v>75</v>
      </c>
      <c r="I7" s="23" t="s">
        <v>84</v>
      </c>
      <c r="J7" s="19">
        <v>100</v>
      </c>
      <c r="K7" s="23">
        <v>12</v>
      </c>
      <c r="L7" s="23"/>
    </row>
    <row r="9" spans="1:14" x14ac:dyDescent="0.3">
      <c r="A9" s="27" t="s">
        <v>123</v>
      </c>
    </row>
    <row r="10" spans="1:14" x14ac:dyDescent="0.3">
      <c r="A10" s="24" t="s">
        <v>83</v>
      </c>
      <c r="B10" t="str">
        <f>I7</f>
        <v>Ratable</v>
      </c>
    </row>
    <row r="11" spans="1:14" x14ac:dyDescent="0.3">
      <c r="A11" s="24" t="s">
        <v>50</v>
      </c>
      <c r="B11" s="2">
        <f>F7</f>
        <v>45292</v>
      </c>
      <c r="D11" t="s">
        <v>122</v>
      </c>
      <c r="E11" s="2">
        <f>EOMONTH(B11,0)</f>
        <v>45322</v>
      </c>
    </row>
    <row r="12" spans="1:14" x14ac:dyDescent="0.3">
      <c r="A12" s="24" t="s">
        <v>79</v>
      </c>
      <c r="B12">
        <f>G7-F7+1</f>
        <v>366</v>
      </c>
    </row>
    <row r="13" spans="1:14" x14ac:dyDescent="0.3">
      <c r="A13" s="24" t="s">
        <v>117</v>
      </c>
      <c r="B13">
        <f>J7*K7</f>
        <v>1200</v>
      </c>
    </row>
    <row r="14" spans="1:14" x14ac:dyDescent="0.3">
      <c r="A14" s="24" t="s">
        <v>82</v>
      </c>
      <c r="B14">
        <f>B13/B12</f>
        <v>3.278688524590164</v>
      </c>
    </row>
    <row r="15" spans="1:14" x14ac:dyDescent="0.3">
      <c r="H15" s="27" t="s">
        <v>124</v>
      </c>
    </row>
    <row r="16" spans="1:14" x14ac:dyDescent="0.3">
      <c r="B16" s="24" t="s">
        <v>47</v>
      </c>
      <c r="C16" s="24" t="s">
        <v>54</v>
      </c>
      <c r="D16" s="24" t="s">
        <v>3</v>
      </c>
      <c r="H16" s="24" t="s">
        <v>64</v>
      </c>
      <c r="I16" s="24" t="s">
        <v>49</v>
      </c>
      <c r="J16" s="24" t="s">
        <v>27</v>
      </c>
      <c r="K16" s="24" t="s">
        <v>28</v>
      </c>
      <c r="L16" s="24" t="s">
        <v>30</v>
      </c>
      <c r="M16" s="24" t="s">
        <v>72</v>
      </c>
      <c r="N16" s="24" t="s">
        <v>87</v>
      </c>
    </row>
    <row r="17" spans="1:14" x14ac:dyDescent="0.3">
      <c r="B17" s="2">
        <f>E11</f>
        <v>45322</v>
      </c>
      <c r="C17" s="20">
        <f>_xlfn.DAYS(B17,B11)+1</f>
        <v>31</v>
      </c>
      <c r="D17">
        <f>$B$14*C17</f>
        <v>101.63934426229508</v>
      </c>
      <c r="H17" t="str">
        <f>VLOOKUP(I17,'AccountingPeriod (3)'!$A$6:$G$17,7,TRUE)</f>
        <v>2024-1</v>
      </c>
      <c r="I17" s="2">
        <f>B17</f>
        <v>45322</v>
      </c>
      <c r="J17" t="s">
        <v>29</v>
      </c>
      <c r="K17" t="s">
        <v>3</v>
      </c>
      <c r="L17">
        <f>D17</f>
        <v>101.63934426229508</v>
      </c>
      <c r="M17">
        <v>1</v>
      </c>
      <c r="N17">
        <v>1</v>
      </c>
    </row>
    <row r="18" spans="1:14" x14ac:dyDescent="0.3">
      <c r="B18" s="2">
        <f>EOMONTH(EDATE(B17,1),0)</f>
        <v>45351</v>
      </c>
      <c r="C18">
        <f t="shared" ref="C18:C28" si="0">_xlfn.DAYS(B18,B17)</f>
        <v>29</v>
      </c>
      <c r="D18" s="23">
        <f t="shared" ref="D18:D28" si="1">$B$14*C18</f>
        <v>95.081967213114751</v>
      </c>
      <c r="H18" s="23" t="str">
        <f>VLOOKUP(I18,'AccountingPeriod (3)'!$A$6:$G$17,7,TRUE)</f>
        <v>2024-2</v>
      </c>
      <c r="I18" s="2">
        <f t="shared" ref="I18:I28" si="2">B18</f>
        <v>45351</v>
      </c>
      <c r="J18" s="23" t="s">
        <v>29</v>
      </c>
      <c r="K18" s="23" t="s">
        <v>3</v>
      </c>
      <c r="L18" s="23">
        <f t="shared" ref="L18:L28" si="3">D18</f>
        <v>95.081967213114751</v>
      </c>
      <c r="M18" s="23">
        <v>1</v>
      </c>
      <c r="N18" s="23">
        <v>1</v>
      </c>
    </row>
    <row r="19" spans="1:14" x14ac:dyDescent="0.3">
      <c r="B19" s="2">
        <f t="shared" ref="B19:B28" si="4">EOMONTH(EDATE(B18,1),0)</f>
        <v>45382</v>
      </c>
      <c r="C19" s="23">
        <f t="shared" si="0"/>
        <v>31</v>
      </c>
      <c r="D19" s="23">
        <f t="shared" si="1"/>
        <v>101.63934426229508</v>
      </c>
      <c r="H19" s="23" t="str">
        <f>VLOOKUP(I19,'AccountingPeriod (3)'!$A$6:$G$17,7,TRUE)</f>
        <v>2024-3</v>
      </c>
      <c r="I19" s="2">
        <f t="shared" si="2"/>
        <v>45382</v>
      </c>
      <c r="J19" s="23" t="s">
        <v>29</v>
      </c>
      <c r="K19" s="23" t="s">
        <v>3</v>
      </c>
      <c r="L19" s="23">
        <f t="shared" si="3"/>
        <v>101.63934426229508</v>
      </c>
      <c r="M19" s="23">
        <v>1</v>
      </c>
      <c r="N19" s="23">
        <v>1</v>
      </c>
    </row>
    <row r="20" spans="1:14" x14ac:dyDescent="0.3">
      <c r="B20" s="2">
        <f t="shared" si="4"/>
        <v>45412</v>
      </c>
      <c r="C20" s="23">
        <f t="shared" si="0"/>
        <v>30</v>
      </c>
      <c r="D20" s="23">
        <f t="shared" si="1"/>
        <v>98.360655737704917</v>
      </c>
      <c r="H20" s="23" t="str">
        <f>VLOOKUP(I20,'AccountingPeriod (3)'!$A$6:$G$17,7,TRUE)</f>
        <v>2024-4</v>
      </c>
      <c r="I20" s="2">
        <f t="shared" si="2"/>
        <v>45412</v>
      </c>
      <c r="J20" s="23" t="s">
        <v>29</v>
      </c>
      <c r="K20" s="23" t="s">
        <v>3</v>
      </c>
      <c r="L20" s="23">
        <f t="shared" si="3"/>
        <v>98.360655737704917</v>
      </c>
      <c r="M20" s="23">
        <v>1</v>
      </c>
      <c r="N20" s="23">
        <v>1</v>
      </c>
    </row>
    <row r="21" spans="1:14" x14ac:dyDescent="0.3">
      <c r="B21" s="2">
        <f t="shared" si="4"/>
        <v>45443</v>
      </c>
      <c r="C21" s="23">
        <f t="shared" si="0"/>
        <v>31</v>
      </c>
      <c r="D21" s="23">
        <f t="shared" si="1"/>
        <v>101.63934426229508</v>
      </c>
      <c r="H21" s="23" t="str">
        <f>VLOOKUP(I21,'AccountingPeriod (3)'!$A$6:$G$17,7,TRUE)</f>
        <v>2024-5</v>
      </c>
      <c r="I21" s="2">
        <f t="shared" si="2"/>
        <v>45443</v>
      </c>
      <c r="J21" s="23" t="s">
        <v>29</v>
      </c>
      <c r="K21" s="23" t="s">
        <v>3</v>
      </c>
      <c r="L21" s="23">
        <f t="shared" si="3"/>
        <v>101.63934426229508</v>
      </c>
      <c r="M21" s="23">
        <v>1</v>
      </c>
      <c r="N21" s="23">
        <v>1</v>
      </c>
    </row>
    <row r="22" spans="1:14" x14ac:dyDescent="0.3">
      <c r="B22" s="2">
        <f t="shared" si="4"/>
        <v>45473</v>
      </c>
      <c r="C22" s="23">
        <f t="shared" si="0"/>
        <v>30</v>
      </c>
      <c r="D22" s="23">
        <f t="shared" si="1"/>
        <v>98.360655737704917</v>
      </c>
      <c r="H22" s="23" t="str">
        <f>VLOOKUP(I22,'AccountingPeriod (3)'!$A$6:$G$17,7,TRUE)</f>
        <v>2024-6</v>
      </c>
      <c r="I22" s="2">
        <f t="shared" si="2"/>
        <v>45473</v>
      </c>
      <c r="J22" s="23" t="s">
        <v>29</v>
      </c>
      <c r="K22" s="23" t="s">
        <v>3</v>
      </c>
      <c r="L22" s="23">
        <f t="shared" si="3"/>
        <v>98.360655737704917</v>
      </c>
      <c r="M22" s="23">
        <v>1</v>
      </c>
      <c r="N22" s="23">
        <v>1</v>
      </c>
    </row>
    <row r="23" spans="1:14" x14ac:dyDescent="0.3">
      <c r="B23" s="2">
        <f t="shared" si="4"/>
        <v>45504</v>
      </c>
      <c r="C23" s="23">
        <f t="shared" si="0"/>
        <v>31</v>
      </c>
      <c r="D23" s="23">
        <f t="shared" si="1"/>
        <v>101.63934426229508</v>
      </c>
      <c r="H23" s="23" t="str">
        <f>VLOOKUP(I23,'AccountingPeriod (3)'!$A$6:$G$17,7,TRUE)</f>
        <v>2024-7</v>
      </c>
      <c r="I23" s="2">
        <f t="shared" si="2"/>
        <v>45504</v>
      </c>
      <c r="J23" s="23" t="s">
        <v>29</v>
      </c>
      <c r="K23" s="23" t="s">
        <v>3</v>
      </c>
      <c r="L23" s="23">
        <f t="shared" si="3"/>
        <v>101.63934426229508</v>
      </c>
      <c r="M23" s="23">
        <v>1</v>
      </c>
      <c r="N23" s="23">
        <v>1</v>
      </c>
    </row>
    <row r="24" spans="1:14" x14ac:dyDescent="0.3">
      <c r="B24" s="2">
        <f t="shared" si="4"/>
        <v>45535</v>
      </c>
      <c r="C24" s="23">
        <f t="shared" si="0"/>
        <v>31</v>
      </c>
      <c r="D24" s="23">
        <f t="shared" si="1"/>
        <v>101.63934426229508</v>
      </c>
      <c r="H24" s="23" t="str">
        <f>VLOOKUP(I24,'AccountingPeriod (3)'!$A$6:$G$17,7,TRUE)</f>
        <v>2024-8</v>
      </c>
      <c r="I24" s="2">
        <f t="shared" si="2"/>
        <v>45535</v>
      </c>
      <c r="J24" s="23" t="s">
        <v>29</v>
      </c>
      <c r="K24" s="23" t="s">
        <v>3</v>
      </c>
      <c r="L24" s="23">
        <f t="shared" si="3"/>
        <v>101.63934426229508</v>
      </c>
      <c r="M24" s="23">
        <v>1</v>
      </c>
      <c r="N24" s="23">
        <v>1</v>
      </c>
    </row>
    <row r="25" spans="1:14" x14ac:dyDescent="0.3">
      <c r="B25" s="2">
        <f t="shared" si="4"/>
        <v>45565</v>
      </c>
      <c r="C25" s="23">
        <f t="shared" si="0"/>
        <v>30</v>
      </c>
      <c r="D25" s="23">
        <f t="shared" si="1"/>
        <v>98.360655737704917</v>
      </c>
      <c r="H25" s="23" t="str">
        <f>VLOOKUP(I25,'AccountingPeriod (3)'!$A$6:$G$17,7,TRUE)</f>
        <v>2024-9</v>
      </c>
      <c r="I25" s="2">
        <f t="shared" si="2"/>
        <v>45565</v>
      </c>
      <c r="J25" s="23" t="s">
        <v>29</v>
      </c>
      <c r="K25" s="23" t="s">
        <v>3</v>
      </c>
      <c r="L25" s="23">
        <f t="shared" si="3"/>
        <v>98.360655737704917</v>
      </c>
      <c r="M25" s="23">
        <v>1</v>
      </c>
      <c r="N25" s="23">
        <v>1</v>
      </c>
    </row>
    <row r="26" spans="1:14" x14ac:dyDescent="0.3">
      <c r="B26" s="2">
        <f t="shared" si="4"/>
        <v>45596</v>
      </c>
      <c r="C26" s="23">
        <f t="shared" si="0"/>
        <v>31</v>
      </c>
      <c r="D26" s="23">
        <f t="shared" si="1"/>
        <v>101.63934426229508</v>
      </c>
      <c r="H26" s="23" t="str">
        <f>VLOOKUP(I26,'AccountingPeriod (3)'!$A$6:$G$17,7,TRUE)</f>
        <v>2024-10</v>
      </c>
      <c r="I26" s="2">
        <f t="shared" si="2"/>
        <v>45596</v>
      </c>
      <c r="J26" s="23" t="s">
        <v>29</v>
      </c>
      <c r="K26" s="23" t="s">
        <v>3</v>
      </c>
      <c r="L26" s="23">
        <f t="shared" si="3"/>
        <v>101.63934426229508</v>
      </c>
      <c r="M26" s="23">
        <v>1</v>
      </c>
      <c r="N26" s="23">
        <v>1</v>
      </c>
    </row>
    <row r="27" spans="1:14" x14ac:dyDescent="0.3">
      <c r="B27" s="2">
        <f t="shared" si="4"/>
        <v>45626</v>
      </c>
      <c r="C27" s="23">
        <f t="shared" si="0"/>
        <v>30</v>
      </c>
      <c r="D27" s="23">
        <f t="shared" si="1"/>
        <v>98.360655737704917</v>
      </c>
      <c r="H27" s="23" t="str">
        <f>VLOOKUP(I27,'AccountingPeriod (3)'!$A$6:$G$17,7,TRUE)</f>
        <v>2024-11</v>
      </c>
      <c r="I27" s="2">
        <f t="shared" si="2"/>
        <v>45626</v>
      </c>
      <c r="J27" s="23" t="s">
        <v>29</v>
      </c>
      <c r="K27" s="23" t="s">
        <v>3</v>
      </c>
      <c r="L27" s="23">
        <f t="shared" si="3"/>
        <v>98.360655737704917</v>
      </c>
      <c r="M27" s="23">
        <v>1</v>
      </c>
      <c r="N27" s="23">
        <v>1</v>
      </c>
    </row>
    <row r="28" spans="1:14" x14ac:dyDescent="0.3">
      <c r="B28" s="2">
        <f t="shared" si="4"/>
        <v>45657</v>
      </c>
      <c r="C28" s="23">
        <f t="shared" si="0"/>
        <v>31</v>
      </c>
      <c r="D28" s="23">
        <f t="shared" si="1"/>
        <v>101.63934426229508</v>
      </c>
      <c r="H28" s="23" t="str">
        <f>VLOOKUP(I28,'AccountingPeriod (3)'!$A$6:$G$17,7,TRUE)</f>
        <v>2024-12</v>
      </c>
      <c r="I28" s="2">
        <f t="shared" si="2"/>
        <v>45657</v>
      </c>
      <c r="J28" s="23" t="s">
        <v>29</v>
      </c>
      <c r="K28" s="23" t="s">
        <v>3</v>
      </c>
      <c r="L28" s="23">
        <f t="shared" si="3"/>
        <v>101.63934426229508</v>
      </c>
      <c r="M28" s="23">
        <v>1</v>
      </c>
      <c r="N28" s="23">
        <v>1</v>
      </c>
    </row>
    <row r="29" spans="1:14" x14ac:dyDescent="0.3">
      <c r="L29" s="24">
        <f>SUM(L17:L28)</f>
        <v>1200</v>
      </c>
    </row>
    <row r="30" spans="1:14" ht="23.4" x14ac:dyDescent="0.45">
      <c r="A30" s="28" t="s">
        <v>137</v>
      </c>
    </row>
    <row r="31" spans="1:14" x14ac:dyDescent="0.3">
      <c r="A31" s="27" t="s">
        <v>125</v>
      </c>
    </row>
    <row r="34" spans="1:17" x14ac:dyDescent="0.3">
      <c r="A34" s="27" t="s">
        <v>128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7" x14ac:dyDescent="0.3">
      <c r="A35" s="24" t="s">
        <v>26</v>
      </c>
      <c r="B35" s="24" t="s">
        <v>72</v>
      </c>
      <c r="C35" s="24" t="s">
        <v>27</v>
      </c>
      <c r="D35" s="24" t="s">
        <v>23</v>
      </c>
      <c r="E35" s="24" t="s">
        <v>67</v>
      </c>
      <c r="F35" s="24" t="s">
        <v>50</v>
      </c>
      <c r="G35" s="24" t="s">
        <v>77</v>
      </c>
      <c r="H35" s="24" t="s">
        <v>74</v>
      </c>
      <c r="I35" s="24" t="s">
        <v>83</v>
      </c>
      <c r="J35" s="24" t="s">
        <v>70</v>
      </c>
      <c r="K35" s="24" t="s">
        <v>71</v>
      </c>
    </row>
    <row r="36" spans="1:17" x14ac:dyDescent="0.3">
      <c r="A36" s="2">
        <f>B41</f>
        <v>45397</v>
      </c>
      <c r="B36" s="24">
        <v>1</v>
      </c>
      <c r="C36" s="23" t="s">
        <v>29</v>
      </c>
      <c r="D36" s="23">
        <v>102</v>
      </c>
      <c r="E36" s="2">
        <v>45292</v>
      </c>
      <c r="F36" s="2">
        <v>45292</v>
      </c>
      <c r="G36" s="2">
        <v>45657</v>
      </c>
      <c r="H36" s="23" t="s">
        <v>75</v>
      </c>
      <c r="I36" s="23" t="s">
        <v>84</v>
      </c>
      <c r="J36" s="25">
        <v>50</v>
      </c>
      <c r="K36" s="23">
        <v>12</v>
      </c>
    </row>
    <row r="37" spans="1:17" s="23" customFormat="1" x14ac:dyDescent="0.3">
      <c r="A37" s="2"/>
      <c r="B37" s="24"/>
      <c r="E37" s="2"/>
      <c r="F37" s="2"/>
      <c r="G37" s="2"/>
      <c r="J37" s="25"/>
    </row>
    <row r="38" spans="1:17" x14ac:dyDescent="0.3">
      <c r="A38" s="27" t="s">
        <v>129</v>
      </c>
    </row>
    <row r="39" spans="1:17" s="23" customFormat="1" x14ac:dyDescent="0.3">
      <c r="A39" s="24" t="s">
        <v>57</v>
      </c>
      <c r="B39" s="24" t="s">
        <v>26</v>
      </c>
      <c r="C39" s="24" t="s">
        <v>72</v>
      </c>
      <c r="D39" s="24" t="s">
        <v>27</v>
      </c>
      <c r="E39" s="24" t="s">
        <v>62</v>
      </c>
      <c r="F39" s="24" t="s">
        <v>134</v>
      </c>
      <c r="G39" s="24" t="s">
        <v>43</v>
      </c>
      <c r="H39" s="24" t="s">
        <v>66</v>
      </c>
      <c r="I39" s="24" t="s">
        <v>68</v>
      </c>
      <c r="J39" s="24" t="s">
        <v>69</v>
      </c>
      <c r="K39" s="24" t="s">
        <v>73</v>
      </c>
      <c r="L39" s="24" t="s">
        <v>86</v>
      </c>
      <c r="M39" s="24" t="s">
        <v>110</v>
      </c>
      <c r="N39" s="24" t="s">
        <v>111</v>
      </c>
    </row>
    <row r="40" spans="1:17" s="23" customFormat="1" x14ac:dyDescent="0.3">
      <c r="A40" s="23" t="s">
        <v>48</v>
      </c>
      <c r="B40" s="2">
        <f>A7</f>
        <v>45292</v>
      </c>
      <c r="C40" s="20">
        <f>B7</f>
        <v>1</v>
      </c>
      <c r="D40" s="2" t="str">
        <f>C7</f>
        <v>SO1</v>
      </c>
      <c r="E40" s="23">
        <v>111</v>
      </c>
      <c r="F40" s="2">
        <f>B41</f>
        <v>45397</v>
      </c>
      <c r="G40" s="23">
        <f t="shared" ref="G40:N40" si="5">D7</f>
        <v>102</v>
      </c>
      <c r="H40" s="2">
        <f t="shared" si="5"/>
        <v>45292</v>
      </c>
      <c r="I40" s="2">
        <f t="shared" si="5"/>
        <v>45292</v>
      </c>
      <c r="J40" s="2">
        <f t="shared" si="5"/>
        <v>45657</v>
      </c>
      <c r="K40" s="23" t="str">
        <f t="shared" si="5"/>
        <v>SaaS</v>
      </c>
      <c r="L40" s="23" t="str">
        <f t="shared" si="5"/>
        <v>Ratable</v>
      </c>
      <c r="M40" s="8">
        <f t="shared" si="5"/>
        <v>100</v>
      </c>
      <c r="N40" s="23">
        <f t="shared" si="5"/>
        <v>12</v>
      </c>
      <c r="Q40" s="23" t="s">
        <v>159</v>
      </c>
    </row>
    <row r="41" spans="1:17" s="23" customFormat="1" x14ac:dyDescent="0.3">
      <c r="A41" s="23" t="s">
        <v>127</v>
      </c>
      <c r="B41" s="2">
        <v>45397</v>
      </c>
      <c r="C41" s="23">
        <f>B36</f>
        <v>1</v>
      </c>
      <c r="D41" s="23" t="str">
        <f>C36</f>
        <v>SO1</v>
      </c>
      <c r="E41" s="23">
        <v>222</v>
      </c>
      <c r="G41" s="23">
        <f>D36</f>
        <v>102</v>
      </c>
      <c r="H41" s="2">
        <f>H40</f>
        <v>45292</v>
      </c>
      <c r="I41" s="2">
        <f t="shared" ref="I41:N41" si="6">F36</f>
        <v>45292</v>
      </c>
      <c r="J41" s="2">
        <f t="shared" si="6"/>
        <v>45657</v>
      </c>
      <c r="K41" s="23" t="str">
        <f t="shared" si="6"/>
        <v>SaaS</v>
      </c>
      <c r="L41" s="23" t="str">
        <f t="shared" si="6"/>
        <v>Ratable</v>
      </c>
      <c r="M41" s="8">
        <f t="shared" si="6"/>
        <v>50</v>
      </c>
      <c r="N41" s="23">
        <f t="shared" si="6"/>
        <v>12</v>
      </c>
      <c r="Q41" s="23" t="s">
        <v>133</v>
      </c>
    </row>
    <row r="42" spans="1:17" s="23" customFormat="1" x14ac:dyDescent="0.3"/>
    <row r="43" spans="1:17" x14ac:dyDescent="0.3">
      <c r="A43" s="27" t="s">
        <v>123</v>
      </c>
      <c r="B43" s="23"/>
      <c r="C43" s="23"/>
      <c r="D43" s="23"/>
      <c r="E43" s="23"/>
    </row>
    <row r="44" spans="1:17" x14ac:dyDescent="0.3">
      <c r="A44" s="24" t="s">
        <v>83</v>
      </c>
      <c r="B44" s="23" t="str">
        <f>I36</f>
        <v>Ratable</v>
      </c>
      <c r="C44" s="23"/>
      <c r="D44" s="23"/>
      <c r="E44" s="23"/>
    </row>
    <row r="45" spans="1:17" x14ac:dyDescent="0.3">
      <c r="A45" s="24" t="s">
        <v>50</v>
      </c>
      <c r="B45" s="2">
        <f>F36</f>
        <v>45292</v>
      </c>
      <c r="C45" s="23"/>
      <c r="D45" s="23" t="s">
        <v>122</v>
      </c>
      <c r="E45" s="2">
        <f>EOMONTH(B45,0)</f>
        <v>45322</v>
      </c>
    </row>
    <row r="46" spans="1:17" x14ac:dyDescent="0.3">
      <c r="A46" s="24" t="s">
        <v>79</v>
      </c>
      <c r="B46" s="23">
        <f>G36-F36+1</f>
        <v>366</v>
      </c>
      <c r="C46" s="23"/>
      <c r="D46" s="23"/>
      <c r="E46" s="23"/>
    </row>
    <row r="47" spans="1:17" x14ac:dyDescent="0.3">
      <c r="A47" s="24" t="s">
        <v>117</v>
      </c>
      <c r="B47" s="23">
        <f>J36*K36</f>
        <v>600</v>
      </c>
      <c r="C47" s="23"/>
      <c r="D47" s="23"/>
      <c r="E47" s="23"/>
    </row>
    <row r="48" spans="1:17" x14ac:dyDescent="0.3">
      <c r="A48" s="24" t="s">
        <v>82</v>
      </c>
      <c r="B48" s="23">
        <f>B47/B46</f>
        <v>1.639344262295082</v>
      </c>
      <c r="C48" s="23"/>
      <c r="D48" s="23"/>
      <c r="E48" s="23"/>
    </row>
    <row r="49" spans="2:17" x14ac:dyDescent="0.3">
      <c r="H49" s="27" t="s">
        <v>138</v>
      </c>
    </row>
    <row r="50" spans="2:17" x14ac:dyDescent="0.3">
      <c r="B50" s="24" t="s">
        <v>47</v>
      </c>
      <c r="C50" s="24" t="s">
        <v>54</v>
      </c>
      <c r="D50" s="24" t="s">
        <v>3</v>
      </c>
      <c r="H50" s="24" t="s">
        <v>64</v>
      </c>
      <c r="I50" s="24" t="s">
        <v>49</v>
      </c>
      <c r="J50" s="24" t="s">
        <v>27</v>
      </c>
      <c r="K50" s="24" t="s">
        <v>28</v>
      </c>
      <c r="L50" s="24" t="s">
        <v>30</v>
      </c>
      <c r="M50" s="24" t="s">
        <v>72</v>
      </c>
      <c r="N50" s="24" t="s">
        <v>87</v>
      </c>
    </row>
    <row r="51" spans="2:17" x14ac:dyDescent="0.3">
      <c r="B51" s="2">
        <f>E45</f>
        <v>45322</v>
      </c>
      <c r="C51" s="20">
        <f>_xlfn.DAYS(B51,B45)+1</f>
        <v>31</v>
      </c>
      <c r="D51" s="23">
        <f>$B$48*C51</f>
        <v>50.819672131147541</v>
      </c>
      <c r="G51" s="27" t="s">
        <v>126</v>
      </c>
      <c r="H51" s="24" t="s">
        <v>127</v>
      </c>
      <c r="I51" s="2">
        <f>I17</f>
        <v>45322</v>
      </c>
      <c r="J51" t="str">
        <f>J17</f>
        <v>SO1</v>
      </c>
      <c r="K51" s="23" t="str">
        <f>K17</f>
        <v>Revenue</v>
      </c>
      <c r="L51" s="23">
        <f t="shared" ref="L51:L62" si="7">-L17</f>
        <v>-101.63934426229508</v>
      </c>
      <c r="M51" s="23">
        <f>M17</f>
        <v>1</v>
      </c>
      <c r="N51" s="23">
        <f>N17</f>
        <v>1</v>
      </c>
    </row>
    <row r="52" spans="2:17" x14ac:dyDescent="0.3">
      <c r="B52" s="2">
        <f>EOMONTH(EDATE(B51,1),0)</f>
        <v>45351</v>
      </c>
      <c r="C52" s="23">
        <f t="shared" ref="C52:C62" si="8">_xlfn.DAYS(B52,B51)</f>
        <v>29</v>
      </c>
      <c r="D52" s="23">
        <f t="shared" ref="D52:D62" si="9">$B$48*C52</f>
        <v>47.540983606557376</v>
      </c>
      <c r="H52" s="24" t="s">
        <v>127</v>
      </c>
      <c r="I52" s="2">
        <f t="shared" ref="I52:I62" si="10">I18</f>
        <v>45351</v>
      </c>
      <c r="J52" s="23" t="str">
        <f t="shared" ref="J52:K52" si="11">J18</f>
        <v>SO1</v>
      </c>
      <c r="K52" s="23" t="str">
        <f t="shared" si="11"/>
        <v>Revenue</v>
      </c>
      <c r="L52" s="23">
        <f t="shared" si="7"/>
        <v>-95.081967213114751</v>
      </c>
      <c r="M52" s="23">
        <f t="shared" ref="M52:N52" si="12">M18</f>
        <v>1</v>
      </c>
      <c r="N52" s="23">
        <f t="shared" si="12"/>
        <v>1</v>
      </c>
    </row>
    <row r="53" spans="2:17" x14ac:dyDescent="0.3">
      <c r="B53" s="2">
        <f t="shared" ref="B53:B62" si="13">EOMONTH(EDATE(B52,1),0)</f>
        <v>45382</v>
      </c>
      <c r="C53" s="23">
        <f t="shared" si="8"/>
        <v>31</v>
      </c>
      <c r="D53" s="23">
        <f t="shared" si="9"/>
        <v>50.819672131147541</v>
      </c>
      <c r="H53" s="24" t="s">
        <v>127</v>
      </c>
      <c r="I53" s="2">
        <f t="shared" si="10"/>
        <v>45382</v>
      </c>
      <c r="J53" s="23" t="str">
        <f t="shared" ref="J53:K53" si="14">J19</f>
        <v>SO1</v>
      </c>
      <c r="K53" s="23" t="str">
        <f t="shared" si="14"/>
        <v>Revenue</v>
      </c>
      <c r="L53" s="23">
        <f t="shared" si="7"/>
        <v>-101.63934426229508</v>
      </c>
      <c r="M53" s="23">
        <f t="shared" ref="M53:N53" si="15">M19</f>
        <v>1</v>
      </c>
      <c r="N53" s="23">
        <f t="shared" si="15"/>
        <v>1</v>
      </c>
    </row>
    <row r="54" spans="2:17" x14ac:dyDescent="0.3">
      <c r="B54" s="2">
        <f t="shared" si="13"/>
        <v>45412</v>
      </c>
      <c r="C54" s="23">
        <f t="shared" si="8"/>
        <v>30</v>
      </c>
      <c r="D54" s="23">
        <f t="shared" si="9"/>
        <v>49.180327868852459</v>
      </c>
      <c r="H54" s="24" t="str">
        <f>VLOOKUP(I54,'AccountingPeriod (3)'!$A$6:$G$17,7,TRUE)</f>
        <v>2024-4</v>
      </c>
      <c r="I54" s="2">
        <f t="shared" si="10"/>
        <v>45412</v>
      </c>
      <c r="J54" s="23" t="str">
        <f t="shared" ref="J54:K54" si="16">J20</f>
        <v>SO1</v>
      </c>
      <c r="K54" s="23" t="str">
        <f t="shared" si="16"/>
        <v>Revenue</v>
      </c>
      <c r="L54" s="23">
        <f t="shared" si="7"/>
        <v>-98.360655737704917</v>
      </c>
      <c r="M54" s="23">
        <f t="shared" ref="M54:N54" si="17">M20</f>
        <v>1</v>
      </c>
      <c r="N54" s="23">
        <f t="shared" si="17"/>
        <v>1</v>
      </c>
      <c r="Q54" s="24" t="s">
        <v>132</v>
      </c>
    </row>
    <row r="55" spans="2:17" x14ac:dyDescent="0.3">
      <c r="B55" s="2">
        <f t="shared" si="13"/>
        <v>45443</v>
      </c>
      <c r="C55" s="23">
        <f t="shared" si="8"/>
        <v>31</v>
      </c>
      <c r="D55" s="23">
        <f t="shared" si="9"/>
        <v>50.819672131147541</v>
      </c>
      <c r="H55" s="23" t="str">
        <f>VLOOKUP(I55,'AccountingPeriod (3)'!$A$6:$G$17,7,TRUE)</f>
        <v>2024-5</v>
      </c>
      <c r="I55" s="2">
        <f t="shared" si="10"/>
        <v>45443</v>
      </c>
      <c r="J55" s="23" t="str">
        <f t="shared" ref="J55:K62" si="18">J21</f>
        <v>SO1</v>
      </c>
      <c r="K55" s="23" t="str">
        <f t="shared" si="18"/>
        <v>Revenue</v>
      </c>
      <c r="L55" s="23">
        <f t="shared" si="7"/>
        <v>-101.63934426229508</v>
      </c>
      <c r="M55" s="23">
        <f t="shared" ref="M55:N55" si="19">M21</f>
        <v>1</v>
      </c>
      <c r="N55" s="23">
        <f t="shared" si="19"/>
        <v>1</v>
      </c>
    </row>
    <row r="56" spans="2:17" x14ac:dyDescent="0.3">
      <c r="B56" s="2">
        <f t="shared" si="13"/>
        <v>45473</v>
      </c>
      <c r="C56" s="23">
        <f t="shared" si="8"/>
        <v>30</v>
      </c>
      <c r="D56" s="23">
        <f t="shared" si="9"/>
        <v>49.180327868852459</v>
      </c>
      <c r="H56" s="23" t="str">
        <f>VLOOKUP(I56,'AccountingPeriod (3)'!$A$6:$G$17,7,TRUE)</f>
        <v>2024-6</v>
      </c>
      <c r="I56" s="2">
        <f t="shared" si="10"/>
        <v>45473</v>
      </c>
      <c r="J56" s="23" t="str">
        <f t="shared" si="18"/>
        <v>SO1</v>
      </c>
      <c r="K56" s="23" t="str">
        <f t="shared" si="18"/>
        <v>Revenue</v>
      </c>
      <c r="L56" s="23">
        <f t="shared" si="7"/>
        <v>-98.360655737704917</v>
      </c>
      <c r="M56" s="23">
        <f t="shared" ref="M56:N56" si="20">M22</f>
        <v>1</v>
      </c>
      <c r="N56" s="23">
        <f t="shared" si="20"/>
        <v>1</v>
      </c>
    </row>
    <row r="57" spans="2:17" x14ac:dyDescent="0.3">
      <c r="B57" s="2">
        <f t="shared" si="13"/>
        <v>45504</v>
      </c>
      <c r="C57" s="23">
        <f t="shared" si="8"/>
        <v>31</v>
      </c>
      <c r="D57" s="23">
        <f t="shared" si="9"/>
        <v>50.819672131147541</v>
      </c>
      <c r="H57" s="23" t="str">
        <f>VLOOKUP(I57,'AccountingPeriod (3)'!$A$6:$G$17,7,TRUE)</f>
        <v>2024-7</v>
      </c>
      <c r="I57" s="2">
        <f t="shared" si="10"/>
        <v>45504</v>
      </c>
      <c r="J57" s="23" t="str">
        <f t="shared" si="18"/>
        <v>SO1</v>
      </c>
      <c r="K57" s="23" t="str">
        <f t="shared" si="18"/>
        <v>Revenue</v>
      </c>
      <c r="L57" s="23">
        <f t="shared" si="7"/>
        <v>-101.63934426229508</v>
      </c>
      <c r="M57" s="23">
        <f t="shared" ref="M57:N57" si="21">M23</f>
        <v>1</v>
      </c>
      <c r="N57" s="23">
        <f t="shared" si="21"/>
        <v>1</v>
      </c>
    </row>
    <row r="58" spans="2:17" x14ac:dyDescent="0.3">
      <c r="B58" s="2">
        <f t="shared" si="13"/>
        <v>45535</v>
      </c>
      <c r="C58" s="23">
        <f t="shared" si="8"/>
        <v>31</v>
      </c>
      <c r="D58" s="23">
        <f t="shared" si="9"/>
        <v>50.819672131147541</v>
      </c>
      <c r="H58" s="23" t="str">
        <f>VLOOKUP(I58,'AccountingPeriod (3)'!$A$6:$G$17,7,TRUE)</f>
        <v>2024-8</v>
      </c>
      <c r="I58" s="2">
        <f t="shared" si="10"/>
        <v>45535</v>
      </c>
      <c r="J58" s="23" t="str">
        <f t="shared" si="18"/>
        <v>SO1</v>
      </c>
      <c r="K58" s="23" t="str">
        <f t="shared" si="18"/>
        <v>Revenue</v>
      </c>
      <c r="L58" s="23">
        <f t="shared" si="7"/>
        <v>-101.63934426229508</v>
      </c>
      <c r="M58" s="23">
        <f t="shared" ref="M58:N58" si="22">M24</f>
        <v>1</v>
      </c>
      <c r="N58" s="23">
        <f t="shared" si="22"/>
        <v>1</v>
      </c>
    </row>
    <row r="59" spans="2:17" x14ac:dyDescent="0.3">
      <c r="B59" s="2">
        <f t="shared" si="13"/>
        <v>45565</v>
      </c>
      <c r="C59" s="23">
        <f t="shared" si="8"/>
        <v>30</v>
      </c>
      <c r="D59" s="23">
        <f t="shared" si="9"/>
        <v>49.180327868852459</v>
      </c>
      <c r="H59" s="23" t="str">
        <f>VLOOKUP(I59,'AccountingPeriod (3)'!$A$6:$G$17,7,TRUE)</f>
        <v>2024-9</v>
      </c>
      <c r="I59" s="2">
        <f t="shared" si="10"/>
        <v>45565</v>
      </c>
      <c r="J59" s="23" t="str">
        <f t="shared" si="18"/>
        <v>SO1</v>
      </c>
      <c r="K59" s="23" t="str">
        <f t="shared" si="18"/>
        <v>Revenue</v>
      </c>
      <c r="L59" s="23">
        <f t="shared" si="7"/>
        <v>-98.360655737704917</v>
      </c>
      <c r="M59" s="23">
        <f t="shared" ref="M59:N59" si="23">M25</f>
        <v>1</v>
      </c>
      <c r="N59" s="23">
        <f t="shared" si="23"/>
        <v>1</v>
      </c>
    </row>
    <row r="60" spans="2:17" x14ac:dyDescent="0.3">
      <c r="B60" s="2">
        <f t="shared" si="13"/>
        <v>45596</v>
      </c>
      <c r="C60" s="23">
        <f t="shared" si="8"/>
        <v>31</v>
      </c>
      <c r="D60" s="23">
        <f t="shared" si="9"/>
        <v>50.819672131147541</v>
      </c>
      <c r="H60" s="23" t="str">
        <f>VLOOKUP(I60,'AccountingPeriod (3)'!$A$6:$G$17,7,TRUE)</f>
        <v>2024-10</v>
      </c>
      <c r="I60" s="2">
        <f t="shared" si="10"/>
        <v>45596</v>
      </c>
      <c r="J60" s="23" t="str">
        <f t="shared" si="18"/>
        <v>SO1</v>
      </c>
      <c r="K60" s="23" t="str">
        <f t="shared" si="18"/>
        <v>Revenue</v>
      </c>
      <c r="L60" s="23">
        <f t="shared" si="7"/>
        <v>-101.63934426229508</v>
      </c>
      <c r="M60" s="23">
        <f t="shared" ref="M60:N60" si="24">M26</f>
        <v>1</v>
      </c>
      <c r="N60" s="23">
        <f t="shared" si="24"/>
        <v>1</v>
      </c>
    </row>
    <row r="61" spans="2:17" x14ac:dyDescent="0.3">
      <c r="B61" s="2">
        <f t="shared" si="13"/>
        <v>45626</v>
      </c>
      <c r="C61" s="23">
        <f t="shared" si="8"/>
        <v>30</v>
      </c>
      <c r="D61" s="23">
        <f t="shared" si="9"/>
        <v>49.180327868852459</v>
      </c>
      <c r="H61" s="23" t="str">
        <f>VLOOKUP(I61,'AccountingPeriod (3)'!$A$6:$G$17,7,TRUE)</f>
        <v>2024-11</v>
      </c>
      <c r="I61" s="2">
        <f t="shared" si="10"/>
        <v>45626</v>
      </c>
      <c r="J61" s="23" t="str">
        <f t="shared" si="18"/>
        <v>SO1</v>
      </c>
      <c r="K61" s="23" t="str">
        <f t="shared" si="18"/>
        <v>Revenue</v>
      </c>
      <c r="L61" s="23">
        <f t="shared" si="7"/>
        <v>-98.360655737704917</v>
      </c>
      <c r="M61" s="23">
        <f t="shared" ref="M61:N61" si="25">M27</f>
        <v>1</v>
      </c>
      <c r="N61" s="23">
        <f t="shared" si="25"/>
        <v>1</v>
      </c>
    </row>
    <row r="62" spans="2:17" x14ac:dyDescent="0.3">
      <c r="B62" s="2">
        <f t="shared" si="13"/>
        <v>45657</v>
      </c>
      <c r="C62" s="23">
        <f t="shared" si="8"/>
        <v>31</v>
      </c>
      <c r="D62" s="23">
        <f t="shared" si="9"/>
        <v>50.819672131147541</v>
      </c>
      <c r="H62" s="23" t="str">
        <f>VLOOKUP(I62,'AccountingPeriod (3)'!$A$6:$G$17,7,TRUE)</f>
        <v>2024-12</v>
      </c>
      <c r="I62" s="2">
        <f t="shared" si="10"/>
        <v>45657</v>
      </c>
      <c r="J62" s="23" t="str">
        <f t="shared" si="18"/>
        <v>SO1</v>
      </c>
      <c r="K62" s="23" t="str">
        <f t="shared" si="18"/>
        <v>Revenue</v>
      </c>
      <c r="L62" s="23">
        <f t="shared" si="7"/>
        <v>-101.63934426229508</v>
      </c>
      <c r="M62" s="23">
        <f t="shared" ref="M62:N62" si="26">M28</f>
        <v>1</v>
      </c>
      <c r="N62" s="23">
        <f t="shared" si="26"/>
        <v>1</v>
      </c>
    </row>
    <row r="63" spans="2:17" x14ac:dyDescent="0.3">
      <c r="H63" s="24" t="str">
        <f>H51</f>
        <v>2024-4</v>
      </c>
      <c r="I63" s="2">
        <f>B51</f>
        <v>45322</v>
      </c>
      <c r="J63" s="23" t="str">
        <f>J62</f>
        <v>SO1</v>
      </c>
      <c r="K63" s="23" t="str">
        <f>K62</f>
        <v>Revenue</v>
      </c>
      <c r="L63">
        <f>D51</f>
        <v>50.819672131147541</v>
      </c>
      <c r="M63" s="23">
        <f>M62</f>
        <v>1</v>
      </c>
      <c r="N63" s="23">
        <f>N62</f>
        <v>1</v>
      </c>
    </row>
    <row r="64" spans="2:17" x14ac:dyDescent="0.3">
      <c r="H64" s="24" t="str">
        <f t="shared" ref="H64:H74" si="27">H52</f>
        <v>2024-4</v>
      </c>
      <c r="I64" s="2">
        <f t="shared" ref="I64:I74" si="28">B52</f>
        <v>45351</v>
      </c>
      <c r="J64" s="23" t="str">
        <f t="shared" ref="J64:J74" si="29">J63</f>
        <v>SO1</v>
      </c>
      <c r="K64" s="23" t="str">
        <f t="shared" ref="K64:K74" si="30">K63</f>
        <v>Revenue</v>
      </c>
      <c r="L64" s="23">
        <f t="shared" ref="L64:L74" si="31">D52</f>
        <v>47.540983606557376</v>
      </c>
      <c r="M64" s="23">
        <f t="shared" ref="M64:M74" si="32">M63</f>
        <v>1</v>
      </c>
      <c r="N64" s="23">
        <f t="shared" ref="N64:N74" si="33">N63</f>
        <v>1</v>
      </c>
    </row>
    <row r="65" spans="8:14" x14ac:dyDescent="0.3">
      <c r="H65" s="24" t="str">
        <f t="shared" si="27"/>
        <v>2024-4</v>
      </c>
      <c r="I65" s="2">
        <f t="shared" si="28"/>
        <v>45382</v>
      </c>
      <c r="J65" s="23" t="str">
        <f t="shared" si="29"/>
        <v>SO1</v>
      </c>
      <c r="K65" s="23" t="str">
        <f t="shared" si="30"/>
        <v>Revenue</v>
      </c>
      <c r="L65" s="23">
        <f t="shared" si="31"/>
        <v>50.819672131147541</v>
      </c>
      <c r="M65" s="23">
        <f t="shared" si="32"/>
        <v>1</v>
      </c>
      <c r="N65" s="23">
        <f t="shared" si="33"/>
        <v>1</v>
      </c>
    </row>
    <row r="66" spans="8:14" x14ac:dyDescent="0.3">
      <c r="H66" s="24" t="str">
        <f t="shared" si="27"/>
        <v>2024-4</v>
      </c>
      <c r="I66" s="2">
        <f t="shared" si="28"/>
        <v>45412</v>
      </c>
      <c r="J66" s="23" t="str">
        <f t="shared" si="29"/>
        <v>SO1</v>
      </c>
      <c r="K66" s="23" t="str">
        <f t="shared" si="30"/>
        <v>Revenue</v>
      </c>
      <c r="L66" s="23">
        <f t="shared" si="31"/>
        <v>49.180327868852459</v>
      </c>
      <c r="M66" s="23">
        <f t="shared" si="32"/>
        <v>1</v>
      </c>
      <c r="N66" s="23">
        <f t="shared" si="33"/>
        <v>1</v>
      </c>
    </row>
    <row r="67" spans="8:14" x14ac:dyDescent="0.3">
      <c r="H67" s="26" t="str">
        <f t="shared" si="27"/>
        <v>2024-5</v>
      </c>
      <c r="I67" s="2">
        <f t="shared" si="28"/>
        <v>45443</v>
      </c>
      <c r="J67" s="23" t="str">
        <f t="shared" si="29"/>
        <v>SO1</v>
      </c>
      <c r="K67" s="23" t="str">
        <f t="shared" si="30"/>
        <v>Revenue</v>
      </c>
      <c r="L67" s="23">
        <f t="shared" si="31"/>
        <v>50.819672131147541</v>
      </c>
      <c r="M67" s="23">
        <f t="shared" si="32"/>
        <v>1</v>
      </c>
      <c r="N67" s="23">
        <f t="shared" si="33"/>
        <v>1</v>
      </c>
    </row>
    <row r="68" spans="8:14" x14ac:dyDescent="0.3">
      <c r="H68" s="26" t="str">
        <f t="shared" si="27"/>
        <v>2024-6</v>
      </c>
      <c r="I68" s="2">
        <f t="shared" si="28"/>
        <v>45473</v>
      </c>
      <c r="J68" s="23" t="str">
        <f t="shared" si="29"/>
        <v>SO1</v>
      </c>
      <c r="K68" s="23" t="str">
        <f t="shared" si="30"/>
        <v>Revenue</v>
      </c>
      <c r="L68" s="23">
        <f t="shared" si="31"/>
        <v>49.180327868852459</v>
      </c>
      <c r="M68" s="23">
        <f t="shared" si="32"/>
        <v>1</v>
      </c>
      <c r="N68" s="23">
        <f t="shared" si="33"/>
        <v>1</v>
      </c>
    </row>
    <row r="69" spans="8:14" x14ac:dyDescent="0.3">
      <c r="H69" s="26" t="str">
        <f t="shared" si="27"/>
        <v>2024-7</v>
      </c>
      <c r="I69" s="2">
        <f t="shared" si="28"/>
        <v>45504</v>
      </c>
      <c r="J69" s="23" t="str">
        <f t="shared" si="29"/>
        <v>SO1</v>
      </c>
      <c r="K69" s="23" t="str">
        <f t="shared" si="30"/>
        <v>Revenue</v>
      </c>
      <c r="L69" s="23">
        <f t="shared" si="31"/>
        <v>50.819672131147541</v>
      </c>
      <c r="M69" s="23">
        <f t="shared" si="32"/>
        <v>1</v>
      </c>
      <c r="N69" s="23">
        <f t="shared" si="33"/>
        <v>1</v>
      </c>
    </row>
    <row r="70" spans="8:14" x14ac:dyDescent="0.3">
      <c r="H70" s="26" t="str">
        <f t="shared" si="27"/>
        <v>2024-8</v>
      </c>
      <c r="I70" s="2">
        <f t="shared" si="28"/>
        <v>45535</v>
      </c>
      <c r="J70" s="23" t="str">
        <f t="shared" si="29"/>
        <v>SO1</v>
      </c>
      <c r="K70" s="23" t="str">
        <f t="shared" si="30"/>
        <v>Revenue</v>
      </c>
      <c r="L70" s="23">
        <f t="shared" si="31"/>
        <v>50.819672131147541</v>
      </c>
      <c r="M70" s="23">
        <f t="shared" si="32"/>
        <v>1</v>
      </c>
      <c r="N70" s="23">
        <f t="shared" si="33"/>
        <v>1</v>
      </c>
    </row>
    <row r="71" spans="8:14" x14ac:dyDescent="0.3">
      <c r="H71" s="26" t="str">
        <f t="shared" si="27"/>
        <v>2024-9</v>
      </c>
      <c r="I71" s="2">
        <f t="shared" si="28"/>
        <v>45565</v>
      </c>
      <c r="J71" s="23" t="str">
        <f t="shared" si="29"/>
        <v>SO1</v>
      </c>
      <c r="K71" s="23" t="str">
        <f t="shared" si="30"/>
        <v>Revenue</v>
      </c>
      <c r="L71" s="23">
        <f t="shared" si="31"/>
        <v>49.180327868852459</v>
      </c>
      <c r="M71" s="23">
        <f t="shared" si="32"/>
        <v>1</v>
      </c>
      <c r="N71" s="23">
        <f t="shared" si="33"/>
        <v>1</v>
      </c>
    </row>
    <row r="72" spans="8:14" x14ac:dyDescent="0.3">
      <c r="H72" s="26" t="str">
        <f t="shared" si="27"/>
        <v>2024-10</v>
      </c>
      <c r="I72" s="2">
        <f t="shared" si="28"/>
        <v>45596</v>
      </c>
      <c r="J72" s="23" t="str">
        <f t="shared" si="29"/>
        <v>SO1</v>
      </c>
      <c r="K72" s="23" t="str">
        <f t="shared" si="30"/>
        <v>Revenue</v>
      </c>
      <c r="L72" s="23">
        <f t="shared" si="31"/>
        <v>50.819672131147541</v>
      </c>
      <c r="M72" s="23">
        <f t="shared" si="32"/>
        <v>1</v>
      </c>
      <c r="N72" s="23">
        <f t="shared" si="33"/>
        <v>1</v>
      </c>
    </row>
    <row r="73" spans="8:14" x14ac:dyDescent="0.3">
      <c r="H73" s="26" t="str">
        <f t="shared" si="27"/>
        <v>2024-11</v>
      </c>
      <c r="I73" s="2">
        <f t="shared" si="28"/>
        <v>45626</v>
      </c>
      <c r="J73" s="23" t="str">
        <f t="shared" si="29"/>
        <v>SO1</v>
      </c>
      <c r="K73" s="23" t="str">
        <f t="shared" si="30"/>
        <v>Revenue</v>
      </c>
      <c r="L73" s="23">
        <f t="shared" si="31"/>
        <v>49.180327868852459</v>
      </c>
      <c r="M73" s="23">
        <f t="shared" si="32"/>
        <v>1</v>
      </c>
      <c r="N73" s="23">
        <f t="shared" si="33"/>
        <v>1</v>
      </c>
    </row>
    <row r="74" spans="8:14" x14ac:dyDescent="0.3">
      <c r="H74" s="26" t="str">
        <f t="shared" si="27"/>
        <v>2024-12</v>
      </c>
      <c r="I74" s="2">
        <f t="shared" si="28"/>
        <v>45657</v>
      </c>
      <c r="J74" s="23" t="str">
        <f t="shared" si="29"/>
        <v>SO1</v>
      </c>
      <c r="K74" s="23" t="str">
        <f t="shared" si="30"/>
        <v>Revenue</v>
      </c>
      <c r="L74" s="23">
        <f t="shared" si="31"/>
        <v>50.819672131147541</v>
      </c>
      <c r="M74" s="23">
        <f t="shared" si="32"/>
        <v>1</v>
      </c>
      <c r="N74" s="23">
        <f t="shared" si="33"/>
        <v>1</v>
      </c>
    </row>
    <row r="75" spans="8:14" x14ac:dyDescent="0.3">
      <c r="H75" s="24"/>
      <c r="L75" s="24">
        <f>SUM(L51:L74)</f>
        <v>-599.99999999999989</v>
      </c>
    </row>
    <row r="76" spans="8:14" x14ac:dyDescent="0.3">
      <c r="H76" s="27" t="s">
        <v>130</v>
      </c>
    </row>
    <row r="77" spans="8:14" x14ac:dyDescent="0.3">
      <c r="H77" s="24" t="s">
        <v>64</v>
      </c>
      <c r="I77" s="24" t="s">
        <v>49</v>
      </c>
      <c r="J77" s="24" t="s">
        <v>27</v>
      </c>
      <c r="K77" s="24" t="s">
        <v>28</v>
      </c>
      <c r="L77" s="24" t="s">
        <v>30</v>
      </c>
      <c r="M77" s="24" t="s">
        <v>72</v>
      </c>
      <c r="N77" s="24" t="s">
        <v>87</v>
      </c>
    </row>
    <row r="78" spans="8:14" x14ac:dyDescent="0.3">
      <c r="H78" t="str">
        <f>H17</f>
        <v>2024-1</v>
      </c>
      <c r="I78" s="2">
        <f t="shared" ref="I78:N78" si="34">I17</f>
        <v>45322</v>
      </c>
      <c r="J78" s="23" t="str">
        <f t="shared" si="34"/>
        <v>SO1</v>
      </c>
      <c r="K78" s="23" t="str">
        <f t="shared" si="34"/>
        <v>Revenue</v>
      </c>
      <c r="L78" s="23">
        <f t="shared" si="34"/>
        <v>101.63934426229508</v>
      </c>
      <c r="M78" s="23">
        <f t="shared" si="34"/>
        <v>1</v>
      </c>
      <c r="N78" s="23">
        <f t="shared" si="34"/>
        <v>1</v>
      </c>
    </row>
    <row r="79" spans="8:14" x14ac:dyDescent="0.3">
      <c r="H79" s="23" t="str">
        <f>H18</f>
        <v>2024-2</v>
      </c>
      <c r="I79" s="2">
        <f t="shared" ref="I79:N79" si="35">I18</f>
        <v>45351</v>
      </c>
      <c r="J79" s="23" t="str">
        <f t="shared" si="35"/>
        <v>SO1</v>
      </c>
      <c r="K79" s="23" t="str">
        <f t="shared" si="35"/>
        <v>Revenue</v>
      </c>
      <c r="L79" s="23">
        <f t="shared" si="35"/>
        <v>95.081967213114751</v>
      </c>
      <c r="M79" s="23">
        <f t="shared" si="35"/>
        <v>1</v>
      </c>
      <c r="N79" s="23">
        <f t="shared" si="35"/>
        <v>1</v>
      </c>
    </row>
    <row r="80" spans="8:14" x14ac:dyDescent="0.3">
      <c r="H80" s="23" t="str">
        <f>H19</f>
        <v>2024-3</v>
      </c>
      <c r="I80" s="2">
        <f t="shared" ref="I80:N80" si="36">I19</f>
        <v>45382</v>
      </c>
      <c r="J80" s="23" t="str">
        <f t="shared" si="36"/>
        <v>SO1</v>
      </c>
      <c r="K80" s="23" t="str">
        <f t="shared" si="36"/>
        <v>Revenue</v>
      </c>
      <c r="L80" s="23">
        <f t="shared" si="36"/>
        <v>101.63934426229508</v>
      </c>
      <c r="M80" s="23">
        <f t="shared" si="36"/>
        <v>1</v>
      </c>
      <c r="N80" s="23">
        <f t="shared" si="36"/>
        <v>1</v>
      </c>
    </row>
    <row r="81" spans="8:14" x14ac:dyDescent="0.3">
      <c r="H81" t="str">
        <f>H51</f>
        <v>2024-4</v>
      </c>
      <c r="I81" s="2">
        <f>I51</f>
        <v>45322</v>
      </c>
      <c r="J81" s="23" t="str">
        <f t="shared" ref="J81:K81" si="37">J20</f>
        <v>SO1</v>
      </c>
      <c r="K81" s="23" t="str">
        <f t="shared" si="37"/>
        <v>Revenue</v>
      </c>
      <c r="L81">
        <f>L51+L63</f>
        <v>-50.819672131147541</v>
      </c>
      <c r="M81">
        <f>M80</f>
        <v>1</v>
      </c>
      <c r="N81" s="23">
        <f>N80</f>
        <v>1</v>
      </c>
    </row>
    <row r="82" spans="8:14" x14ac:dyDescent="0.3">
      <c r="H82" s="23" t="str">
        <f>H52</f>
        <v>2024-4</v>
      </c>
      <c r="I82" s="2">
        <f t="shared" ref="I82:I92" si="38">I52</f>
        <v>45351</v>
      </c>
      <c r="J82" s="23" t="str">
        <f t="shared" ref="J82:K82" si="39">J21</f>
        <v>SO1</v>
      </c>
      <c r="K82" s="23" t="str">
        <f t="shared" si="39"/>
        <v>Revenue</v>
      </c>
      <c r="L82" s="23">
        <f t="shared" ref="L82:L83" si="40">L52+L64</f>
        <v>-47.540983606557376</v>
      </c>
      <c r="M82" s="23">
        <f t="shared" ref="M82:M92" si="41">M81</f>
        <v>1</v>
      </c>
      <c r="N82" s="23">
        <f t="shared" ref="N82:N92" si="42">N81</f>
        <v>1</v>
      </c>
    </row>
    <row r="83" spans="8:14" x14ac:dyDescent="0.3">
      <c r="H83" s="23" t="str">
        <f>H53</f>
        <v>2024-4</v>
      </c>
      <c r="I83" s="2">
        <f t="shared" si="38"/>
        <v>45382</v>
      </c>
      <c r="J83" s="23" t="str">
        <f t="shared" ref="J83:K83" si="43">J22</f>
        <v>SO1</v>
      </c>
      <c r="K83" s="23" t="str">
        <f t="shared" si="43"/>
        <v>Revenue</v>
      </c>
      <c r="L83" s="23">
        <f t="shared" si="40"/>
        <v>-50.819672131147541</v>
      </c>
      <c r="M83" s="23">
        <f t="shared" si="41"/>
        <v>1</v>
      </c>
      <c r="N83" s="23">
        <f t="shared" si="42"/>
        <v>1</v>
      </c>
    </row>
    <row r="84" spans="8:14" x14ac:dyDescent="0.3">
      <c r="H84" s="23" t="str">
        <f>H54</f>
        <v>2024-4</v>
      </c>
      <c r="I84" s="2">
        <f t="shared" si="38"/>
        <v>45412</v>
      </c>
      <c r="J84" s="23" t="str">
        <f t="shared" ref="J84:K84" si="44">J23</f>
        <v>SO1</v>
      </c>
      <c r="K84" s="23" t="str">
        <f t="shared" si="44"/>
        <v>Revenue</v>
      </c>
      <c r="L84" s="23">
        <f>L54+L66+L20</f>
        <v>49.180327868852459</v>
      </c>
      <c r="M84" s="23">
        <f t="shared" si="41"/>
        <v>1</v>
      </c>
      <c r="N84" s="23">
        <f t="shared" si="42"/>
        <v>1</v>
      </c>
    </row>
    <row r="85" spans="8:14" x14ac:dyDescent="0.3">
      <c r="H85" s="23" t="str">
        <f t="shared" ref="H85:H92" si="45">H55</f>
        <v>2024-5</v>
      </c>
      <c r="I85" s="2">
        <f t="shared" si="38"/>
        <v>45443</v>
      </c>
      <c r="J85" s="23" t="str">
        <f t="shared" ref="J85:K85" si="46">J24</f>
        <v>SO1</v>
      </c>
      <c r="K85" s="23" t="str">
        <f t="shared" si="46"/>
        <v>Revenue</v>
      </c>
      <c r="L85" s="23">
        <f t="shared" ref="L85:L92" si="47">L55+L67+L21</f>
        <v>50.819672131147541</v>
      </c>
      <c r="M85" s="23">
        <f t="shared" si="41"/>
        <v>1</v>
      </c>
      <c r="N85" s="23">
        <f t="shared" si="42"/>
        <v>1</v>
      </c>
    </row>
    <row r="86" spans="8:14" x14ac:dyDescent="0.3">
      <c r="H86" s="23" t="str">
        <f t="shared" si="45"/>
        <v>2024-6</v>
      </c>
      <c r="I86" s="2">
        <f t="shared" si="38"/>
        <v>45473</v>
      </c>
      <c r="J86" s="23" t="str">
        <f t="shared" ref="J86:K86" si="48">J25</f>
        <v>SO1</v>
      </c>
      <c r="K86" s="23" t="str">
        <f t="shared" si="48"/>
        <v>Revenue</v>
      </c>
      <c r="L86" s="23">
        <f t="shared" si="47"/>
        <v>49.180327868852459</v>
      </c>
      <c r="M86" s="23">
        <f t="shared" si="41"/>
        <v>1</v>
      </c>
      <c r="N86" s="23">
        <f t="shared" si="42"/>
        <v>1</v>
      </c>
    </row>
    <row r="87" spans="8:14" x14ac:dyDescent="0.3">
      <c r="H87" s="23" t="str">
        <f t="shared" si="45"/>
        <v>2024-7</v>
      </c>
      <c r="I87" s="2">
        <f t="shared" si="38"/>
        <v>45504</v>
      </c>
      <c r="J87" s="23" t="str">
        <f t="shared" ref="J87:K87" si="49">J26</f>
        <v>SO1</v>
      </c>
      <c r="K87" s="23" t="str">
        <f t="shared" si="49"/>
        <v>Revenue</v>
      </c>
      <c r="L87" s="23">
        <f t="shared" si="47"/>
        <v>50.819672131147541</v>
      </c>
      <c r="M87" s="23">
        <f t="shared" si="41"/>
        <v>1</v>
      </c>
      <c r="N87" s="23">
        <f t="shared" si="42"/>
        <v>1</v>
      </c>
    </row>
    <row r="88" spans="8:14" x14ac:dyDescent="0.3">
      <c r="H88" s="23" t="str">
        <f t="shared" si="45"/>
        <v>2024-8</v>
      </c>
      <c r="I88" s="2">
        <f t="shared" si="38"/>
        <v>45535</v>
      </c>
      <c r="J88" s="23" t="str">
        <f t="shared" ref="J88:K88" si="50">J27</f>
        <v>SO1</v>
      </c>
      <c r="K88" s="23" t="str">
        <f t="shared" si="50"/>
        <v>Revenue</v>
      </c>
      <c r="L88" s="23">
        <f t="shared" si="47"/>
        <v>50.819672131147541</v>
      </c>
      <c r="M88" s="23">
        <f t="shared" si="41"/>
        <v>1</v>
      </c>
      <c r="N88" s="23">
        <f t="shared" si="42"/>
        <v>1</v>
      </c>
    </row>
    <row r="89" spans="8:14" x14ac:dyDescent="0.3">
      <c r="H89" s="23" t="str">
        <f t="shared" si="45"/>
        <v>2024-9</v>
      </c>
      <c r="I89" s="2">
        <f t="shared" si="38"/>
        <v>45565</v>
      </c>
      <c r="J89" s="23" t="str">
        <f t="shared" ref="J89:K89" si="51">J28</f>
        <v>SO1</v>
      </c>
      <c r="K89" s="23" t="str">
        <f t="shared" si="51"/>
        <v>Revenue</v>
      </c>
      <c r="L89" s="23">
        <f t="shared" si="47"/>
        <v>49.180327868852459</v>
      </c>
      <c r="M89" s="23">
        <f t="shared" si="41"/>
        <v>1</v>
      </c>
      <c r="N89" s="23">
        <f t="shared" si="42"/>
        <v>1</v>
      </c>
    </row>
    <row r="90" spans="8:14" x14ac:dyDescent="0.3">
      <c r="H90" s="23" t="str">
        <f t="shared" si="45"/>
        <v>2024-10</v>
      </c>
      <c r="I90" s="2">
        <f t="shared" si="38"/>
        <v>45596</v>
      </c>
      <c r="J90" s="23" t="str">
        <f t="shared" ref="J90:K92" si="52">J89</f>
        <v>SO1</v>
      </c>
      <c r="K90" s="23" t="str">
        <f t="shared" si="52"/>
        <v>Revenue</v>
      </c>
      <c r="L90" s="23">
        <f t="shared" si="47"/>
        <v>50.819672131147541</v>
      </c>
      <c r="M90" s="23">
        <f t="shared" si="41"/>
        <v>1</v>
      </c>
      <c r="N90" s="23">
        <f t="shared" si="42"/>
        <v>1</v>
      </c>
    </row>
    <row r="91" spans="8:14" x14ac:dyDescent="0.3">
      <c r="H91" s="23" t="str">
        <f t="shared" si="45"/>
        <v>2024-11</v>
      </c>
      <c r="I91" s="2">
        <f t="shared" si="38"/>
        <v>45626</v>
      </c>
      <c r="J91" s="23" t="str">
        <f t="shared" si="52"/>
        <v>SO1</v>
      </c>
      <c r="K91" s="23" t="str">
        <f t="shared" si="52"/>
        <v>Revenue</v>
      </c>
      <c r="L91" s="23">
        <f t="shared" si="47"/>
        <v>49.180327868852459</v>
      </c>
      <c r="M91" s="23">
        <f t="shared" si="41"/>
        <v>1</v>
      </c>
      <c r="N91" s="23">
        <f t="shared" si="42"/>
        <v>1</v>
      </c>
    </row>
    <row r="92" spans="8:14" x14ac:dyDescent="0.3">
      <c r="H92" s="23" t="str">
        <f t="shared" si="45"/>
        <v>2024-12</v>
      </c>
      <c r="I92" s="2">
        <f t="shared" si="38"/>
        <v>45657</v>
      </c>
      <c r="J92" s="23" t="str">
        <f t="shared" si="52"/>
        <v>SO1</v>
      </c>
      <c r="K92" s="23" t="str">
        <f t="shared" si="52"/>
        <v>Revenue</v>
      </c>
      <c r="L92" s="23">
        <f t="shared" si="47"/>
        <v>50.819672131147541</v>
      </c>
      <c r="M92" s="23">
        <f t="shared" si="41"/>
        <v>1</v>
      </c>
      <c r="N92" s="23">
        <f t="shared" si="42"/>
        <v>1</v>
      </c>
    </row>
    <row r="93" spans="8:14" x14ac:dyDescent="0.3">
      <c r="H93" s="23"/>
      <c r="I93" s="2"/>
      <c r="L93" s="24">
        <f>SUM(L78:L92)</f>
        <v>600</v>
      </c>
    </row>
    <row r="94" spans="8:14" x14ac:dyDescent="0.3">
      <c r="H94" s="27" t="s">
        <v>131</v>
      </c>
      <c r="I94" s="2"/>
    </row>
    <row r="95" spans="8:14" x14ac:dyDescent="0.3">
      <c r="H95" s="23" t="str">
        <f>H17</f>
        <v>2024-1</v>
      </c>
      <c r="I95" s="2"/>
      <c r="J95" t="str">
        <f>J78</f>
        <v>SO1</v>
      </c>
      <c r="K95" s="23" t="str">
        <f>K78</f>
        <v>Revenue</v>
      </c>
      <c r="L95">
        <f ca="1">SUMIF($H$78:$L$92,H95,$L$78:$L$92)</f>
        <v>101.63934426229508</v>
      </c>
    </row>
    <row r="96" spans="8:14" x14ac:dyDescent="0.3">
      <c r="H96" s="23" t="str">
        <f t="shared" ref="H96:H106" si="53">H18</f>
        <v>2024-2</v>
      </c>
      <c r="I96" s="2"/>
      <c r="J96" s="23" t="str">
        <f t="shared" ref="J96:K106" si="54">J79</f>
        <v>SO1</v>
      </c>
      <c r="K96" s="23" t="str">
        <f t="shared" si="54"/>
        <v>Revenue</v>
      </c>
      <c r="L96" s="23">
        <f t="shared" ref="L96:L106" ca="1" si="55">SUMIF($H$78:$L$92,H96,$L$78:$L$92)</f>
        <v>95.081967213114751</v>
      </c>
    </row>
    <row r="97" spans="8:12" x14ac:dyDescent="0.3">
      <c r="H97" s="23" t="str">
        <f t="shared" si="53"/>
        <v>2024-3</v>
      </c>
      <c r="I97" s="2"/>
      <c r="J97" s="23" t="str">
        <f t="shared" si="54"/>
        <v>SO1</v>
      </c>
      <c r="K97" s="23" t="str">
        <f t="shared" si="54"/>
        <v>Revenue</v>
      </c>
      <c r="L97" s="23">
        <f t="shared" ca="1" si="55"/>
        <v>101.63934426229508</v>
      </c>
    </row>
    <row r="98" spans="8:12" x14ac:dyDescent="0.3">
      <c r="H98" s="23" t="str">
        <f t="shared" si="53"/>
        <v>2024-4</v>
      </c>
      <c r="I98" s="2"/>
      <c r="J98" s="23" t="str">
        <f t="shared" si="54"/>
        <v>SO1</v>
      </c>
      <c r="K98" s="23" t="str">
        <f t="shared" si="54"/>
        <v>Revenue</v>
      </c>
      <c r="L98" s="23">
        <f t="shared" ca="1" si="55"/>
        <v>-100</v>
      </c>
    </row>
    <row r="99" spans="8:12" x14ac:dyDescent="0.3">
      <c r="H99" s="23" t="str">
        <f t="shared" si="53"/>
        <v>2024-5</v>
      </c>
      <c r="I99" s="2"/>
      <c r="J99" s="23" t="str">
        <f t="shared" si="54"/>
        <v>SO1</v>
      </c>
      <c r="K99" s="23" t="str">
        <f t="shared" si="54"/>
        <v>Revenue</v>
      </c>
      <c r="L99" s="23">
        <f t="shared" ca="1" si="55"/>
        <v>50.819672131147541</v>
      </c>
    </row>
    <row r="100" spans="8:12" x14ac:dyDescent="0.3">
      <c r="H100" s="23" t="str">
        <f t="shared" si="53"/>
        <v>2024-6</v>
      </c>
      <c r="J100" s="23" t="str">
        <f t="shared" si="54"/>
        <v>SO1</v>
      </c>
      <c r="K100" s="23" t="str">
        <f t="shared" si="54"/>
        <v>Revenue</v>
      </c>
      <c r="L100" s="23">
        <f t="shared" ca="1" si="55"/>
        <v>49.180327868852459</v>
      </c>
    </row>
    <row r="101" spans="8:12" x14ac:dyDescent="0.3">
      <c r="H101" s="23" t="str">
        <f t="shared" si="53"/>
        <v>2024-7</v>
      </c>
      <c r="J101" s="23" t="str">
        <f t="shared" si="54"/>
        <v>SO1</v>
      </c>
      <c r="K101" s="23" t="str">
        <f t="shared" si="54"/>
        <v>Revenue</v>
      </c>
      <c r="L101" s="23">
        <f t="shared" ca="1" si="55"/>
        <v>50.819672131147541</v>
      </c>
    </row>
    <row r="102" spans="8:12" x14ac:dyDescent="0.3">
      <c r="H102" s="23" t="str">
        <f t="shared" si="53"/>
        <v>2024-8</v>
      </c>
      <c r="J102" s="23" t="str">
        <f t="shared" si="54"/>
        <v>SO1</v>
      </c>
      <c r="K102" s="23" t="str">
        <f t="shared" si="54"/>
        <v>Revenue</v>
      </c>
      <c r="L102" s="23">
        <f t="shared" ca="1" si="55"/>
        <v>50.819672131147541</v>
      </c>
    </row>
    <row r="103" spans="8:12" x14ac:dyDescent="0.3">
      <c r="H103" s="23" t="str">
        <f t="shared" si="53"/>
        <v>2024-9</v>
      </c>
      <c r="J103" s="23" t="str">
        <f t="shared" si="54"/>
        <v>SO1</v>
      </c>
      <c r="K103" s="23" t="str">
        <f t="shared" si="54"/>
        <v>Revenue</v>
      </c>
      <c r="L103" s="23">
        <f t="shared" ca="1" si="55"/>
        <v>49.180327868852459</v>
      </c>
    </row>
    <row r="104" spans="8:12" x14ac:dyDescent="0.3">
      <c r="H104" s="23" t="str">
        <f t="shared" si="53"/>
        <v>2024-10</v>
      </c>
      <c r="J104" s="23" t="str">
        <f t="shared" si="54"/>
        <v>SO1</v>
      </c>
      <c r="K104" s="23" t="str">
        <f t="shared" si="54"/>
        <v>Revenue</v>
      </c>
      <c r="L104" s="23">
        <f t="shared" ca="1" si="55"/>
        <v>50.819672131147541</v>
      </c>
    </row>
    <row r="105" spans="8:12" x14ac:dyDescent="0.3">
      <c r="H105" s="23" t="str">
        <f t="shared" si="53"/>
        <v>2024-11</v>
      </c>
      <c r="J105" s="23" t="str">
        <f t="shared" si="54"/>
        <v>SO1</v>
      </c>
      <c r="K105" s="23" t="str">
        <f t="shared" si="54"/>
        <v>Revenue</v>
      </c>
      <c r="L105" s="23">
        <f t="shared" ca="1" si="55"/>
        <v>49.180327868852459</v>
      </c>
    </row>
    <row r="106" spans="8:12" x14ac:dyDescent="0.3">
      <c r="H106" s="23" t="str">
        <f t="shared" si="53"/>
        <v>2024-12</v>
      </c>
      <c r="J106" s="23" t="str">
        <f t="shared" si="54"/>
        <v>SO1</v>
      </c>
      <c r="K106" s="23" t="str">
        <f t="shared" si="54"/>
        <v>Revenue</v>
      </c>
      <c r="L106" s="23">
        <f t="shared" ca="1" si="55"/>
        <v>50.819672131147541</v>
      </c>
    </row>
    <row r="107" spans="8:12" x14ac:dyDescent="0.3">
      <c r="L107" s="24">
        <f ca="1">SUM(L95:L106)</f>
        <v>600</v>
      </c>
    </row>
  </sheetData>
  <pageMargins left="0.7" right="0.7" top="0.75" bottom="0.75" header="0.3" footer="0.3"/>
  <ignoredErrors>
    <ignoredError sqref="L51:L62 L63:L74 L90:L92" formula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DA33-8C6E-4AE8-B44A-E0602A3AA536}">
  <dimension ref="A1:AA159"/>
  <sheetViews>
    <sheetView topLeftCell="A3" workbookViewId="0">
      <selection activeCell="A15" sqref="A15:D21"/>
    </sheetView>
  </sheetViews>
  <sheetFormatPr defaultRowHeight="14.4" x14ac:dyDescent="0.3"/>
  <cols>
    <col min="1" max="1" width="12.21875" style="23" bestFit="1" customWidth="1"/>
    <col min="2" max="2" width="26.88671875" style="23" customWidth="1"/>
    <col min="3" max="3" width="19.77734375" style="23" customWidth="1"/>
    <col min="4" max="4" width="11.77734375" style="23" bestFit="1" customWidth="1"/>
    <col min="5" max="5" width="23.109375" style="23" customWidth="1"/>
    <col min="6" max="6" width="14" style="23" customWidth="1"/>
    <col min="7" max="7" width="25.77734375" style="23" customWidth="1"/>
    <col min="8" max="8" width="12.6640625" style="23" bestFit="1" customWidth="1"/>
    <col min="9" max="9" width="18.109375" style="23" bestFit="1" customWidth="1"/>
    <col min="10" max="10" width="10.5546875" style="23" bestFit="1" customWidth="1"/>
    <col min="11" max="11" width="13.109375" style="23" bestFit="1" customWidth="1"/>
    <col min="12" max="20" width="8.88671875" style="23"/>
    <col min="21" max="21" width="18.5546875" style="23" customWidth="1"/>
    <col min="22" max="16384" width="8.88671875" style="23"/>
  </cols>
  <sheetData>
    <row r="1" spans="1:14" x14ac:dyDescent="0.3">
      <c r="A1" s="24" t="s">
        <v>209</v>
      </c>
    </row>
    <row r="2" spans="1:14" x14ac:dyDescent="0.3">
      <c r="A2" s="31" t="s">
        <v>88</v>
      </c>
      <c r="E2" s="31" t="s">
        <v>89</v>
      </c>
      <c r="L2" s="31" t="s">
        <v>4</v>
      </c>
    </row>
    <row r="3" spans="1:14" x14ac:dyDescent="0.3">
      <c r="A3" s="24" t="s">
        <v>1</v>
      </c>
      <c r="B3" s="24" t="s">
        <v>2</v>
      </c>
      <c r="C3" s="24" t="s">
        <v>95</v>
      </c>
      <c r="E3" s="24" t="s">
        <v>1</v>
      </c>
      <c r="F3" s="24" t="s">
        <v>42</v>
      </c>
      <c r="G3" s="24" t="s">
        <v>25</v>
      </c>
      <c r="H3" s="24" t="s">
        <v>60</v>
      </c>
      <c r="I3" s="24" t="s">
        <v>112</v>
      </c>
      <c r="J3" s="24" t="s">
        <v>162</v>
      </c>
      <c r="L3" s="24" t="s">
        <v>1</v>
      </c>
      <c r="M3" s="24" t="s">
        <v>5</v>
      </c>
      <c r="N3" s="24" t="s">
        <v>4</v>
      </c>
    </row>
    <row r="4" spans="1:14" x14ac:dyDescent="0.3">
      <c r="A4" s="23">
        <v>1</v>
      </c>
      <c r="B4" s="23" t="s">
        <v>3</v>
      </c>
      <c r="C4" s="23">
        <v>1</v>
      </c>
      <c r="E4" s="23">
        <v>1</v>
      </c>
      <c r="F4" s="23" t="s">
        <v>43</v>
      </c>
      <c r="G4" s="23" t="s">
        <v>211</v>
      </c>
      <c r="H4" s="23">
        <v>1</v>
      </c>
      <c r="I4" s="23" t="s">
        <v>113</v>
      </c>
      <c r="J4" s="23" t="s">
        <v>163</v>
      </c>
      <c r="L4" s="23">
        <v>1</v>
      </c>
      <c r="M4" s="23" t="s">
        <v>3</v>
      </c>
      <c r="N4" s="23" t="s">
        <v>45</v>
      </c>
    </row>
    <row r="5" spans="1:14" x14ac:dyDescent="0.3">
      <c r="A5" s="23">
        <v>2</v>
      </c>
      <c r="B5" s="23" t="s">
        <v>116</v>
      </c>
      <c r="C5" s="23">
        <v>1</v>
      </c>
      <c r="E5" s="23">
        <v>2</v>
      </c>
      <c r="F5" s="23" t="s">
        <v>66</v>
      </c>
      <c r="G5" s="23" t="s">
        <v>67</v>
      </c>
      <c r="H5" s="23">
        <v>0</v>
      </c>
      <c r="I5" s="23" t="s">
        <v>114</v>
      </c>
      <c r="J5" s="23" t="s">
        <v>163</v>
      </c>
      <c r="L5" s="23">
        <v>2</v>
      </c>
      <c r="M5" s="23" t="s">
        <v>6</v>
      </c>
      <c r="N5" s="23" t="s">
        <v>46</v>
      </c>
    </row>
    <row r="6" spans="1:14" x14ac:dyDescent="0.3">
      <c r="E6" s="23">
        <v>3</v>
      </c>
      <c r="F6" s="23" t="s">
        <v>68</v>
      </c>
      <c r="G6" s="23" t="s">
        <v>50</v>
      </c>
      <c r="H6" s="23">
        <v>0</v>
      </c>
      <c r="I6" s="23" t="s">
        <v>114</v>
      </c>
      <c r="J6" s="23" t="s">
        <v>163</v>
      </c>
      <c r="L6" s="23">
        <v>3</v>
      </c>
      <c r="M6" s="23" t="s">
        <v>20</v>
      </c>
      <c r="N6" s="23" t="s">
        <v>46</v>
      </c>
    </row>
    <row r="7" spans="1:14" x14ac:dyDescent="0.3">
      <c r="E7" s="23">
        <v>4</v>
      </c>
      <c r="F7" s="23" t="s">
        <v>69</v>
      </c>
      <c r="G7" s="23" t="s">
        <v>77</v>
      </c>
      <c r="H7" s="23">
        <v>0</v>
      </c>
      <c r="I7" s="23" t="s">
        <v>114</v>
      </c>
      <c r="J7" s="23" t="s">
        <v>163</v>
      </c>
    </row>
    <row r="8" spans="1:14" x14ac:dyDescent="0.3">
      <c r="E8" s="23">
        <v>5</v>
      </c>
      <c r="F8" s="23" t="s">
        <v>73</v>
      </c>
      <c r="G8" s="23" t="s">
        <v>74</v>
      </c>
      <c r="H8" s="23">
        <v>0</v>
      </c>
      <c r="I8" s="23" t="s">
        <v>113</v>
      </c>
      <c r="J8" s="23" t="s">
        <v>163</v>
      </c>
    </row>
    <row r="9" spans="1:14" x14ac:dyDescent="0.3">
      <c r="E9" s="23">
        <v>6</v>
      </c>
      <c r="F9" s="23" t="s">
        <v>86</v>
      </c>
      <c r="G9" s="23" t="s">
        <v>83</v>
      </c>
      <c r="H9" s="23">
        <v>0</v>
      </c>
      <c r="I9" s="23" t="s">
        <v>113</v>
      </c>
      <c r="J9" s="23" t="s">
        <v>163</v>
      </c>
    </row>
    <row r="10" spans="1:14" x14ac:dyDescent="0.3">
      <c r="E10" s="23">
        <v>7</v>
      </c>
      <c r="F10" s="23" t="s">
        <v>110</v>
      </c>
      <c r="G10" s="23" t="s">
        <v>108</v>
      </c>
      <c r="H10" s="23">
        <v>0</v>
      </c>
      <c r="I10" s="23" t="s">
        <v>115</v>
      </c>
      <c r="J10" s="23" t="s">
        <v>163</v>
      </c>
    </row>
    <row r="11" spans="1:14" x14ac:dyDescent="0.3">
      <c r="E11" s="23">
        <v>8</v>
      </c>
      <c r="F11" s="23" t="s">
        <v>111</v>
      </c>
      <c r="G11" s="23" t="s">
        <v>109</v>
      </c>
      <c r="H11" s="23">
        <v>0</v>
      </c>
      <c r="I11" s="23" t="s">
        <v>115</v>
      </c>
      <c r="J11" s="23" t="s">
        <v>163</v>
      </c>
    </row>
    <row r="12" spans="1:14" x14ac:dyDescent="0.3">
      <c r="E12" s="23">
        <v>9</v>
      </c>
      <c r="F12" s="23" t="s">
        <v>165</v>
      </c>
      <c r="G12" s="23" t="s">
        <v>117</v>
      </c>
      <c r="H12" s="23">
        <v>0</v>
      </c>
      <c r="I12" s="23" t="s">
        <v>115</v>
      </c>
      <c r="J12" s="23" t="s">
        <v>164</v>
      </c>
    </row>
    <row r="14" spans="1:14" x14ac:dyDescent="0.3">
      <c r="A14" s="31" t="s">
        <v>210</v>
      </c>
      <c r="F14" s="31" t="s">
        <v>213</v>
      </c>
    </row>
    <row r="15" spans="1:14" x14ac:dyDescent="0.3">
      <c r="A15" s="24" t="s">
        <v>21</v>
      </c>
      <c r="B15" s="24" t="s">
        <v>22</v>
      </c>
      <c r="C15" s="24" t="s">
        <v>5</v>
      </c>
      <c r="D15" s="24" t="s">
        <v>23</v>
      </c>
      <c r="F15" s="6" t="s">
        <v>44</v>
      </c>
      <c r="G15" s="9" t="s">
        <v>15</v>
      </c>
      <c r="H15" s="6" t="s">
        <v>10</v>
      </c>
      <c r="I15" s="5" t="s">
        <v>16</v>
      </c>
      <c r="J15" s="4" t="s">
        <v>17</v>
      </c>
    </row>
    <row r="16" spans="1:14" x14ac:dyDescent="0.3">
      <c r="A16" s="23">
        <v>1000</v>
      </c>
      <c r="B16" s="23" t="s">
        <v>3</v>
      </c>
      <c r="C16" s="23" t="s">
        <v>3</v>
      </c>
      <c r="D16" s="23" t="s">
        <v>191</v>
      </c>
      <c r="F16" s="13">
        <v>1</v>
      </c>
      <c r="G16" s="14" t="s">
        <v>3</v>
      </c>
      <c r="H16" s="14" t="s">
        <v>40</v>
      </c>
      <c r="I16" s="14" t="s">
        <v>13</v>
      </c>
      <c r="J16" s="14" t="s">
        <v>6</v>
      </c>
    </row>
    <row r="17" spans="1:11" x14ac:dyDescent="0.3">
      <c r="A17" s="23">
        <v>2000</v>
      </c>
      <c r="B17" s="23" t="s">
        <v>3</v>
      </c>
      <c r="C17" s="23" t="s">
        <v>3</v>
      </c>
      <c r="D17" s="23" t="s">
        <v>201</v>
      </c>
      <c r="F17" s="14">
        <v>2</v>
      </c>
      <c r="G17" s="14" t="s">
        <v>3</v>
      </c>
      <c r="H17" s="14" t="s">
        <v>40</v>
      </c>
      <c r="I17" s="14" t="s">
        <v>14</v>
      </c>
      <c r="J17" s="14" t="s">
        <v>3</v>
      </c>
    </row>
    <row r="18" spans="1:11" x14ac:dyDescent="0.3">
      <c r="A18" s="23">
        <v>3000</v>
      </c>
      <c r="B18" s="23" t="s">
        <v>24</v>
      </c>
      <c r="C18" s="23" t="s">
        <v>20</v>
      </c>
      <c r="D18" s="23" t="s">
        <v>191</v>
      </c>
      <c r="F18" s="14">
        <v>3</v>
      </c>
      <c r="G18" s="14" t="s">
        <v>116</v>
      </c>
      <c r="H18" s="14" t="s">
        <v>40</v>
      </c>
      <c r="I18" s="14" t="s">
        <v>13</v>
      </c>
      <c r="J18" s="14" t="s">
        <v>20</v>
      </c>
    </row>
    <row r="19" spans="1:11" x14ac:dyDescent="0.3">
      <c r="A19" s="23">
        <v>4000</v>
      </c>
      <c r="B19" s="23" t="s">
        <v>24</v>
      </c>
      <c r="C19" s="23" t="s">
        <v>20</v>
      </c>
      <c r="D19" s="23" t="s">
        <v>201</v>
      </c>
      <c r="F19" s="14">
        <v>4</v>
      </c>
      <c r="G19" s="14" t="s">
        <v>116</v>
      </c>
      <c r="H19" s="14" t="s">
        <v>40</v>
      </c>
      <c r="I19" s="14" t="s">
        <v>14</v>
      </c>
      <c r="J19" s="14" t="s">
        <v>6</v>
      </c>
    </row>
    <row r="20" spans="1:11" x14ac:dyDescent="0.3">
      <c r="A20" s="23">
        <v>5000</v>
      </c>
      <c r="B20" s="23" t="s">
        <v>212</v>
      </c>
      <c r="C20" s="23" t="s">
        <v>6</v>
      </c>
      <c r="D20" s="23" t="s">
        <v>191</v>
      </c>
    </row>
    <row r="21" spans="1:11" x14ac:dyDescent="0.3">
      <c r="A21" s="23">
        <v>6000</v>
      </c>
      <c r="B21" s="23" t="str">
        <f>C21</f>
        <v>Deferred Revenue</v>
      </c>
      <c r="C21" s="23" t="s">
        <v>6</v>
      </c>
      <c r="D21" s="23" t="s">
        <v>201</v>
      </c>
    </row>
    <row r="24" spans="1:11" ht="23.4" x14ac:dyDescent="0.45">
      <c r="A24" s="28" t="s">
        <v>136</v>
      </c>
    </row>
    <row r="25" spans="1:11" x14ac:dyDescent="0.3">
      <c r="A25" s="27" t="s">
        <v>120</v>
      </c>
    </row>
    <row r="26" spans="1:11" x14ac:dyDescent="0.3">
      <c r="A26" s="24" t="s">
        <v>49</v>
      </c>
      <c r="B26" s="24" t="s">
        <v>27</v>
      </c>
      <c r="C26" s="24" t="s">
        <v>28</v>
      </c>
      <c r="D26" s="24" t="s">
        <v>30</v>
      </c>
      <c r="E26" s="24" t="s">
        <v>72</v>
      </c>
      <c r="F26" s="17" t="s">
        <v>9</v>
      </c>
    </row>
    <row r="27" spans="1:11" x14ac:dyDescent="0.3">
      <c r="A27" s="2"/>
      <c r="F27" s="18"/>
    </row>
    <row r="28" spans="1:11" x14ac:dyDescent="0.3">
      <c r="A28" s="27" t="s">
        <v>121</v>
      </c>
    </row>
    <row r="29" spans="1:11" x14ac:dyDescent="0.3">
      <c r="A29" s="24" t="s">
        <v>26</v>
      </c>
      <c r="B29" s="24" t="s">
        <v>72</v>
      </c>
      <c r="C29" s="24" t="s">
        <v>27</v>
      </c>
      <c r="D29" s="24" t="s">
        <v>214</v>
      </c>
      <c r="E29" s="24" t="s">
        <v>67</v>
      </c>
      <c r="F29" s="24" t="s">
        <v>50</v>
      </c>
      <c r="G29" s="24" t="s">
        <v>77</v>
      </c>
      <c r="H29" s="24" t="s">
        <v>74</v>
      </c>
      <c r="I29" s="24" t="s">
        <v>83</v>
      </c>
      <c r="J29" s="24" t="s">
        <v>70</v>
      </c>
      <c r="K29" s="24" t="s">
        <v>71</v>
      </c>
    </row>
    <row r="30" spans="1:11" x14ac:dyDescent="0.3">
      <c r="A30" s="2">
        <v>45292</v>
      </c>
      <c r="B30" s="24">
        <v>1</v>
      </c>
      <c r="C30" s="23" t="s">
        <v>29</v>
      </c>
      <c r="D30" s="23" t="s">
        <v>191</v>
      </c>
      <c r="E30" s="2">
        <v>45292</v>
      </c>
      <c r="F30" s="2">
        <v>45292</v>
      </c>
      <c r="G30" s="2">
        <v>45657</v>
      </c>
      <c r="H30" s="23" t="s">
        <v>75</v>
      </c>
      <c r="I30" s="23" t="s">
        <v>84</v>
      </c>
      <c r="J30" s="19">
        <v>100</v>
      </c>
      <c r="K30" s="23">
        <v>12</v>
      </c>
    </row>
    <row r="32" spans="1:11" x14ac:dyDescent="0.3">
      <c r="A32" s="27" t="s">
        <v>123</v>
      </c>
    </row>
    <row r="33" spans="1:27" x14ac:dyDescent="0.3">
      <c r="A33" s="24" t="s">
        <v>83</v>
      </c>
      <c r="B33" s="23" t="str">
        <f>I30</f>
        <v>Ratable</v>
      </c>
    </row>
    <row r="34" spans="1:27" x14ac:dyDescent="0.3">
      <c r="A34" s="24" t="s">
        <v>50</v>
      </c>
      <c r="B34" s="2">
        <f>F30</f>
        <v>45292</v>
      </c>
      <c r="D34" s="23" t="s">
        <v>122</v>
      </c>
      <c r="E34" s="2">
        <f>EOMONTH(B34,0)</f>
        <v>45322</v>
      </c>
    </row>
    <row r="35" spans="1:27" x14ac:dyDescent="0.3">
      <c r="A35" s="24" t="s">
        <v>79</v>
      </c>
      <c r="B35" s="23">
        <f>G30-F30+1</f>
        <v>366</v>
      </c>
    </row>
    <row r="36" spans="1:27" x14ac:dyDescent="0.3">
      <c r="A36" s="24" t="s">
        <v>117</v>
      </c>
      <c r="B36" s="23">
        <f>J30*K30</f>
        <v>1200</v>
      </c>
    </row>
    <row r="37" spans="1:27" x14ac:dyDescent="0.3">
      <c r="A37" s="24" t="s">
        <v>82</v>
      </c>
      <c r="B37" s="23">
        <f>B36/B35</f>
        <v>3.278688524590164</v>
      </c>
    </row>
    <row r="38" spans="1:27" x14ac:dyDescent="0.3">
      <c r="H38" s="27" t="s">
        <v>124</v>
      </c>
      <c r="Q38" s="24" t="s">
        <v>215</v>
      </c>
    </row>
    <row r="39" spans="1:27" x14ac:dyDescent="0.3">
      <c r="B39" s="24" t="s">
        <v>47</v>
      </c>
      <c r="C39" s="24" t="s">
        <v>54</v>
      </c>
      <c r="D39" s="24" t="s">
        <v>3</v>
      </c>
      <c r="H39" s="24" t="s">
        <v>64</v>
      </c>
      <c r="I39" s="24" t="s">
        <v>49</v>
      </c>
      <c r="J39" s="24" t="s">
        <v>27</v>
      </c>
      <c r="K39" s="24" t="s">
        <v>28</v>
      </c>
      <c r="L39" s="24" t="s">
        <v>30</v>
      </c>
      <c r="M39" s="24" t="s">
        <v>72</v>
      </c>
      <c r="N39" s="24" t="s">
        <v>87</v>
      </c>
      <c r="Q39" s="24" t="s">
        <v>57</v>
      </c>
      <c r="R39" s="24" t="s">
        <v>27</v>
      </c>
      <c r="S39" s="24" t="s">
        <v>28</v>
      </c>
      <c r="T39" s="24" t="s">
        <v>34</v>
      </c>
      <c r="U39" s="3" t="s">
        <v>31</v>
      </c>
      <c r="V39" s="3" t="s">
        <v>32</v>
      </c>
      <c r="W39" s="3" t="s">
        <v>33</v>
      </c>
      <c r="X39" s="3" t="s">
        <v>13</v>
      </c>
      <c r="Y39" s="3" t="s">
        <v>14</v>
      </c>
      <c r="Z39" s="3" t="s">
        <v>214</v>
      </c>
      <c r="AA39" s="3" t="s">
        <v>61</v>
      </c>
    </row>
    <row r="40" spans="1:27" x14ac:dyDescent="0.3">
      <c r="B40" s="2">
        <f>E34</f>
        <v>45322</v>
      </c>
      <c r="C40" s="20">
        <f>_xlfn.DAYS(B40,B34)+1</f>
        <v>31</v>
      </c>
      <c r="D40" s="23">
        <f>$B$37*C40</f>
        <v>101.63934426229508</v>
      </c>
      <c r="H40" s="23" t="str">
        <f>VLOOKUP(I40,'AccountingPeriod (3)'!$A$6:$G$17,7,TRUE)</f>
        <v>2024-1</v>
      </c>
      <c r="I40" s="2">
        <f>B40</f>
        <v>45322</v>
      </c>
      <c r="J40" s="23" t="s">
        <v>29</v>
      </c>
      <c r="K40" s="23" t="s">
        <v>3</v>
      </c>
      <c r="L40" s="23">
        <f>D40</f>
        <v>101.63934426229508</v>
      </c>
      <c r="M40" s="23">
        <v>1</v>
      </c>
      <c r="N40" s="23">
        <v>1</v>
      </c>
      <c r="Q40" s="2" t="s">
        <v>48</v>
      </c>
      <c r="R40" s="23" t="str">
        <f>J40</f>
        <v>SO1</v>
      </c>
      <c r="S40" s="23" t="str">
        <f>K40</f>
        <v>Revenue</v>
      </c>
      <c r="T40" s="23">
        <f>A20</f>
        <v>5000</v>
      </c>
      <c r="U40" s="23" t="str">
        <f>B20</f>
        <v>Unbilled Receivable</v>
      </c>
      <c r="V40" s="23" t="str">
        <f>N5</f>
        <v>Balance Sheet</v>
      </c>
      <c r="W40" s="23" t="str">
        <f>M5</f>
        <v>Deferred Revenue</v>
      </c>
      <c r="X40" s="19">
        <f>L40</f>
        <v>101.63934426229508</v>
      </c>
      <c r="Z40" s="23" t="s">
        <v>191</v>
      </c>
    </row>
    <row r="41" spans="1:27" x14ac:dyDescent="0.3">
      <c r="B41" s="2">
        <f>EOMONTH(EDATE(B40,1),0)</f>
        <v>45351</v>
      </c>
      <c r="C41" s="23">
        <f t="shared" ref="C41:C51" si="0">_xlfn.DAYS(B41,B40)</f>
        <v>29</v>
      </c>
      <c r="D41" s="23">
        <f t="shared" ref="D41:D51" si="1">$B$37*C41</f>
        <v>95.081967213114751</v>
      </c>
      <c r="H41" s="23" t="str">
        <f>VLOOKUP(I41,'AccountingPeriod (3)'!$A$6:$G$17,7,TRUE)</f>
        <v>2024-2</v>
      </c>
      <c r="I41" s="2">
        <f t="shared" ref="I41:I51" si="2">B41</f>
        <v>45351</v>
      </c>
      <c r="J41" s="23" t="s">
        <v>29</v>
      </c>
      <c r="K41" s="23" t="s">
        <v>3</v>
      </c>
      <c r="L41" s="23">
        <f t="shared" ref="L41:L51" si="3">D41</f>
        <v>95.081967213114751</v>
      </c>
      <c r="M41" s="23">
        <v>1</v>
      </c>
      <c r="N41" s="23">
        <v>1</v>
      </c>
      <c r="Q41" s="2" t="s">
        <v>48</v>
      </c>
      <c r="R41" s="23" t="str">
        <f>R40</f>
        <v>SO1</v>
      </c>
      <c r="S41" s="23" t="str">
        <f>K41</f>
        <v>Revenue</v>
      </c>
      <c r="T41" s="23">
        <v>1000</v>
      </c>
      <c r="U41" s="23" t="str">
        <f>B16</f>
        <v>Revenue</v>
      </c>
      <c r="V41" s="23" t="str">
        <f>N4</f>
        <v>Income Statement</v>
      </c>
      <c r="W41" s="23" t="str">
        <f>M4</f>
        <v>Revenue</v>
      </c>
      <c r="Y41" s="19">
        <f>-X40</f>
        <v>-101.63934426229508</v>
      </c>
      <c r="Z41" s="23" t="s">
        <v>191</v>
      </c>
    </row>
    <row r="42" spans="1:27" x14ac:dyDescent="0.3">
      <c r="B42" s="2">
        <f t="shared" ref="B42:B51" si="4">EOMONTH(EDATE(B41,1),0)</f>
        <v>45382</v>
      </c>
      <c r="C42" s="23">
        <f t="shared" si="0"/>
        <v>31</v>
      </c>
      <c r="D42" s="23">
        <f t="shared" si="1"/>
        <v>101.63934426229508</v>
      </c>
      <c r="H42" s="23" t="str">
        <f>VLOOKUP(I42,'AccountingPeriod (3)'!$A$6:$G$17,7,TRUE)</f>
        <v>2024-3</v>
      </c>
      <c r="I42" s="2">
        <f t="shared" si="2"/>
        <v>45382</v>
      </c>
      <c r="J42" s="23" t="s">
        <v>29</v>
      </c>
      <c r="K42" s="23" t="s">
        <v>3</v>
      </c>
      <c r="L42" s="23">
        <f t="shared" si="3"/>
        <v>101.63934426229508</v>
      </c>
      <c r="M42" s="23">
        <v>1</v>
      </c>
      <c r="N42" s="23">
        <v>1</v>
      </c>
      <c r="Q42" s="2" t="s">
        <v>216</v>
      </c>
      <c r="R42" s="23" t="str">
        <f>R41</f>
        <v>SO1</v>
      </c>
      <c r="S42" s="2" t="str">
        <f>S40</f>
        <v>Revenue</v>
      </c>
      <c r="T42" s="23">
        <f>T40</f>
        <v>5000</v>
      </c>
      <c r="U42" s="23" t="str">
        <f>U40</f>
        <v>Unbilled Receivable</v>
      </c>
      <c r="V42" s="23" t="str">
        <f>V40</f>
        <v>Balance Sheet</v>
      </c>
      <c r="W42" s="23" t="str">
        <f>W40</f>
        <v>Deferred Revenue</v>
      </c>
      <c r="X42" s="19">
        <f>L41</f>
        <v>95.081967213114751</v>
      </c>
      <c r="Z42" s="23" t="s">
        <v>191</v>
      </c>
    </row>
    <row r="43" spans="1:27" x14ac:dyDescent="0.3">
      <c r="B43" s="2">
        <f t="shared" si="4"/>
        <v>45412</v>
      </c>
      <c r="C43" s="23">
        <f t="shared" si="0"/>
        <v>30</v>
      </c>
      <c r="D43" s="23">
        <f t="shared" si="1"/>
        <v>98.360655737704917</v>
      </c>
      <c r="H43" s="23" t="str">
        <f>VLOOKUP(I43,'AccountingPeriod (3)'!$A$6:$G$17,7,TRUE)</f>
        <v>2024-4</v>
      </c>
      <c r="I43" s="2">
        <f t="shared" si="2"/>
        <v>45412</v>
      </c>
      <c r="J43" s="23" t="s">
        <v>29</v>
      </c>
      <c r="K43" s="23" t="s">
        <v>3</v>
      </c>
      <c r="L43" s="23">
        <f t="shared" si="3"/>
        <v>98.360655737704917</v>
      </c>
      <c r="M43" s="23">
        <v>1</v>
      </c>
      <c r="N43" s="23">
        <v>1</v>
      </c>
      <c r="Q43" s="2" t="s">
        <v>216</v>
      </c>
      <c r="R43" s="23" t="str">
        <f>R42</f>
        <v>SO1</v>
      </c>
      <c r="S43" s="23" t="str">
        <f>S42</f>
        <v>Revenue</v>
      </c>
      <c r="T43" s="23">
        <f>T41</f>
        <v>1000</v>
      </c>
      <c r="U43" s="23" t="str">
        <f>U41</f>
        <v>Revenue</v>
      </c>
      <c r="V43" s="23" t="str">
        <f>V41</f>
        <v>Income Statement</v>
      </c>
      <c r="W43" s="23" t="str">
        <f>W41</f>
        <v>Revenue</v>
      </c>
      <c r="Y43" s="23">
        <f>-X42</f>
        <v>-95.081967213114751</v>
      </c>
      <c r="Z43" s="23" t="s">
        <v>191</v>
      </c>
    </row>
    <row r="44" spans="1:27" x14ac:dyDescent="0.3">
      <c r="B44" s="2">
        <f t="shared" si="4"/>
        <v>45443</v>
      </c>
      <c r="C44" s="23">
        <f t="shared" si="0"/>
        <v>31</v>
      </c>
      <c r="D44" s="23">
        <f t="shared" si="1"/>
        <v>101.63934426229508</v>
      </c>
      <c r="H44" s="23" t="str">
        <f>VLOOKUP(I44,'AccountingPeriod (3)'!$A$6:$G$17,7,TRUE)</f>
        <v>2024-5</v>
      </c>
      <c r="I44" s="2">
        <f t="shared" si="2"/>
        <v>45443</v>
      </c>
      <c r="J44" s="23" t="s">
        <v>29</v>
      </c>
      <c r="K44" s="23" t="s">
        <v>3</v>
      </c>
      <c r="L44" s="23">
        <f t="shared" si="3"/>
        <v>101.63934426229508</v>
      </c>
      <c r="M44" s="23">
        <v>1</v>
      </c>
      <c r="N44" s="23">
        <v>1</v>
      </c>
    </row>
    <row r="45" spans="1:27" x14ac:dyDescent="0.3">
      <c r="B45" s="2">
        <f t="shared" si="4"/>
        <v>45473</v>
      </c>
      <c r="C45" s="23">
        <f t="shared" si="0"/>
        <v>30</v>
      </c>
      <c r="D45" s="23">
        <f t="shared" si="1"/>
        <v>98.360655737704917</v>
      </c>
      <c r="H45" s="23" t="str">
        <f>VLOOKUP(I45,'AccountingPeriod (3)'!$A$6:$G$17,7,TRUE)</f>
        <v>2024-6</v>
      </c>
      <c r="I45" s="2">
        <f t="shared" si="2"/>
        <v>45473</v>
      </c>
      <c r="J45" s="23" t="s">
        <v>29</v>
      </c>
      <c r="K45" s="23" t="s">
        <v>3</v>
      </c>
      <c r="L45" s="23">
        <f t="shared" si="3"/>
        <v>98.360655737704917</v>
      </c>
      <c r="M45" s="23">
        <v>1</v>
      </c>
      <c r="N45" s="23">
        <v>1</v>
      </c>
    </row>
    <row r="46" spans="1:27" x14ac:dyDescent="0.3">
      <c r="B46" s="2">
        <f t="shared" si="4"/>
        <v>45504</v>
      </c>
      <c r="C46" s="23">
        <f t="shared" si="0"/>
        <v>31</v>
      </c>
      <c r="D46" s="23">
        <f t="shared" si="1"/>
        <v>101.63934426229508</v>
      </c>
      <c r="H46" s="23" t="str">
        <f>VLOOKUP(I46,'AccountingPeriod (3)'!$A$6:$G$17,7,TRUE)</f>
        <v>2024-7</v>
      </c>
      <c r="I46" s="2">
        <f t="shared" si="2"/>
        <v>45504</v>
      </c>
      <c r="J46" s="23" t="s">
        <v>29</v>
      </c>
      <c r="K46" s="23" t="s">
        <v>3</v>
      </c>
      <c r="L46" s="23">
        <f t="shared" si="3"/>
        <v>101.63934426229508</v>
      </c>
      <c r="M46" s="23">
        <v>1</v>
      </c>
      <c r="N46" s="23">
        <v>1</v>
      </c>
    </row>
    <row r="47" spans="1:27" x14ac:dyDescent="0.3">
      <c r="B47" s="2">
        <f t="shared" si="4"/>
        <v>45535</v>
      </c>
      <c r="C47" s="23">
        <f t="shared" si="0"/>
        <v>31</v>
      </c>
      <c r="D47" s="23">
        <f t="shared" si="1"/>
        <v>101.63934426229508</v>
      </c>
      <c r="H47" s="23" t="str">
        <f>VLOOKUP(I47,'AccountingPeriod (3)'!$A$6:$G$17,7,TRUE)</f>
        <v>2024-8</v>
      </c>
      <c r="I47" s="2">
        <f t="shared" si="2"/>
        <v>45535</v>
      </c>
      <c r="J47" s="23" t="s">
        <v>29</v>
      </c>
      <c r="K47" s="23" t="s">
        <v>3</v>
      </c>
      <c r="L47" s="23">
        <f t="shared" si="3"/>
        <v>101.63934426229508</v>
      </c>
      <c r="M47" s="23">
        <v>1</v>
      </c>
      <c r="N47" s="23">
        <v>1</v>
      </c>
    </row>
    <row r="48" spans="1:27" x14ac:dyDescent="0.3">
      <c r="B48" s="2">
        <f t="shared" si="4"/>
        <v>45565</v>
      </c>
      <c r="C48" s="23">
        <f t="shared" si="0"/>
        <v>30</v>
      </c>
      <c r="D48" s="23">
        <f t="shared" si="1"/>
        <v>98.360655737704917</v>
      </c>
      <c r="H48" s="23" t="str">
        <f>VLOOKUP(I48,'AccountingPeriod (3)'!$A$6:$G$17,7,TRUE)</f>
        <v>2024-9</v>
      </c>
      <c r="I48" s="2">
        <f t="shared" si="2"/>
        <v>45565</v>
      </c>
      <c r="J48" s="23" t="s">
        <v>29</v>
      </c>
      <c r="K48" s="23" t="s">
        <v>3</v>
      </c>
      <c r="L48" s="23">
        <f t="shared" si="3"/>
        <v>98.360655737704917</v>
      </c>
      <c r="M48" s="23">
        <v>1</v>
      </c>
      <c r="N48" s="23">
        <v>1</v>
      </c>
    </row>
    <row r="49" spans="1:14" x14ac:dyDescent="0.3">
      <c r="B49" s="2">
        <f t="shared" si="4"/>
        <v>45596</v>
      </c>
      <c r="C49" s="23">
        <f t="shared" si="0"/>
        <v>31</v>
      </c>
      <c r="D49" s="23">
        <f t="shared" si="1"/>
        <v>101.63934426229508</v>
      </c>
      <c r="H49" s="23" t="str">
        <f>VLOOKUP(I49,'AccountingPeriod (3)'!$A$6:$G$17,7,TRUE)</f>
        <v>2024-10</v>
      </c>
      <c r="I49" s="2">
        <f t="shared" si="2"/>
        <v>45596</v>
      </c>
      <c r="J49" s="23" t="s">
        <v>29</v>
      </c>
      <c r="K49" s="23" t="s">
        <v>3</v>
      </c>
      <c r="L49" s="23">
        <f t="shared" si="3"/>
        <v>101.63934426229508</v>
      </c>
      <c r="M49" s="23">
        <v>1</v>
      </c>
      <c r="N49" s="23">
        <v>1</v>
      </c>
    </row>
    <row r="50" spans="1:14" x14ac:dyDescent="0.3">
      <c r="B50" s="2">
        <f t="shared" si="4"/>
        <v>45626</v>
      </c>
      <c r="C50" s="23">
        <f t="shared" si="0"/>
        <v>30</v>
      </c>
      <c r="D50" s="23">
        <f t="shared" si="1"/>
        <v>98.360655737704917</v>
      </c>
      <c r="H50" s="23" t="str">
        <f>VLOOKUP(I50,'AccountingPeriod (3)'!$A$6:$G$17,7,TRUE)</f>
        <v>2024-11</v>
      </c>
      <c r="I50" s="2">
        <f t="shared" si="2"/>
        <v>45626</v>
      </c>
      <c r="J50" s="23" t="s">
        <v>29</v>
      </c>
      <c r="K50" s="23" t="s">
        <v>3</v>
      </c>
      <c r="L50" s="23">
        <f t="shared" si="3"/>
        <v>98.360655737704917</v>
      </c>
      <c r="M50" s="23">
        <v>1</v>
      </c>
      <c r="N50" s="23">
        <v>1</v>
      </c>
    </row>
    <row r="51" spans="1:14" x14ac:dyDescent="0.3">
      <c r="B51" s="2">
        <f t="shared" si="4"/>
        <v>45657</v>
      </c>
      <c r="C51" s="23">
        <f t="shared" si="0"/>
        <v>31</v>
      </c>
      <c r="D51" s="23">
        <f t="shared" si="1"/>
        <v>101.63934426229508</v>
      </c>
      <c r="H51" s="23" t="str">
        <f>VLOOKUP(I51,'AccountingPeriod (3)'!$A$6:$G$17,7,TRUE)</f>
        <v>2024-12</v>
      </c>
      <c r="I51" s="2">
        <f t="shared" si="2"/>
        <v>45657</v>
      </c>
      <c r="J51" s="23" t="s">
        <v>29</v>
      </c>
      <c r="K51" s="23" t="s">
        <v>3</v>
      </c>
      <c r="L51" s="23">
        <f t="shared" si="3"/>
        <v>101.63934426229508</v>
      </c>
      <c r="M51" s="23">
        <v>1</v>
      </c>
      <c r="N51" s="23">
        <v>1</v>
      </c>
    </row>
    <row r="52" spans="1:14" x14ac:dyDescent="0.3">
      <c r="L52" s="24">
        <f>SUM(L40:L51)</f>
        <v>1200</v>
      </c>
    </row>
    <row r="53" spans="1:14" ht="23.4" x14ac:dyDescent="0.45">
      <c r="A53" s="28" t="s">
        <v>137</v>
      </c>
    </row>
    <row r="54" spans="1:14" x14ac:dyDescent="0.3">
      <c r="A54" s="27" t="s">
        <v>219</v>
      </c>
    </row>
    <row r="55" spans="1:14" x14ac:dyDescent="0.3">
      <c r="A55" s="27"/>
    </row>
    <row r="56" spans="1:14" x14ac:dyDescent="0.3">
      <c r="A56" s="27" t="s">
        <v>217</v>
      </c>
      <c r="B56" s="23" t="s">
        <v>218</v>
      </c>
    </row>
    <row r="57" spans="1:14" x14ac:dyDescent="0.3">
      <c r="A57" s="27"/>
    </row>
    <row r="58" spans="1:14" x14ac:dyDescent="0.3">
      <c r="A58" s="26" t="s">
        <v>88</v>
      </c>
    </row>
    <row r="59" spans="1:14" x14ac:dyDescent="0.3">
      <c r="A59" s="24" t="s">
        <v>49</v>
      </c>
      <c r="B59" s="24" t="s">
        <v>27</v>
      </c>
      <c r="C59" s="24" t="s">
        <v>28</v>
      </c>
      <c r="D59" s="24" t="s">
        <v>30</v>
      </c>
      <c r="E59" s="24" t="s">
        <v>72</v>
      </c>
      <c r="F59" s="17" t="s">
        <v>9</v>
      </c>
    </row>
    <row r="60" spans="1:14" x14ac:dyDescent="0.3">
      <c r="A60" s="2">
        <v>45356</v>
      </c>
      <c r="B60" s="23" t="s">
        <v>29</v>
      </c>
      <c r="C60" s="23" t="s">
        <v>116</v>
      </c>
      <c r="D60" s="23">
        <v>1200</v>
      </c>
      <c r="E60" s="23">
        <v>1</v>
      </c>
    </row>
    <row r="62" spans="1:14" x14ac:dyDescent="0.3">
      <c r="A62" s="27" t="s">
        <v>128</v>
      </c>
    </row>
    <row r="63" spans="1:14" x14ac:dyDescent="0.3">
      <c r="A63" s="24" t="s">
        <v>26</v>
      </c>
      <c r="B63" s="24" t="s">
        <v>72</v>
      </c>
      <c r="C63" s="24" t="s">
        <v>27</v>
      </c>
      <c r="D63" s="24" t="s">
        <v>214</v>
      </c>
      <c r="E63" s="24" t="s">
        <v>67</v>
      </c>
      <c r="F63" s="24" t="s">
        <v>50</v>
      </c>
      <c r="G63" s="24" t="s">
        <v>77</v>
      </c>
      <c r="H63" s="24" t="s">
        <v>74</v>
      </c>
      <c r="I63" s="24" t="s">
        <v>83</v>
      </c>
      <c r="J63" s="24" t="s">
        <v>70</v>
      </c>
      <c r="K63" s="24" t="s">
        <v>71</v>
      </c>
    </row>
    <row r="64" spans="1:14" x14ac:dyDescent="0.3">
      <c r="A64" s="2">
        <v>45292</v>
      </c>
      <c r="B64" s="24">
        <v>1</v>
      </c>
      <c r="C64" s="23" t="s">
        <v>29</v>
      </c>
      <c r="D64" s="23" t="s">
        <v>201</v>
      </c>
      <c r="E64" s="2">
        <v>45292</v>
      </c>
      <c r="F64" s="2">
        <v>45292</v>
      </c>
      <c r="G64" s="2">
        <v>45657</v>
      </c>
      <c r="H64" s="23" t="s">
        <v>75</v>
      </c>
      <c r="I64" s="23" t="s">
        <v>84</v>
      </c>
      <c r="J64" s="25">
        <v>100</v>
      </c>
      <c r="K64" s="23">
        <v>12</v>
      </c>
    </row>
    <row r="65" spans="1:17" x14ac:dyDescent="0.3">
      <c r="A65" s="2"/>
      <c r="B65" s="24"/>
      <c r="E65" s="2"/>
      <c r="F65" s="2"/>
      <c r="G65" s="2"/>
      <c r="J65" s="25"/>
    </row>
    <row r="66" spans="1:17" x14ac:dyDescent="0.3">
      <c r="A66" s="27" t="s">
        <v>129</v>
      </c>
    </row>
    <row r="67" spans="1:17" x14ac:dyDescent="0.3">
      <c r="A67" s="24" t="s">
        <v>57</v>
      </c>
      <c r="B67" s="24" t="s">
        <v>26</v>
      </c>
      <c r="C67" s="24" t="s">
        <v>72</v>
      </c>
      <c r="D67" s="24" t="s">
        <v>27</v>
      </c>
      <c r="E67" s="24" t="s">
        <v>62</v>
      </c>
      <c r="F67" s="24" t="s">
        <v>134</v>
      </c>
      <c r="G67" s="24" t="s">
        <v>43</v>
      </c>
      <c r="H67" s="24" t="s">
        <v>66</v>
      </c>
      <c r="I67" s="24" t="s">
        <v>68</v>
      </c>
      <c r="J67" s="24" t="s">
        <v>69</v>
      </c>
      <c r="K67" s="24" t="s">
        <v>73</v>
      </c>
      <c r="L67" s="24" t="s">
        <v>86</v>
      </c>
      <c r="M67" s="24" t="s">
        <v>110</v>
      </c>
      <c r="N67" s="24" t="s">
        <v>111</v>
      </c>
    </row>
    <row r="68" spans="1:17" x14ac:dyDescent="0.3">
      <c r="A68" s="23" t="s">
        <v>48</v>
      </c>
      <c r="B68" s="2">
        <f>A30</f>
        <v>45292</v>
      </c>
      <c r="C68" s="20">
        <f>B30</f>
        <v>1</v>
      </c>
      <c r="D68" s="2" t="str">
        <f>C30</f>
        <v>SO1</v>
      </c>
      <c r="E68" s="23">
        <v>111</v>
      </c>
      <c r="F68" s="2">
        <f>B69</f>
        <v>45356</v>
      </c>
      <c r="G68" s="23" t="str">
        <f t="shared" ref="G68:N68" si="5">D30</f>
        <v>Unbilled</v>
      </c>
      <c r="H68" s="2">
        <f t="shared" si="5"/>
        <v>45292</v>
      </c>
      <c r="I68" s="2">
        <f t="shared" si="5"/>
        <v>45292</v>
      </c>
      <c r="J68" s="2">
        <f t="shared" si="5"/>
        <v>45657</v>
      </c>
      <c r="K68" s="23" t="str">
        <f t="shared" si="5"/>
        <v>SaaS</v>
      </c>
      <c r="L68" s="23" t="str">
        <f t="shared" si="5"/>
        <v>Ratable</v>
      </c>
      <c r="M68" s="8">
        <f t="shared" si="5"/>
        <v>100</v>
      </c>
      <c r="N68" s="23">
        <f t="shared" si="5"/>
        <v>12</v>
      </c>
      <c r="Q68" s="23" t="s">
        <v>159</v>
      </c>
    </row>
    <row r="69" spans="1:17" x14ac:dyDescent="0.3">
      <c r="A69" s="23" t="s">
        <v>127</v>
      </c>
      <c r="B69" s="2">
        <v>45356</v>
      </c>
      <c r="C69" s="23">
        <f>B64</f>
        <v>1</v>
      </c>
      <c r="D69" s="23" t="str">
        <f>C64</f>
        <v>SO1</v>
      </c>
      <c r="E69" s="23">
        <v>222</v>
      </c>
      <c r="G69" s="23" t="s">
        <v>201</v>
      </c>
      <c r="H69" s="2">
        <f>H68</f>
        <v>45292</v>
      </c>
      <c r="I69" s="2">
        <f t="shared" ref="I69:N69" si="6">F64</f>
        <v>45292</v>
      </c>
      <c r="J69" s="2">
        <f t="shared" si="6"/>
        <v>45657</v>
      </c>
      <c r="K69" s="23" t="str">
        <f t="shared" si="6"/>
        <v>SaaS</v>
      </c>
      <c r="L69" s="23" t="str">
        <f t="shared" si="6"/>
        <v>Ratable</v>
      </c>
      <c r="M69" s="8">
        <v>100</v>
      </c>
      <c r="N69" s="23">
        <f t="shared" si="6"/>
        <v>12</v>
      </c>
      <c r="Q69" s="23" t="s">
        <v>133</v>
      </c>
    </row>
    <row r="71" spans="1:17" x14ac:dyDescent="0.3">
      <c r="A71" s="27" t="s">
        <v>123</v>
      </c>
    </row>
    <row r="72" spans="1:17" x14ac:dyDescent="0.3">
      <c r="A72" s="24" t="s">
        <v>83</v>
      </c>
      <c r="B72" s="23" t="str">
        <f>I64</f>
        <v>Ratable</v>
      </c>
    </row>
    <row r="73" spans="1:17" x14ac:dyDescent="0.3">
      <c r="A73" s="24" t="s">
        <v>50</v>
      </c>
      <c r="B73" s="2">
        <f>F64</f>
        <v>45292</v>
      </c>
      <c r="D73" s="23" t="s">
        <v>122</v>
      </c>
      <c r="E73" s="2">
        <f>EOMONTH(B73,0)</f>
        <v>45322</v>
      </c>
    </row>
    <row r="74" spans="1:17" x14ac:dyDescent="0.3">
      <c r="A74" s="24" t="s">
        <v>79</v>
      </c>
      <c r="B74" s="23">
        <f>G64-F64+1</f>
        <v>366</v>
      </c>
    </row>
    <row r="75" spans="1:17" x14ac:dyDescent="0.3">
      <c r="A75" s="24" t="s">
        <v>117</v>
      </c>
      <c r="B75" s="23">
        <f>J64*K64</f>
        <v>1200</v>
      </c>
    </row>
    <row r="76" spans="1:17" x14ac:dyDescent="0.3">
      <c r="A76" s="24" t="s">
        <v>82</v>
      </c>
      <c r="B76" s="23">
        <f>B75/B74</f>
        <v>3.278688524590164</v>
      </c>
    </row>
    <row r="77" spans="1:17" x14ac:dyDescent="0.3">
      <c r="H77" s="27" t="s">
        <v>138</v>
      </c>
    </row>
    <row r="78" spans="1:17" x14ac:dyDescent="0.3">
      <c r="B78" s="24" t="s">
        <v>47</v>
      </c>
      <c r="C78" s="24" t="s">
        <v>54</v>
      </c>
      <c r="D78" s="24" t="s">
        <v>3</v>
      </c>
      <c r="H78" s="24" t="s">
        <v>64</v>
      </c>
      <c r="I78" s="24" t="s">
        <v>49</v>
      </c>
      <c r="J78" s="24" t="s">
        <v>27</v>
      </c>
      <c r="K78" s="24" t="s">
        <v>28</v>
      </c>
      <c r="L78" s="24" t="s">
        <v>30</v>
      </c>
      <c r="M78" s="24" t="s">
        <v>72</v>
      </c>
      <c r="N78" s="24" t="s">
        <v>87</v>
      </c>
    </row>
    <row r="79" spans="1:17" x14ac:dyDescent="0.3">
      <c r="B79" s="2">
        <f>E73</f>
        <v>45322</v>
      </c>
      <c r="C79" s="20">
        <f>_xlfn.DAYS(B79,B73)+1</f>
        <v>31</v>
      </c>
      <c r="D79" s="23">
        <f>$B$76*C79</f>
        <v>101.63934426229508</v>
      </c>
      <c r="G79" s="27" t="s">
        <v>126</v>
      </c>
      <c r="H79" s="24" t="s">
        <v>127</v>
      </c>
      <c r="I79" s="2">
        <f t="shared" ref="I79:K90" si="7">I40</f>
        <v>45322</v>
      </c>
      <c r="J79" s="23" t="str">
        <f t="shared" si="7"/>
        <v>SO1</v>
      </c>
      <c r="K79" s="23" t="str">
        <f t="shared" si="7"/>
        <v>Revenue</v>
      </c>
      <c r="L79" s="23">
        <f t="shared" ref="L79:L90" si="8">-L40</f>
        <v>-101.63934426229508</v>
      </c>
      <c r="M79" s="23">
        <f t="shared" ref="M79:N90" si="9">M40</f>
        <v>1</v>
      </c>
      <c r="N79" s="23">
        <f t="shared" si="9"/>
        <v>1</v>
      </c>
    </row>
    <row r="80" spans="1:17" x14ac:dyDescent="0.3">
      <c r="B80" s="2">
        <f>EOMONTH(EDATE(B79,1),0)</f>
        <v>45351</v>
      </c>
      <c r="C80" s="23">
        <f t="shared" ref="C80:C90" si="10">_xlfn.DAYS(B80,B79)</f>
        <v>29</v>
      </c>
      <c r="D80" s="23">
        <f t="shared" ref="D80:D90" si="11">$B$76*C80</f>
        <v>95.081967213114751</v>
      </c>
      <c r="H80" s="24" t="s">
        <v>127</v>
      </c>
      <c r="I80" s="2">
        <f t="shared" si="7"/>
        <v>45351</v>
      </c>
      <c r="J80" s="23" t="str">
        <f t="shared" si="7"/>
        <v>SO1</v>
      </c>
      <c r="K80" s="23" t="str">
        <f t="shared" si="7"/>
        <v>Revenue</v>
      </c>
      <c r="L80" s="23">
        <f t="shared" si="8"/>
        <v>-95.081967213114751</v>
      </c>
      <c r="M80" s="23">
        <f t="shared" si="9"/>
        <v>1</v>
      </c>
      <c r="N80" s="23">
        <f t="shared" si="9"/>
        <v>1</v>
      </c>
    </row>
    <row r="81" spans="2:17" x14ac:dyDescent="0.3">
      <c r="B81" s="2">
        <f t="shared" ref="B81:B90" si="12">EOMONTH(EDATE(B80,1),0)</f>
        <v>45382</v>
      </c>
      <c r="C81" s="23">
        <f t="shared" si="10"/>
        <v>31</v>
      </c>
      <c r="D81" s="23">
        <f t="shared" si="11"/>
        <v>101.63934426229508</v>
      </c>
      <c r="H81" s="24" t="s">
        <v>127</v>
      </c>
      <c r="I81" s="2">
        <f t="shared" si="7"/>
        <v>45382</v>
      </c>
      <c r="J81" s="23" t="str">
        <f t="shared" si="7"/>
        <v>SO1</v>
      </c>
      <c r="K81" s="23" t="str">
        <f t="shared" si="7"/>
        <v>Revenue</v>
      </c>
      <c r="L81" s="23">
        <f t="shared" si="8"/>
        <v>-101.63934426229508</v>
      </c>
      <c r="M81" s="23">
        <f t="shared" si="9"/>
        <v>1</v>
      </c>
      <c r="N81" s="23">
        <f t="shared" si="9"/>
        <v>1</v>
      </c>
    </row>
    <row r="82" spans="2:17" x14ac:dyDescent="0.3">
      <c r="B82" s="2">
        <f t="shared" si="12"/>
        <v>45412</v>
      </c>
      <c r="C82" s="23">
        <f t="shared" si="10"/>
        <v>30</v>
      </c>
      <c r="D82" s="23">
        <f t="shared" si="11"/>
        <v>98.360655737704917</v>
      </c>
      <c r="H82" s="24" t="str">
        <f>VLOOKUP(I82,'AccountingPeriod (3)'!$A$6:$G$17,7,TRUE)</f>
        <v>2024-4</v>
      </c>
      <c r="I82" s="2">
        <f t="shared" si="7"/>
        <v>45412</v>
      </c>
      <c r="J82" s="23" t="str">
        <f t="shared" si="7"/>
        <v>SO1</v>
      </c>
      <c r="K82" s="23" t="str">
        <f t="shared" si="7"/>
        <v>Revenue</v>
      </c>
      <c r="L82" s="23">
        <f t="shared" si="8"/>
        <v>-98.360655737704917</v>
      </c>
      <c r="M82" s="23">
        <f t="shared" si="9"/>
        <v>1</v>
      </c>
      <c r="N82" s="23">
        <f t="shared" si="9"/>
        <v>1</v>
      </c>
      <c r="Q82" s="24"/>
    </row>
    <row r="83" spans="2:17" x14ac:dyDescent="0.3">
      <c r="B83" s="2">
        <f t="shared" si="12"/>
        <v>45443</v>
      </c>
      <c r="C83" s="23">
        <f t="shared" si="10"/>
        <v>31</v>
      </c>
      <c r="D83" s="23">
        <f t="shared" si="11"/>
        <v>101.63934426229508</v>
      </c>
      <c r="H83" s="23" t="str">
        <f>VLOOKUP(I83,'AccountingPeriod (3)'!$A$6:$G$17,7,TRUE)</f>
        <v>2024-5</v>
      </c>
      <c r="I83" s="2">
        <f t="shared" si="7"/>
        <v>45443</v>
      </c>
      <c r="J83" s="23" t="str">
        <f t="shared" si="7"/>
        <v>SO1</v>
      </c>
      <c r="K83" s="23" t="str">
        <f t="shared" si="7"/>
        <v>Revenue</v>
      </c>
      <c r="L83" s="23">
        <f t="shared" si="8"/>
        <v>-101.63934426229508</v>
      </c>
      <c r="M83" s="23">
        <f t="shared" si="9"/>
        <v>1</v>
      </c>
      <c r="N83" s="23">
        <f t="shared" si="9"/>
        <v>1</v>
      </c>
    </row>
    <row r="84" spans="2:17" x14ac:dyDescent="0.3">
      <c r="B84" s="2">
        <f t="shared" si="12"/>
        <v>45473</v>
      </c>
      <c r="C84" s="23">
        <f t="shared" si="10"/>
        <v>30</v>
      </c>
      <c r="D84" s="23">
        <f t="shared" si="11"/>
        <v>98.360655737704917</v>
      </c>
      <c r="H84" s="23" t="str">
        <f>VLOOKUP(I84,'AccountingPeriod (3)'!$A$6:$G$17,7,TRUE)</f>
        <v>2024-6</v>
      </c>
      <c r="I84" s="2">
        <f t="shared" si="7"/>
        <v>45473</v>
      </c>
      <c r="J84" s="23" t="str">
        <f t="shared" si="7"/>
        <v>SO1</v>
      </c>
      <c r="K84" s="23" t="str">
        <f t="shared" si="7"/>
        <v>Revenue</v>
      </c>
      <c r="L84" s="23">
        <f t="shared" si="8"/>
        <v>-98.360655737704917</v>
      </c>
      <c r="M84" s="23">
        <f t="shared" si="9"/>
        <v>1</v>
      </c>
      <c r="N84" s="23">
        <f t="shared" si="9"/>
        <v>1</v>
      </c>
    </row>
    <row r="85" spans="2:17" x14ac:dyDescent="0.3">
      <c r="B85" s="2">
        <f t="shared" si="12"/>
        <v>45504</v>
      </c>
      <c r="C85" s="23">
        <f t="shared" si="10"/>
        <v>31</v>
      </c>
      <c r="D85" s="23">
        <f t="shared" si="11"/>
        <v>101.63934426229508</v>
      </c>
      <c r="H85" s="23" t="str">
        <f>VLOOKUP(I85,'AccountingPeriod (3)'!$A$6:$G$17,7,TRUE)</f>
        <v>2024-7</v>
      </c>
      <c r="I85" s="2">
        <f t="shared" si="7"/>
        <v>45504</v>
      </c>
      <c r="J85" s="23" t="str">
        <f t="shared" si="7"/>
        <v>SO1</v>
      </c>
      <c r="K85" s="23" t="str">
        <f t="shared" si="7"/>
        <v>Revenue</v>
      </c>
      <c r="L85" s="23">
        <f t="shared" si="8"/>
        <v>-101.63934426229508</v>
      </c>
      <c r="M85" s="23">
        <f t="shared" si="9"/>
        <v>1</v>
      </c>
      <c r="N85" s="23">
        <f t="shared" si="9"/>
        <v>1</v>
      </c>
    </row>
    <row r="86" spans="2:17" x14ac:dyDescent="0.3">
      <c r="B86" s="2">
        <f t="shared" si="12"/>
        <v>45535</v>
      </c>
      <c r="C86" s="23">
        <f t="shared" si="10"/>
        <v>31</v>
      </c>
      <c r="D86" s="23">
        <f t="shared" si="11"/>
        <v>101.63934426229508</v>
      </c>
      <c r="H86" s="23" t="str">
        <f>VLOOKUP(I86,'AccountingPeriod (3)'!$A$6:$G$17,7,TRUE)</f>
        <v>2024-8</v>
      </c>
      <c r="I86" s="2">
        <f t="shared" si="7"/>
        <v>45535</v>
      </c>
      <c r="J86" s="23" t="str">
        <f t="shared" si="7"/>
        <v>SO1</v>
      </c>
      <c r="K86" s="23" t="str">
        <f t="shared" si="7"/>
        <v>Revenue</v>
      </c>
      <c r="L86" s="23">
        <f t="shared" si="8"/>
        <v>-101.63934426229508</v>
      </c>
      <c r="M86" s="23">
        <f t="shared" si="9"/>
        <v>1</v>
      </c>
      <c r="N86" s="23">
        <f t="shared" si="9"/>
        <v>1</v>
      </c>
    </row>
    <row r="87" spans="2:17" x14ac:dyDescent="0.3">
      <c r="B87" s="2">
        <f t="shared" si="12"/>
        <v>45565</v>
      </c>
      <c r="C87" s="23">
        <f t="shared" si="10"/>
        <v>30</v>
      </c>
      <c r="D87" s="23">
        <f t="shared" si="11"/>
        <v>98.360655737704917</v>
      </c>
      <c r="H87" s="23" t="str">
        <f>VLOOKUP(I87,'AccountingPeriod (3)'!$A$6:$G$17,7,TRUE)</f>
        <v>2024-9</v>
      </c>
      <c r="I87" s="2">
        <f t="shared" si="7"/>
        <v>45565</v>
      </c>
      <c r="J87" s="23" t="str">
        <f t="shared" si="7"/>
        <v>SO1</v>
      </c>
      <c r="K87" s="23" t="str">
        <f t="shared" si="7"/>
        <v>Revenue</v>
      </c>
      <c r="L87" s="23">
        <f t="shared" si="8"/>
        <v>-98.360655737704917</v>
      </c>
      <c r="M87" s="23">
        <f t="shared" si="9"/>
        <v>1</v>
      </c>
      <c r="N87" s="23">
        <f t="shared" si="9"/>
        <v>1</v>
      </c>
    </row>
    <row r="88" spans="2:17" x14ac:dyDescent="0.3">
      <c r="B88" s="2">
        <f t="shared" si="12"/>
        <v>45596</v>
      </c>
      <c r="C88" s="23">
        <f t="shared" si="10"/>
        <v>31</v>
      </c>
      <c r="D88" s="23">
        <f t="shared" si="11"/>
        <v>101.63934426229508</v>
      </c>
      <c r="H88" s="23" t="str">
        <f>VLOOKUP(I88,'AccountingPeriod (3)'!$A$6:$G$17,7,TRUE)</f>
        <v>2024-10</v>
      </c>
      <c r="I88" s="2">
        <f t="shared" si="7"/>
        <v>45596</v>
      </c>
      <c r="J88" s="23" t="str">
        <f t="shared" si="7"/>
        <v>SO1</v>
      </c>
      <c r="K88" s="23" t="str">
        <f t="shared" si="7"/>
        <v>Revenue</v>
      </c>
      <c r="L88" s="23">
        <f t="shared" si="8"/>
        <v>-101.63934426229508</v>
      </c>
      <c r="M88" s="23">
        <f t="shared" si="9"/>
        <v>1</v>
      </c>
      <c r="N88" s="23">
        <f t="shared" si="9"/>
        <v>1</v>
      </c>
    </row>
    <row r="89" spans="2:17" x14ac:dyDescent="0.3">
      <c r="B89" s="2">
        <f t="shared" si="12"/>
        <v>45626</v>
      </c>
      <c r="C89" s="23">
        <f t="shared" si="10"/>
        <v>30</v>
      </c>
      <c r="D89" s="23">
        <f t="shared" si="11"/>
        <v>98.360655737704917</v>
      </c>
      <c r="H89" s="23" t="str">
        <f>VLOOKUP(I89,'AccountingPeriod (3)'!$A$6:$G$17,7,TRUE)</f>
        <v>2024-11</v>
      </c>
      <c r="I89" s="2">
        <f t="shared" si="7"/>
        <v>45626</v>
      </c>
      <c r="J89" s="23" t="str">
        <f t="shared" si="7"/>
        <v>SO1</v>
      </c>
      <c r="K89" s="23" t="str">
        <f t="shared" si="7"/>
        <v>Revenue</v>
      </c>
      <c r="L89" s="23">
        <f t="shared" si="8"/>
        <v>-98.360655737704917</v>
      </c>
      <c r="M89" s="23">
        <f t="shared" si="9"/>
        <v>1</v>
      </c>
      <c r="N89" s="23">
        <f t="shared" si="9"/>
        <v>1</v>
      </c>
    </row>
    <row r="90" spans="2:17" x14ac:dyDescent="0.3">
      <c r="B90" s="2">
        <f t="shared" si="12"/>
        <v>45657</v>
      </c>
      <c r="C90" s="23">
        <f t="shared" si="10"/>
        <v>31</v>
      </c>
      <c r="D90" s="23">
        <f t="shared" si="11"/>
        <v>101.63934426229508</v>
      </c>
      <c r="H90" s="23" t="str">
        <f>VLOOKUP(I90,'AccountingPeriod (3)'!$A$6:$G$17,7,TRUE)</f>
        <v>2024-12</v>
      </c>
      <c r="I90" s="2">
        <f t="shared" si="7"/>
        <v>45657</v>
      </c>
      <c r="J90" s="23" t="str">
        <f t="shared" si="7"/>
        <v>SO1</v>
      </c>
      <c r="K90" s="23" t="str">
        <f t="shared" si="7"/>
        <v>Revenue</v>
      </c>
      <c r="L90" s="23">
        <f t="shared" si="8"/>
        <v>-101.63934426229508</v>
      </c>
      <c r="M90" s="23">
        <f t="shared" si="9"/>
        <v>1</v>
      </c>
      <c r="N90" s="23">
        <f t="shared" si="9"/>
        <v>1</v>
      </c>
    </row>
    <row r="91" spans="2:17" x14ac:dyDescent="0.3">
      <c r="H91" s="24" t="str">
        <f>H79</f>
        <v>2024-4</v>
      </c>
      <c r="I91" s="2">
        <f>B79</f>
        <v>45322</v>
      </c>
      <c r="J91" s="23" t="str">
        <f>J90</f>
        <v>SO1</v>
      </c>
      <c r="K91" s="23" t="str">
        <f>K90</f>
        <v>Revenue</v>
      </c>
      <c r="L91" s="23">
        <f>D79</f>
        <v>101.63934426229508</v>
      </c>
      <c r="M91" s="23">
        <f>M90</f>
        <v>1</v>
      </c>
      <c r="N91" s="23">
        <f>N90</f>
        <v>1</v>
      </c>
    </row>
    <row r="92" spans="2:17" x14ac:dyDescent="0.3">
      <c r="H92" s="24" t="str">
        <f t="shared" ref="H92:H102" si="13">H80</f>
        <v>2024-4</v>
      </c>
      <c r="I92" s="2">
        <f t="shared" ref="I92:I102" si="14">B80</f>
        <v>45351</v>
      </c>
      <c r="J92" s="23" t="str">
        <f t="shared" ref="J92:K102" si="15">J91</f>
        <v>SO1</v>
      </c>
      <c r="K92" s="23" t="str">
        <f t="shared" si="15"/>
        <v>Revenue</v>
      </c>
      <c r="L92" s="23">
        <f t="shared" ref="L92:L102" si="16">D80</f>
        <v>95.081967213114751</v>
      </c>
      <c r="M92" s="23">
        <f t="shared" ref="M92:N102" si="17">M91</f>
        <v>1</v>
      </c>
      <c r="N92" s="23">
        <f t="shared" si="17"/>
        <v>1</v>
      </c>
    </row>
    <row r="93" spans="2:17" x14ac:dyDescent="0.3">
      <c r="H93" s="24" t="str">
        <f t="shared" si="13"/>
        <v>2024-4</v>
      </c>
      <c r="I93" s="2">
        <f t="shared" si="14"/>
        <v>45382</v>
      </c>
      <c r="J93" s="23" t="str">
        <f t="shared" si="15"/>
        <v>SO1</v>
      </c>
      <c r="K93" s="23" t="str">
        <f t="shared" si="15"/>
        <v>Revenue</v>
      </c>
      <c r="L93" s="23">
        <f t="shared" si="16"/>
        <v>101.63934426229508</v>
      </c>
      <c r="M93" s="23">
        <f t="shared" si="17"/>
        <v>1</v>
      </c>
      <c r="N93" s="23">
        <f t="shared" si="17"/>
        <v>1</v>
      </c>
    </row>
    <row r="94" spans="2:17" x14ac:dyDescent="0.3">
      <c r="H94" s="24" t="str">
        <f t="shared" si="13"/>
        <v>2024-4</v>
      </c>
      <c r="I94" s="2">
        <f t="shared" si="14"/>
        <v>45412</v>
      </c>
      <c r="J94" s="23" t="str">
        <f t="shared" si="15"/>
        <v>SO1</v>
      </c>
      <c r="K94" s="23" t="str">
        <f t="shared" si="15"/>
        <v>Revenue</v>
      </c>
      <c r="L94" s="23">
        <f t="shared" si="16"/>
        <v>98.360655737704917</v>
      </c>
      <c r="M94" s="23">
        <f t="shared" si="17"/>
        <v>1</v>
      </c>
      <c r="N94" s="23">
        <f t="shared" si="17"/>
        <v>1</v>
      </c>
    </row>
    <row r="95" spans="2:17" x14ac:dyDescent="0.3">
      <c r="H95" s="26" t="str">
        <f t="shared" si="13"/>
        <v>2024-5</v>
      </c>
      <c r="I95" s="2">
        <f t="shared" si="14"/>
        <v>45443</v>
      </c>
      <c r="J95" s="23" t="str">
        <f t="shared" si="15"/>
        <v>SO1</v>
      </c>
      <c r="K95" s="23" t="str">
        <f t="shared" si="15"/>
        <v>Revenue</v>
      </c>
      <c r="L95" s="23">
        <f t="shared" si="16"/>
        <v>101.63934426229508</v>
      </c>
      <c r="M95" s="23">
        <f t="shared" si="17"/>
        <v>1</v>
      </c>
      <c r="N95" s="23">
        <f t="shared" si="17"/>
        <v>1</v>
      </c>
    </row>
    <row r="96" spans="2:17" x14ac:dyDescent="0.3">
      <c r="H96" s="26" t="str">
        <f t="shared" si="13"/>
        <v>2024-6</v>
      </c>
      <c r="I96" s="2">
        <f t="shared" si="14"/>
        <v>45473</v>
      </c>
      <c r="J96" s="23" t="str">
        <f t="shared" si="15"/>
        <v>SO1</v>
      </c>
      <c r="K96" s="23" t="str">
        <f t="shared" si="15"/>
        <v>Revenue</v>
      </c>
      <c r="L96" s="23">
        <f t="shared" si="16"/>
        <v>98.360655737704917</v>
      </c>
      <c r="M96" s="23">
        <f t="shared" si="17"/>
        <v>1</v>
      </c>
      <c r="N96" s="23">
        <f t="shared" si="17"/>
        <v>1</v>
      </c>
    </row>
    <row r="97" spans="8:14" x14ac:dyDescent="0.3">
      <c r="H97" s="26" t="str">
        <f t="shared" si="13"/>
        <v>2024-7</v>
      </c>
      <c r="I97" s="2">
        <f t="shared" si="14"/>
        <v>45504</v>
      </c>
      <c r="J97" s="23" t="str">
        <f t="shared" si="15"/>
        <v>SO1</v>
      </c>
      <c r="K97" s="23" t="str">
        <f t="shared" si="15"/>
        <v>Revenue</v>
      </c>
      <c r="L97" s="23">
        <f t="shared" si="16"/>
        <v>101.63934426229508</v>
      </c>
      <c r="M97" s="23">
        <f t="shared" si="17"/>
        <v>1</v>
      </c>
      <c r="N97" s="23">
        <f t="shared" si="17"/>
        <v>1</v>
      </c>
    </row>
    <row r="98" spans="8:14" x14ac:dyDescent="0.3">
      <c r="H98" s="26" t="str">
        <f t="shared" si="13"/>
        <v>2024-8</v>
      </c>
      <c r="I98" s="2">
        <f t="shared" si="14"/>
        <v>45535</v>
      </c>
      <c r="J98" s="23" t="str">
        <f t="shared" si="15"/>
        <v>SO1</v>
      </c>
      <c r="K98" s="23" t="str">
        <f t="shared" si="15"/>
        <v>Revenue</v>
      </c>
      <c r="L98" s="23">
        <f t="shared" si="16"/>
        <v>101.63934426229508</v>
      </c>
      <c r="M98" s="23">
        <f t="shared" si="17"/>
        <v>1</v>
      </c>
      <c r="N98" s="23">
        <f t="shared" si="17"/>
        <v>1</v>
      </c>
    </row>
    <row r="99" spans="8:14" x14ac:dyDescent="0.3">
      <c r="H99" s="26" t="str">
        <f t="shared" si="13"/>
        <v>2024-9</v>
      </c>
      <c r="I99" s="2">
        <f t="shared" si="14"/>
        <v>45565</v>
      </c>
      <c r="J99" s="23" t="str">
        <f t="shared" si="15"/>
        <v>SO1</v>
      </c>
      <c r="K99" s="23" t="str">
        <f t="shared" si="15"/>
        <v>Revenue</v>
      </c>
      <c r="L99" s="23">
        <f t="shared" si="16"/>
        <v>98.360655737704917</v>
      </c>
      <c r="M99" s="23">
        <f t="shared" si="17"/>
        <v>1</v>
      </c>
      <c r="N99" s="23">
        <f t="shared" si="17"/>
        <v>1</v>
      </c>
    </row>
    <row r="100" spans="8:14" x14ac:dyDescent="0.3">
      <c r="H100" s="26" t="str">
        <f t="shared" si="13"/>
        <v>2024-10</v>
      </c>
      <c r="I100" s="2">
        <f t="shared" si="14"/>
        <v>45596</v>
      </c>
      <c r="J100" s="23" t="str">
        <f t="shared" si="15"/>
        <v>SO1</v>
      </c>
      <c r="K100" s="23" t="str">
        <f t="shared" si="15"/>
        <v>Revenue</v>
      </c>
      <c r="L100" s="23">
        <f t="shared" si="16"/>
        <v>101.63934426229508</v>
      </c>
      <c r="M100" s="23">
        <f t="shared" si="17"/>
        <v>1</v>
      </c>
      <c r="N100" s="23">
        <f t="shared" si="17"/>
        <v>1</v>
      </c>
    </row>
    <row r="101" spans="8:14" x14ac:dyDescent="0.3">
      <c r="H101" s="26" t="str">
        <f t="shared" si="13"/>
        <v>2024-11</v>
      </c>
      <c r="I101" s="2">
        <f t="shared" si="14"/>
        <v>45626</v>
      </c>
      <c r="J101" s="23" t="str">
        <f t="shared" si="15"/>
        <v>SO1</v>
      </c>
      <c r="K101" s="23" t="str">
        <f t="shared" si="15"/>
        <v>Revenue</v>
      </c>
      <c r="L101" s="23">
        <f t="shared" si="16"/>
        <v>98.360655737704917</v>
      </c>
      <c r="M101" s="23">
        <f t="shared" si="17"/>
        <v>1</v>
      </c>
      <c r="N101" s="23">
        <f t="shared" si="17"/>
        <v>1</v>
      </c>
    </row>
    <row r="102" spans="8:14" x14ac:dyDescent="0.3">
      <c r="H102" s="26" t="str">
        <f t="shared" si="13"/>
        <v>2024-12</v>
      </c>
      <c r="I102" s="2">
        <f t="shared" si="14"/>
        <v>45657</v>
      </c>
      <c r="J102" s="23" t="str">
        <f t="shared" si="15"/>
        <v>SO1</v>
      </c>
      <c r="K102" s="23" t="str">
        <f t="shared" si="15"/>
        <v>Revenue</v>
      </c>
      <c r="L102" s="23">
        <f t="shared" si="16"/>
        <v>101.63934426229508</v>
      </c>
      <c r="M102" s="23">
        <f t="shared" si="17"/>
        <v>1</v>
      </c>
      <c r="N102" s="23">
        <f t="shared" si="17"/>
        <v>1</v>
      </c>
    </row>
    <row r="103" spans="8:14" x14ac:dyDescent="0.3">
      <c r="H103" s="24"/>
      <c r="L103" s="24">
        <f>SUM(L79:L102)</f>
        <v>-1.1368683772161603E-13</v>
      </c>
    </row>
    <row r="104" spans="8:14" x14ac:dyDescent="0.3">
      <c r="H104" s="27" t="s">
        <v>130</v>
      </c>
    </row>
    <row r="105" spans="8:14" x14ac:dyDescent="0.3">
      <c r="H105" s="24" t="s">
        <v>64</v>
      </c>
      <c r="I105" s="24" t="s">
        <v>49</v>
      </c>
      <c r="J105" s="24" t="s">
        <v>27</v>
      </c>
      <c r="K105" s="24" t="s">
        <v>28</v>
      </c>
      <c r="L105" s="24" t="s">
        <v>30</v>
      </c>
      <c r="M105" s="24" t="s">
        <v>72</v>
      </c>
      <c r="N105" s="24" t="s">
        <v>87</v>
      </c>
    </row>
    <row r="106" spans="8:14" x14ac:dyDescent="0.3">
      <c r="H106" s="23" t="str">
        <f t="shared" ref="H106:N108" si="18">H40</f>
        <v>2024-1</v>
      </c>
      <c r="I106" s="2">
        <f t="shared" si="18"/>
        <v>45322</v>
      </c>
      <c r="J106" s="23" t="str">
        <f t="shared" si="18"/>
        <v>SO1</v>
      </c>
      <c r="K106" s="23" t="str">
        <f t="shared" si="18"/>
        <v>Revenue</v>
      </c>
      <c r="L106" s="23">
        <f t="shared" si="18"/>
        <v>101.63934426229508</v>
      </c>
      <c r="M106" s="23">
        <f t="shared" si="18"/>
        <v>1</v>
      </c>
      <c r="N106" s="23">
        <f t="shared" si="18"/>
        <v>1</v>
      </c>
    </row>
    <row r="107" spans="8:14" x14ac:dyDescent="0.3">
      <c r="H107" s="23" t="str">
        <f t="shared" si="18"/>
        <v>2024-2</v>
      </c>
      <c r="I107" s="2">
        <f t="shared" si="18"/>
        <v>45351</v>
      </c>
      <c r="J107" s="23" t="str">
        <f t="shared" si="18"/>
        <v>SO1</v>
      </c>
      <c r="K107" s="23" t="str">
        <f t="shared" si="18"/>
        <v>Revenue</v>
      </c>
      <c r="L107" s="23">
        <f t="shared" si="18"/>
        <v>95.081967213114751</v>
      </c>
      <c r="M107" s="23">
        <f t="shared" si="18"/>
        <v>1</v>
      </c>
      <c r="N107" s="23">
        <f t="shared" si="18"/>
        <v>1</v>
      </c>
    </row>
    <row r="108" spans="8:14" x14ac:dyDescent="0.3">
      <c r="H108" s="23" t="str">
        <f t="shared" si="18"/>
        <v>2024-3</v>
      </c>
      <c r="I108" s="2">
        <f t="shared" si="18"/>
        <v>45382</v>
      </c>
      <c r="J108" s="23" t="str">
        <f t="shared" si="18"/>
        <v>SO1</v>
      </c>
      <c r="K108" s="23" t="str">
        <f t="shared" si="18"/>
        <v>Revenue</v>
      </c>
      <c r="L108" s="23">
        <f t="shared" si="18"/>
        <v>101.63934426229508</v>
      </c>
      <c r="M108" s="23">
        <f t="shared" si="18"/>
        <v>1</v>
      </c>
      <c r="N108" s="23">
        <f t="shared" si="18"/>
        <v>1</v>
      </c>
    </row>
    <row r="109" spans="8:14" x14ac:dyDescent="0.3">
      <c r="H109" s="23" t="str">
        <f>H79</f>
        <v>2024-4</v>
      </c>
      <c r="I109" s="2">
        <f>I79</f>
        <v>45322</v>
      </c>
      <c r="J109" s="23" t="str">
        <f t="shared" ref="J109:K117" si="19">J43</f>
        <v>SO1</v>
      </c>
      <c r="K109" s="23" t="str">
        <f t="shared" si="19"/>
        <v>Revenue</v>
      </c>
      <c r="L109" s="23">
        <f>L79+L91</f>
        <v>0</v>
      </c>
      <c r="M109" s="23">
        <f>M108</f>
        <v>1</v>
      </c>
      <c r="N109" s="23">
        <f>N108</f>
        <v>1</v>
      </c>
    </row>
    <row r="110" spans="8:14" x14ac:dyDescent="0.3">
      <c r="H110" s="23" t="str">
        <f>H80</f>
        <v>2024-4</v>
      </c>
      <c r="I110" s="2">
        <f t="shared" ref="I110:I120" si="20">I80</f>
        <v>45351</v>
      </c>
      <c r="J110" s="23" t="str">
        <f t="shared" si="19"/>
        <v>SO1</v>
      </c>
      <c r="K110" s="23" t="str">
        <f t="shared" si="19"/>
        <v>Revenue</v>
      </c>
      <c r="L110" s="23">
        <f t="shared" ref="L110:L111" si="21">L80+L92</f>
        <v>0</v>
      </c>
      <c r="M110" s="23">
        <f t="shared" ref="M110:N120" si="22">M109</f>
        <v>1</v>
      </c>
      <c r="N110" s="23">
        <f t="shared" si="22"/>
        <v>1</v>
      </c>
    </row>
    <row r="111" spans="8:14" x14ac:dyDescent="0.3">
      <c r="H111" s="23" t="str">
        <f>H81</f>
        <v>2024-4</v>
      </c>
      <c r="I111" s="2">
        <f t="shared" si="20"/>
        <v>45382</v>
      </c>
      <c r="J111" s="23" t="str">
        <f t="shared" si="19"/>
        <v>SO1</v>
      </c>
      <c r="K111" s="23" t="str">
        <f t="shared" si="19"/>
        <v>Revenue</v>
      </c>
      <c r="L111" s="23">
        <f t="shared" si="21"/>
        <v>0</v>
      </c>
      <c r="M111" s="23">
        <f t="shared" si="22"/>
        <v>1</v>
      </c>
      <c r="N111" s="23">
        <f t="shared" si="22"/>
        <v>1</v>
      </c>
    </row>
    <row r="112" spans="8:14" x14ac:dyDescent="0.3">
      <c r="H112" s="23" t="str">
        <f>H82</f>
        <v>2024-4</v>
      </c>
      <c r="I112" s="2">
        <f t="shared" si="20"/>
        <v>45412</v>
      </c>
      <c r="J112" s="23" t="str">
        <f t="shared" si="19"/>
        <v>SO1</v>
      </c>
      <c r="K112" s="23" t="str">
        <f t="shared" si="19"/>
        <v>Revenue</v>
      </c>
      <c r="L112" s="23">
        <f t="shared" ref="L112:L120" si="23">L82+L94+L43</f>
        <v>98.360655737704917</v>
      </c>
      <c r="M112" s="23">
        <f t="shared" si="22"/>
        <v>1</v>
      </c>
      <c r="N112" s="23">
        <f t="shared" si="22"/>
        <v>1</v>
      </c>
    </row>
    <row r="113" spans="8:14" x14ac:dyDescent="0.3">
      <c r="H113" s="23" t="str">
        <f t="shared" ref="H113:H120" si="24">H83</f>
        <v>2024-5</v>
      </c>
      <c r="I113" s="2">
        <f t="shared" si="20"/>
        <v>45443</v>
      </c>
      <c r="J113" s="23" t="str">
        <f t="shared" si="19"/>
        <v>SO1</v>
      </c>
      <c r="K113" s="23" t="str">
        <f t="shared" si="19"/>
        <v>Revenue</v>
      </c>
      <c r="L113" s="23">
        <f t="shared" si="23"/>
        <v>101.63934426229508</v>
      </c>
      <c r="M113" s="23">
        <f t="shared" si="22"/>
        <v>1</v>
      </c>
      <c r="N113" s="23">
        <f t="shared" si="22"/>
        <v>1</v>
      </c>
    </row>
    <row r="114" spans="8:14" x14ac:dyDescent="0.3">
      <c r="H114" s="23" t="str">
        <f t="shared" si="24"/>
        <v>2024-6</v>
      </c>
      <c r="I114" s="2">
        <f t="shared" si="20"/>
        <v>45473</v>
      </c>
      <c r="J114" s="23" t="str">
        <f t="shared" si="19"/>
        <v>SO1</v>
      </c>
      <c r="K114" s="23" t="str">
        <f t="shared" si="19"/>
        <v>Revenue</v>
      </c>
      <c r="L114" s="23">
        <f t="shared" si="23"/>
        <v>98.360655737704917</v>
      </c>
      <c r="M114" s="23">
        <f t="shared" si="22"/>
        <v>1</v>
      </c>
      <c r="N114" s="23">
        <f t="shared" si="22"/>
        <v>1</v>
      </c>
    </row>
    <row r="115" spans="8:14" x14ac:dyDescent="0.3">
      <c r="H115" s="23" t="str">
        <f t="shared" si="24"/>
        <v>2024-7</v>
      </c>
      <c r="I115" s="2">
        <f t="shared" si="20"/>
        <v>45504</v>
      </c>
      <c r="J115" s="23" t="str">
        <f t="shared" si="19"/>
        <v>SO1</v>
      </c>
      <c r="K115" s="23" t="str">
        <f t="shared" si="19"/>
        <v>Revenue</v>
      </c>
      <c r="L115" s="23">
        <f t="shared" si="23"/>
        <v>101.63934426229508</v>
      </c>
      <c r="M115" s="23">
        <f t="shared" si="22"/>
        <v>1</v>
      </c>
      <c r="N115" s="23">
        <f t="shared" si="22"/>
        <v>1</v>
      </c>
    </row>
    <row r="116" spans="8:14" x14ac:dyDescent="0.3">
      <c r="H116" s="23" t="str">
        <f t="shared" si="24"/>
        <v>2024-8</v>
      </c>
      <c r="I116" s="2">
        <f t="shared" si="20"/>
        <v>45535</v>
      </c>
      <c r="J116" s="23" t="str">
        <f t="shared" si="19"/>
        <v>SO1</v>
      </c>
      <c r="K116" s="23" t="str">
        <f t="shared" si="19"/>
        <v>Revenue</v>
      </c>
      <c r="L116" s="23">
        <f t="shared" si="23"/>
        <v>101.63934426229508</v>
      </c>
      <c r="M116" s="23">
        <f t="shared" si="22"/>
        <v>1</v>
      </c>
      <c r="N116" s="23">
        <f t="shared" si="22"/>
        <v>1</v>
      </c>
    </row>
    <row r="117" spans="8:14" x14ac:dyDescent="0.3">
      <c r="H117" s="23" t="str">
        <f t="shared" si="24"/>
        <v>2024-9</v>
      </c>
      <c r="I117" s="2">
        <f t="shared" si="20"/>
        <v>45565</v>
      </c>
      <c r="J117" s="23" t="str">
        <f t="shared" si="19"/>
        <v>SO1</v>
      </c>
      <c r="K117" s="23" t="str">
        <f t="shared" si="19"/>
        <v>Revenue</v>
      </c>
      <c r="L117" s="23">
        <f t="shared" si="23"/>
        <v>98.360655737704917</v>
      </c>
      <c r="M117" s="23">
        <f t="shared" si="22"/>
        <v>1</v>
      </c>
      <c r="N117" s="23">
        <f t="shared" si="22"/>
        <v>1</v>
      </c>
    </row>
    <row r="118" spans="8:14" x14ac:dyDescent="0.3">
      <c r="H118" s="23" t="str">
        <f t="shared" si="24"/>
        <v>2024-10</v>
      </c>
      <c r="I118" s="2">
        <f t="shared" si="20"/>
        <v>45596</v>
      </c>
      <c r="J118" s="23" t="str">
        <f t="shared" ref="J118:K120" si="25">J117</f>
        <v>SO1</v>
      </c>
      <c r="K118" s="23" t="str">
        <f t="shared" si="25"/>
        <v>Revenue</v>
      </c>
      <c r="L118" s="23">
        <f t="shared" si="23"/>
        <v>101.63934426229508</v>
      </c>
      <c r="M118" s="23">
        <f t="shared" si="22"/>
        <v>1</v>
      </c>
      <c r="N118" s="23">
        <f t="shared" si="22"/>
        <v>1</v>
      </c>
    </row>
    <row r="119" spans="8:14" x14ac:dyDescent="0.3">
      <c r="H119" s="23" t="str">
        <f t="shared" si="24"/>
        <v>2024-11</v>
      </c>
      <c r="I119" s="2">
        <f t="shared" si="20"/>
        <v>45626</v>
      </c>
      <c r="J119" s="23" t="str">
        <f t="shared" si="25"/>
        <v>SO1</v>
      </c>
      <c r="K119" s="23" t="str">
        <f t="shared" si="25"/>
        <v>Revenue</v>
      </c>
      <c r="L119" s="23">
        <f t="shared" si="23"/>
        <v>98.360655737704917</v>
      </c>
      <c r="M119" s="23">
        <f t="shared" si="22"/>
        <v>1</v>
      </c>
      <c r="N119" s="23">
        <f t="shared" si="22"/>
        <v>1</v>
      </c>
    </row>
    <row r="120" spans="8:14" x14ac:dyDescent="0.3">
      <c r="H120" s="23" t="str">
        <f t="shared" si="24"/>
        <v>2024-12</v>
      </c>
      <c r="I120" s="2">
        <f t="shared" si="20"/>
        <v>45657</v>
      </c>
      <c r="J120" s="23" t="str">
        <f t="shared" si="25"/>
        <v>SO1</v>
      </c>
      <c r="K120" s="23" t="str">
        <f t="shared" si="25"/>
        <v>Revenue</v>
      </c>
      <c r="L120" s="23">
        <f t="shared" si="23"/>
        <v>101.63934426229508</v>
      </c>
      <c r="M120" s="23">
        <f t="shared" si="22"/>
        <v>1</v>
      </c>
      <c r="N120" s="23">
        <f t="shared" si="22"/>
        <v>1</v>
      </c>
    </row>
    <row r="121" spans="8:14" x14ac:dyDescent="0.3">
      <c r="I121" s="2"/>
      <c r="L121" s="24">
        <f>SUM(L106:L120)</f>
        <v>1200</v>
      </c>
    </row>
    <row r="122" spans="8:14" x14ac:dyDescent="0.3">
      <c r="H122" s="27" t="s">
        <v>131</v>
      </c>
      <c r="I122" s="2"/>
    </row>
    <row r="123" spans="8:14" x14ac:dyDescent="0.3">
      <c r="H123" s="23" t="str">
        <f t="shared" ref="H123:H134" si="26">H40</f>
        <v>2024-1</v>
      </c>
      <c r="I123" s="2"/>
      <c r="J123" s="23" t="str">
        <f>J106</f>
        <v>SO1</v>
      </c>
      <c r="K123" s="23" t="str">
        <f>K106</f>
        <v>Revenue</v>
      </c>
      <c r="L123" s="23">
        <f ca="1">SUMIF($H$106:$L$120,H123,$L$106:$L$120)</f>
        <v>101.63934426229508</v>
      </c>
    </row>
    <row r="124" spans="8:14" x14ac:dyDescent="0.3">
      <c r="H124" s="23" t="str">
        <f t="shared" si="26"/>
        <v>2024-2</v>
      </c>
      <c r="I124" s="2"/>
      <c r="J124" s="23" t="str">
        <f t="shared" ref="J124:K134" si="27">J107</f>
        <v>SO1</v>
      </c>
      <c r="K124" s="23" t="str">
        <f t="shared" si="27"/>
        <v>Revenue</v>
      </c>
      <c r="L124" s="23">
        <f t="shared" ref="L124:L134" ca="1" si="28">SUMIF($H$106:$L$120,H124,$L$106:$L$120)</f>
        <v>95.081967213114751</v>
      </c>
    </row>
    <row r="125" spans="8:14" x14ac:dyDescent="0.3">
      <c r="H125" s="23" t="str">
        <f t="shared" si="26"/>
        <v>2024-3</v>
      </c>
      <c r="I125" s="2"/>
      <c r="J125" s="23" t="str">
        <f t="shared" si="27"/>
        <v>SO1</v>
      </c>
      <c r="K125" s="23" t="str">
        <f t="shared" si="27"/>
        <v>Revenue</v>
      </c>
      <c r="L125" s="23">
        <f t="shared" ca="1" si="28"/>
        <v>101.63934426229508</v>
      </c>
    </row>
    <row r="126" spans="8:14" x14ac:dyDescent="0.3">
      <c r="H126" s="23" t="str">
        <f t="shared" si="26"/>
        <v>2024-4</v>
      </c>
      <c r="I126" s="2"/>
      <c r="J126" s="23" t="str">
        <f t="shared" si="27"/>
        <v>SO1</v>
      </c>
      <c r="K126" s="23" t="str">
        <f t="shared" si="27"/>
        <v>Revenue</v>
      </c>
      <c r="L126" s="23">
        <f t="shared" ca="1" si="28"/>
        <v>98.360655737704917</v>
      </c>
    </row>
    <row r="127" spans="8:14" x14ac:dyDescent="0.3">
      <c r="H127" s="23" t="str">
        <f t="shared" si="26"/>
        <v>2024-5</v>
      </c>
      <c r="I127" s="2"/>
      <c r="J127" s="23" t="str">
        <f t="shared" si="27"/>
        <v>SO1</v>
      </c>
      <c r="K127" s="23" t="str">
        <f t="shared" si="27"/>
        <v>Revenue</v>
      </c>
      <c r="L127" s="23">
        <f t="shared" ca="1" si="28"/>
        <v>101.63934426229508</v>
      </c>
    </row>
    <row r="128" spans="8:14" x14ac:dyDescent="0.3">
      <c r="H128" s="23" t="str">
        <f t="shared" si="26"/>
        <v>2024-6</v>
      </c>
      <c r="J128" s="23" t="str">
        <f t="shared" si="27"/>
        <v>SO1</v>
      </c>
      <c r="K128" s="23" t="str">
        <f t="shared" si="27"/>
        <v>Revenue</v>
      </c>
      <c r="L128" s="23">
        <f t="shared" ca="1" si="28"/>
        <v>98.360655737704917</v>
      </c>
    </row>
    <row r="129" spans="1:12" x14ac:dyDescent="0.3">
      <c r="H129" s="23" t="str">
        <f t="shared" si="26"/>
        <v>2024-7</v>
      </c>
      <c r="J129" s="23" t="str">
        <f t="shared" si="27"/>
        <v>SO1</v>
      </c>
      <c r="K129" s="23" t="str">
        <f t="shared" si="27"/>
        <v>Revenue</v>
      </c>
      <c r="L129" s="23">
        <f t="shared" ca="1" si="28"/>
        <v>101.63934426229508</v>
      </c>
    </row>
    <row r="130" spans="1:12" x14ac:dyDescent="0.3">
      <c r="H130" s="23" t="str">
        <f t="shared" si="26"/>
        <v>2024-8</v>
      </c>
      <c r="J130" s="23" t="str">
        <f t="shared" si="27"/>
        <v>SO1</v>
      </c>
      <c r="K130" s="23" t="str">
        <f t="shared" si="27"/>
        <v>Revenue</v>
      </c>
      <c r="L130" s="23">
        <f t="shared" ca="1" si="28"/>
        <v>101.63934426229508</v>
      </c>
    </row>
    <row r="131" spans="1:12" x14ac:dyDescent="0.3">
      <c r="H131" s="23" t="str">
        <f t="shared" si="26"/>
        <v>2024-9</v>
      </c>
      <c r="J131" s="23" t="str">
        <f t="shared" si="27"/>
        <v>SO1</v>
      </c>
      <c r="K131" s="23" t="str">
        <f t="shared" si="27"/>
        <v>Revenue</v>
      </c>
      <c r="L131" s="23">
        <f t="shared" ca="1" si="28"/>
        <v>98.360655737704917</v>
      </c>
    </row>
    <row r="132" spans="1:12" x14ac:dyDescent="0.3">
      <c r="H132" s="23" t="str">
        <f t="shared" si="26"/>
        <v>2024-10</v>
      </c>
      <c r="J132" s="23" t="str">
        <f t="shared" si="27"/>
        <v>SO1</v>
      </c>
      <c r="K132" s="23" t="str">
        <f t="shared" si="27"/>
        <v>Revenue</v>
      </c>
      <c r="L132" s="23">
        <f t="shared" ca="1" si="28"/>
        <v>101.63934426229508</v>
      </c>
    </row>
    <row r="133" spans="1:12" x14ac:dyDescent="0.3">
      <c r="H133" s="23" t="str">
        <f t="shared" si="26"/>
        <v>2024-11</v>
      </c>
      <c r="J133" s="23" t="str">
        <f t="shared" si="27"/>
        <v>SO1</v>
      </c>
      <c r="K133" s="23" t="str">
        <f t="shared" si="27"/>
        <v>Revenue</v>
      </c>
      <c r="L133" s="23">
        <f t="shared" ca="1" si="28"/>
        <v>98.360655737704917</v>
      </c>
    </row>
    <row r="134" spans="1:12" x14ac:dyDescent="0.3">
      <c r="H134" s="23" t="str">
        <f t="shared" si="26"/>
        <v>2024-12</v>
      </c>
      <c r="J134" s="23" t="str">
        <f t="shared" si="27"/>
        <v>SO1</v>
      </c>
      <c r="K134" s="23" t="str">
        <f t="shared" si="27"/>
        <v>Revenue</v>
      </c>
      <c r="L134" s="23">
        <f t="shared" ca="1" si="28"/>
        <v>101.63934426229508</v>
      </c>
    </row>
    <row r="135" spans="1:12" x14ac:dyDescent="0.3">
      <c r="L135" s="24">
        <f ca="1">SUM(L123:L134)</f>
        <v>1200</v>
      </c>
    </row>
    <row r="136" spans="1:12" x14ac:dyDescent="0.3">
      <c r="A136" s="31" t="s">
        <v>215</v>
      </c>
    </row>
    <row r="137" spans="1:12" x14ac:dyDescent="0.3">
      <c r="A137" s="24" t="s">
        <v>57</v>
      </c>
      <c r="B137" s="24" t="s">
        <v>27</v>
      </c>
      <c r="C137" s="24" t="s">
        <v>28</v>
      </c>
      <c r="D137" s="24" t="s">
        <v>34</v>
      </c>
      <c r="E137" s="3" t="s">
        <v>31</v>
      </c>
      <c r="F137" s="3" t="s">
        <v>32</v>
      </c>
      <c r="G137" s="3" t="s">
        <v>33</v>
      </c>
      <c r="H137" s="3" t="s">
        <v>13</v>
      </c>
      <c r="I137" s="3" t="s">
        <v>14</v>
      </c>
      <c r="J137" s="3" t="s">
        <v>214</v>
      </c>
      <c r="K137" s="3" t="s">
        <v>61</v>
      </c>
    </row>
    <row r="138" spans="1:12" x14ac:dyDescent="0.3">
      <c r="A138" s="2" t="s">
        <v>220</v>
      </c>
      <c r="B138" s="23" t="str">
        <f>J132</f>
        <v>SO1</v>
      </c>
      <c r="C138" s="23" t="str">
        <f>K123</f>
        <v>Revenue</v>
      </c>
      <c r="D138" s="23">
        <f>T40</f>
        <v>5000</v>
      </c>
      <c r="E138" s="23" t="str">
        <f>B20</f>
        <v>Unbilled Receivable</v>
      </c>
      <c r="F138" s="23" t="str">
        <f>N5</f>
        <v>Balance Sheet</v>
      </c>
      <c r="G138" s="23" t="str">
        <f>M5</f>
        <v>Deferred Revenue</v>
      </c>
      <c r="I138" s="19">
        <f>-(X40+X42)</f>
        <v>-196.72131147540983</v>
      </c>
      <c r="J138" s="23" t="s">
        <v>191</v>
      </c>
      <c r="K138" s="8">
        <v>1</v>
      </c>
    </row>
    <row r="139" spans="1:12" x14ac:dyDescent="0.3">
      <c r="A139" s="2" t="s">
        <v>220</v>
      </c>
      <c r="B139" s="23" t="str">
        <f>B138</f>
        <v>SO1</v>
      </c>
      <c r="C139" s="23" t="str">
        <f>K124</f>
        <v>Revenue</v>
      </c>
      <c r="D139" s="23">
        <v>6000</v>
      </c>
      <c r="E139" s="23" t="str">
        <f>B21</f>
        <v>Deferred Revenue</v>
      </c>
      <c r="F139" s="23" t="str">
        <f>F138</f>
        <v>Balance Sheet</v>
      </c>
      <c r="G139" s="23" t="str">
        <f>G138</f>
        <v>Deferred Revenue</v>
      </c>
      <c r="H139" s="19">
        <f>-I138</f>
        <v>196.72131147540983</v>
      </c>
      <c r="J139" s="23" t="s">
        <v>201</v>
      </c>
      <c r="K139" s="8">
        <v>1</v>
      </c>
    </row>
    <row r="141" spans="1:12" x14ac:dyDescent="0.3">
      <c r="A141" s="2" t="s">
        <v>220</v>
      </c>
      <c r="B141" s="23" t="str">
        <f>B139</f>
        <v>SO1</v>
      </c>
      <c r="C141" s="23" t="str">
        <f>C142</f>
        <v>Revenue</v>
      </c>
      <c r="D141" s="23">
        <f>D139</f>
        <v>6000</v>
      </c>
      <c r="E141" s="23" t="str">
        <f>E139</f>
        <v>Deferred Revenue</v>
      </c>
      <c r="F141" s="23" t="str">
        <f>F139</f>
        <v>Balance Sheet</v>
      </c>
      <c r="G141" s="23" t="str">
        <f>G139</f>
        <v>Deferred Revenue</v>
      </c>
      <c r="H141" s="19">
        <f ca="1">L125</f>
        <v>101.63934426229508</v>
      </c>
      <c r="J141" s="23" t="s">
        <v>201</v>
      </c>
    </row>
    <row r="142" spans="1:12" x14ac:dyDescent="0.3">
      <c r="A142" s="2" t="s">
        <v>220</v>
      </c>
      <c r="B142" s="23" t="str">
        <f>B139</f>
        <v>SO1</v>
      </c>
      <c r="C142" s="2" t="str">
        <f>C139</f>
        <v>Revenue</v>
      </c>
      <c r="D142" s="23">
        <f>A16</f>
        <v>1000</v>
      </c>
      <c r="E142" s="23" t="str">
        <f>B16</f>
        <v>Revenue</v>
      </c>
      <c r="F142" s="23" t="str">
        <f>N4</f>
        <v>Income Statement</v>
      </c>
      <c r="G142" s="23" t="str">
        <f>M4</f>
        <v>Revenue</v>
      </c>
      <c r="H142" s="19"/>
      <c r="I142" s="19">
        <f ca="1">-H141</f>
        <v>-101.63934426229508</v>
      </c>
      <c r="J142" s="23" t="s">
        <v>201</v>
      </c>
    </row>
    <row r="144" spans="1:12" x14ac:dyDescent="0.3">
      <c r="A144" s="2" t="s">
        <v>220</v>
      </c>
      <c r="B144" s="23" t="str">
        <f>B145</f>
        <v>SO1</v>
      </c>
      <c r="C144" s="23" t="str">
        <f>C60</f>
        <v>Billing</v>
      </c>
      <c r="D144" s="23">
        <f>A19</f>
        <v>4000</v>
      </c>
      <c r="E144" s="23" t="str">
        <f>B19</f>
        <v>Account Rec</v>
      </c>
      <c r="F144" s="23" t="str">
        <f>F141</f>
        <v>Balance Sheet</v>
      </c>
      <c r="G144" s="23" t="str">
        <f>M6</f>
        <v>A/R</v>
      </c>
      <c r="H144" s="19">
        <f>D60</f>
        <v>1200</v>
      </c>
      <c r="J144" s="23" t="s">
        <v>201</v>
      </c>
    </row>
    <row r="145" spans="1:10" x14ac:dyDescent="0.3">
      <c r="A145" s="2" t="s">
        <v>220</v>
      </c>
      <c r="B145" s="23" t="str">
        <f>B142</f>
        <v>SO1</v>
      </c>
      <c r="C145" s="2" t="str">
        <f>C144</f>
        <v>Billing</v>
      </c>
      <c r="D145" s="23">
        <f>A21</f>
        <v>6000</v>
      </c>
      <c r="E145" s="23" t="str">
        <f>B21</f>
        <v>Deferred Revenue</v>
      </c>
      <c r="F145" s="23" t="str">
        <f>F144</f>
        <v>Balance Sheet</v>
      </c>
      <c r="G145" s="23" t="str">
        <f>M5</f>
        <v>Deferred Revenue</v>
      </c>
      <c r="H145" s="19"/>
      <c r="I145" s="19">
        <f>-H144</f>
        <v>-1200</v>
      </c>
      <c r="J145" s="23" t="s">
        <v>201</v>
      </c>
    </row>
    <row r="149" spans="1:10" x14ac:dyDescent="0.3">
      <c r="A149" s="24" t="s">
        <v>37</v>
      </c>
      <c r="B149" s="24" t="s">
        <v>3</v>
      </c>
      <c r="C149" s="24" t="str">
        <f>E138</f>
        <v>Unbilled Receivable</v>
      </c>
      <c r="D149" s="24" t="str">
        <f>E139</f>
        <v>Deferred Revenue</v>
      </c>
      <c r="E149" s="24" t="str">
        <f>E144</f>
        <v>Account Rec</v>
      </c>
      <c r="F149" s="24" t="s">
        <v>205</v>
      </c>
    </row>
    <row r="150" spans="1:10" x14ac:dyDescent="0.3">
      <c r="A150" s="23" t="s">
        <v>220</v>
      </c>
      <c r="B150" s="19">
        <f ca="1">I142+Y41+Y43</f>
        <v>-298.36065573770492</v>
      </c>
      <c r="C150" s="19">
        <f>I138+X40+X42</f>
        <v>0</v>
      </c>
      <c r="D150" s="19">
        <f ca="1">H139+H141+I145</f>
        <v>-901.63934426229503</v>
      </c>
      <c r="E150" s="19">
        <f>H144</f>
        <v>1200</v>
      </c>
      <c r="F150" s="19">
        <f ca="1">SUM(B150:E150)</f>
        <v>0</v>
      </c>
    </row>
    <row r="154" spans="1:10" x14ac:dyDescent="0.3">
      <c r="A154" s="23" t="s">
        <v>221</v>
      </c>
    </row>
    <row r="156" spans="1:10" x14ac:dyDescent="0.3">
      <c r="A156" s="24" t="s">
        <v>222</v>
      </c>
      <c r="B156" s="24" t="s">
        <v>223</v>
      </c>
      <c r="C156" s="24" t="s">
        <v>116</v>
      </c>
      <c r="D156" s="24" t="str">
        <f>B149</f>
        <v>Revenue</v>
      </c>
      <c r="E156" s="24" t="s">
        <v>225</v>
      </c>
      <c r="F156" s="24" t="s">
        <v>224</v>
      </c>
    </row>
    <row r="157" spans="1:10" x14ac:dyDescent="0.3">
      <c r="A157" s="23" t="s">
        <v>48</v>
      </c>
      <c r="B157" s="23">
        <v>0</v>
      </c>
      <c r="C157" s="23">
        <v>0</v>
      </c>
      <c r="D157" s="23">
        <f ca="1">L123</f>
        <v>101.63934426229508</v>
      </c>
      <c r="E157" s="19">
        <f>X40</f>
        <v>101.63934426229508</v>
      </c>
      <c r="F157" s="23">
        <v>0</v>
      </c>
    </row>
    <row r="158" spans="1:10" x14ac:dyDescent="0.3">
      <c r="A158" s="23" t="s">
        <v>216</v>
      </c>
      <c r="B158" s="19">
        <f>E157</f>
        <v>101.63934426229508</v>
      </c>
      <c r="C158" s="23">
        <v>0</v>
      </c>
      <c r="D158" s="23">
        <f t="shared" ref="D158:D159" ca="1" si="29">L124</f>
        <v>95.081967213114751</v>
      </c>
      <c r="E158" s="19">
        <f ca="1">B158+D158</f>
        <v>196.72131147540983</v>
      </c>
      <c r="F158" s="23">
        <v>0</v>
      </c>
    </row>
    <row r="159" spans="1:10" x14ac:dyDescent="0.3">
      <c r="A159" s="23" t="s">
        <v>220</v>
      </c>
      <c r="B159" s="19">
        <f ca="1">E158</f>
        <v>196.72131147540983</v>
      </c>
      <c r="C159" s="19">
        <f>H144</f>
        <v>1200</v>
      </c>
      <c r="D159" s="23">
        <f t="shared" ca="1" si="29"/>
        <v>101.63934426229508</v>
      </c>
      <c r="E159" s="23">
        <v>0</v>
      </c>
      <c r="F159" s="19">
        <f ca="1">-D150</f>
        <v>901.63934426229503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CEDB-30CF-4700-969D-7FAA42CBF9DB}">
  <sheetPr>
    <tabColor rgb="FFFF0000"/>
  </sheetPr>
  <dimension ref="A1:G2"/>
  <sheetViews>
    <sheetView workbookViewId="0">
      <selection activeCell="G2" sqref="G2"/>
    </sheetView>
  </sheetViews>
  <sheetFormatPr defaultRowHeight="14.4" x14ac:dyDescent="0.3"/>
  <sheetData>
    <row r="1" spans="1:7" x14ac:dyDescent="0.3">
      <c r="A1" s="1" t="s">
        <v>94</v>
      </c>
      <c r="B1" s="1" t="s">
        <v>49</v>
      </c>
      <c r="C1" s="1" t="s">
        <v>27</v>
      </c>
      <c r="D1" s="1" t="s">
        <v>28</v>
      </c>
      <c r="E1" s="1" t="s">
        <v>30</v>
      </c>
      <c r="F1" s="1" t="s">
        <v>72</v>
      </c>
      <c r="G1" s="1" t="s">
        <v>106</v>
      </c>
    </row>
    <row r="2" spans="1:7" x14ac:dyDescent="0.3">
      <c r="A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28CA-3D31-4BD9-B2C5-29FA9ADA07D3}">
  <sheetPr>
    <tabColor rgb="FF92D050"/>
  </sheetPr>
  <dimension ref="A1:F7"/>
  <sheetViews>
    <sheetView zoomScale="74" workbookViewId="0">
      <selection activeCell="G7" sqref="G7"/>
    </sheetView>
  </sheetViews>
  <sheetFormatPr defaultRowHeight="14.4" x14ac:dyDescent="0.3"/>
  <cols>
    <col min="2" max="2" width="27.44140625" customWidth="1"/>
    <col min="3" max="3" width="33.5546875" customWidth="1"/>
    <col min="4" max="4" width="17" customWidth="1"/>
  </cols>
  <sheetData>
    <row r="1" spans="1:6" x14ac:dyDescent="0.3">
      <c r="A1" s="1" t="s">
        <v>0</v>
      </c>
    </row>
    <row r="2" spans="1:6" x14ac:dyDescent="0.3">
      <c r="A2" s="1" t="s">
        <v>1</v>
      </c>
      <c r="B2" s="1" t="s">
        <v>42</v>
      </c>
      <c r="C2" s="1" t="s">
        <v>25</v>
      </c>
      <c r="D2" s="1" t="s">
        <v>60</v>
      </c>
      <c r="E2" s="24" t="s">
        <v>112</v>
      </c>
      <c r="F2" s="24" t="s">
        <v>162</v>
      </c>
    </row>
    <row r="3" spans="1:6" x14ac:dyDescent="0.3">
      <c r="A3">
        <v>1</v>
      </c>
      <c r="B3" t="s">
        <v>43</v>
      </c>
      <c r="C3" t="s">
        <v>50</v>
      </c>
      <c r="D3">
        <v>0</v>
      </c>
      <c r="E3" s="23" t="s">
        <v>114</v>
      </c>
      <c r="F3" s="23" t="s">
        <v>163</v>
      </c>
    </row>
    <row r="4" spans="1:6" x14ac:dyDescent="0.3">
      <c r="A4">
        <v>2</v>
      </c>
      <c r="B4" t="s">
        <v>66</v>
      </c>
      <c r="C4" t="s">
        <v>77</v>
      </c>
      <c r="D4">
        <v>0</v>
      </c>
      <c r="E4" s="23" t="s">
        <v>114</v>
      </c>
      <c r="F4" s="23" t="s">
        <v>163</v>
      </c>
    </row>
    <row r="5" spans="1:6" x14ac:dyDescent="0.3">
      <c r="A5">
        <v>3</v>
      </c>
      <c r="B5" t="s">
        <v>68</v>
      </c>
      <c r="C5" t="s">
        <v>74</v>
      </c>
      <c r="D5">
        <v>0</v>
      </c>
      <c r="E5" s="23" t="s">
        <v>113</v>
      </c>
      <c r="F5" s="23" t="s">
        <v>163</v>
      </c>
    </row>
    <row r="6" spans="1:6" x14ac:dyDescent="0.3">
      <c r="A6">
        <v>4</v>
      </c>
      <c r="B6" t="s">
        <v>69</v>
      </c>
      <c r="C6" t="s">
        <v>83</v>
      </c>
      <c r="D6">
        <v>0</v>
      </c>
      <c r="E6" s="23" t="s">
        <v>113</v>
      </c>
      <c r="F6" s="23" t="s">
        <v>163</v>
      </c>
    </row>
    <row r="7" spans="1:6" s="23" customFormat="1" x14ac:dyDescent="0.3">
      <c r="A7">
        <v>5</v>
      </c>
      <c r="B7" t="s">
        <v>73</v>
      </c>
      <c r="C7" s="23" t="s">
        <v>214</v>
      </c>
      <c r="D7" s="23">
        <v>0</v>
      </c>
      <c r="E7" s="23" t="s">
        <v>113</v>
      </c>
      <c r="F7" s="23" t="s">
        <v>164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E3F4-38F7-4824-B1A7-036D306B51AA}">
  <dimension ref="B1:O25"/>
  <sheetViews>
    <sheetView workbookViewId="0">
      <selection activeCell="Q20" sqref="Q20"/>
    </sheetView>
  </sheetViews>
  <sheetFormatPr defaultRowHeight="14.4" x14ac:dyDescent="0.3"/>
  <cols>
    <col min="9" max="9" width="8.88671875" style="23"/>
  </cols>
  <sheetData>
    <row r="1" spans="2:15" x14ac:dyDescent="0.3">
      <c r="B1">
        <v>1</v>
      </c>
      <c r="D1" t="s">
        <v>13</v>
      </c>
      <c r="E1" t="s">
        <v>14</v>
      </c>
      <c r="G1" s="24" t="s">
        <v>206</v>
      </c>
      <c r="H1" s="24" t="s">
        <v>121</v>
      </c>
      <c r="I1" s="24"/>
    </row>
    <row r="2" spans="2:15" x14ac:dyDescent="0.3">
      <c r="C2" t="s">
        <v>202</v>
      </c>
      <c r="D2">
        <v>100</v>
      </c>
      <c r="G2" t="s">
        <v>191</v>
      </c>
      <c r="H2" s="23" t="s">
        <v>191</v>
      </c>
    </row>
    <row r="3" spans="2:15" x14ac:dyDescent="0.3">
      <c r="C3" t="s">
        <v>192</v>
      </c>
      <c r="E3">
        <v>-100</v>
      </c>
      <c r="G3" t="s">
        <v>3</v>
      </c>
      <c r="H3" s="23" t="s">
        <v>191</v>
      </c>
    </row>
    <row r="5" spans="2:15" x14ac:dyDescent="0.3">
      <c r="B5">
        <v>2</v>
      </c>
      <c r="C5" s="23" t="str">
        <f>C2</f>
        <v>Def</v>
      </c>
      <c r="D5" s="23">
        <v>100</v>
      </c>
      <c r="E5" s="23"/>
      <c r="G5" s="23" t="s">
        <v>191</v>
      </c>
      <c r="H5" s="23" t="s">
        <v>191</v>
      </c>
    </row>
    <row r="6" spans="2:15" x14ac:dyDescent="0.3">
      <c r="C6" s="23" t="s">
        <v>192</v>
      </c>
      <c r="D6" s="23"/>
      <c r="E6" s="23">
        <v>-100</v>
      </c>
      <c r="G6" s="23" t="s">
        <v>3</v>
      </c>
      <c r="H6" s="23" t="s">
        <v>191</v>
      </c>
    </row>
    <row r="8" spans="2:15" x14ac:dyDescent="0.3">
      <c r="B8">
        <v>3</v>
      </c>
      <c r="C8" s="23" t="s">
        <v>192</v>
      </c>
      <c r="D8" s="23">
        <v>200</v>
      </c>
      <c r="E8" s="23"/>
      <c r="F8" s="23"/>
      <c r="G8" s="23" t="s">
        <v>3</v>
      </c>
      <c r="H8" t="s">
        <v>201</v>
      </c>
    </row>
    <row r="9" spans="2:15" x14ac:dyDescent="0.3">
      <c r="C9" s="23" t="s">
        <v>202</v>
      </c>
      <c r="D9" s="23"/>
      <c r="E9" s="23">
        <v>-200</v>
      </c>
      <c r="F9" s="23"/>
      <c r="G9" s="23" t="s">
        <v>191</v>
      </c>
      <c r="H9" s="23" t="s">
        <v>201</v>
      </c>
    </row>
    <row r="10" spans="2:15" x14ac:dyDescent="0.3">
      <c r="J10" t="s">
        <v>193</v>
      </c>
      <c r="K10" t="s">
        <v>194</v>
      </c>
      <c r="L10" t="s">
        <v>195</v>
      </c>
      <c r="M10" t="s">
        <v>196</v>
      </c>
      <c r="N10" t="s">
        <v>197</v>
      </c>
      <c r="O10" t="s">
        <v>198</v>
      </c>
    </row>
    <row r="11" spans="2:15" x14ac:dyDescent="0.3">
      <c r="B11">
        <v>3</v>
      </c>
      <c r="C11" t="s">
        <v>202</v>
      </c>
      <c r="D11">
        <v>200</v>
      </c>
      <c r="G11" s="23" t="s">
        <v>203</v>
      </c>
      <c r="H11" s="23" t="s">
        <v>201</v>
      </c>
      <c r="M11">
        <v>100</v>
      </c>
      <c r="O11">
        <v>100</v>
      </c>
    </row>
    <row r="12" spans="2:15" x14ac:dyDescent="0.3">
      <c r="C12" t="s">
        <v>192</v>
      </c>
      <c r="E12">
        <v>-200</v>
      </c>
      <c r="G12" s="23" t="str">
        <f>G8</f>
        <v>Revenue</v>
      </c>
      <c r="H12" s="23" t="s">
        <v>201</v>
      </c>
      <c r="J12">
        <f>O11</f>
        <v>100</v>
      </c>
      <c r="M12">
        <v>100</v>
      </c>
      <c r="O12">
        <f>J12+M12</f>
        <v>200</v>
      </c>
    </row>
    <row r="13" spans="2:15" x14ac:dyDescent="0.3">
      <c r="J13">
        <f>O12</f>
        <v>200</v>
      </c>
      <c r="L13">
        <v>1200</v>
      </c>
      <c r="M13">
        <v>100</v>
      </c>
      <c r="N13">
        <f>L13-J13-M13</f>
        <v>900</v>
      </c>
      <c r="O13">
        <v>0</v>
      </c>
    </row>
    <row r="14" spans="2:15" x14ac:dyDescent="0.3">
      <c r="B14">
        <v>3</v>
      </c>
      <c r="C14" t="s">
        <v>200</v>
      </c>
      <c r="D14">
        <v>1200</v>
      </c>
      <c r="G14" t="s">
        <v>204</v>
      </c>
      <c r="H14" s="23" t="s">
        <v>201</v>
      </c>
      <c r="K14">
        <f>N13</f>
        <v>900</v>
      </c>
      <c r="M14" s="23">
        <v>100</v>
      </c>
      <c r="N14">
        <f>K14-M14</f>
        <v>800</v>
      </c>
    </row>
    <row r="15" spans="2:15" x14ac:dyDescent="0.3">
      <c r="C15" t="s">
        <v>199</v>
      </c>
      <c r="E15">
        <v>-1200</v>
      </c>
      <c r="G15" s="23" t="str">
        <f>G11</f>
        <v>Def Revenue</v>
      </c>
      <c r="H15" s="23" t="s">
        <v>201</v>
      </c>
      <c r="K15" s="23">
        <f t="shared" ref="K15:K22" si="0">N14</f>
        <v>800</v>
      </c>
      <c r="L15" s="23"/>
      <c r="M15" s="23">
        <v>100</v>
      </c>
      <c r="N15" s="23">
        <f t="shared" ref="N15:N22" si="1">K15-M15</f>
        <v>700</v>
      </c>
    </row>
    <row r="16" spans="2:15" x14ac:dyDescent="0.3">
      <c r="K16" s="23">
        <f t="shared" si="0"/>
        <v>700</v>
      </c>
      <c r="L16" s="23"/>
      <c r="M16" s="23">
        <v>100</v>
      </c>
      <c r="N16" s="23">
        <f t="shared" si="1"/>
        <v>600</v>
      </c>
    </row>
    <row r="17" spans="2:14" x14ac:dyDescent="0.3">
      <c r="B17">
        <v>3</v>
      </c>
      <c r="C17" t="s">
        <v>202</v>
      </c>
      <c r="D17">
        <v>100</v>
      </c>
      <c r="G17" s="23" t="s">
        <v>203</v>
      </c>
      <c r="H17" s="23" t="s">
        <v>201</v>
      </c>
      <c r="K17" s="23">
        <f t="shared" si="0"/>
        <v>600</v>
      </c>
      <c r="L17" s="23"/>
      <c r="M17" s="23">
        <v>100</v>
      </c>
      <c r="N17" s="23">
        <f t="shared" si="1"/>
        <v>500</v>
      </c>
    </row>
    <row r="18" spans="2:14" x14ac:dyDescent="0.3">
      <c r="C18" t="s">
        <v>192</v>
      </c>
      <c r="E18">
        <v>-100</v>
      </c>
      <c r="G18" s="23" t="str">
        <f>G12</f>
        <v>Revenue</v>
      </c>
      <c r="H18" s="23" t="s">
        <v>201</v>
      </c>
      <c r="K18" s="23">
        <f t="shared" si="0"/>
        <v>500</v>
      </c>
      <c r="L18" s="23"/>
      <c r="M18" s="23">
        <v>100</v>
      </c>
      <c r="N18" s="23">
        <f t="shared" si="1"/>
        <v>400</v>
      </c>
    </row>
    <row r="19" spans="2:14" x14ac:dyDescent="0.3">
      <c r="K19" s="23">
        <f t="shared" si="0"/>
        <v>400</v>
      </c>
      <c r="L19" s="23"/>
      <c r="M19" s="23">
        <v>100</v>
      </c>
      <c r="N19" s="23">
        <f t="shared" si="1"/>
        <v>300</v>
      </c>
    </row>
    <row r="20" spans="2:14" x14ac:dyDescent="0.3">
      <c r="K20" s="23">
        <f t="shared" si="0"/>
        <v>300</v>
      </c>
      <c r="L20" s="23"/>
      <c r="M20" s="23">
        <v>100</v>
      </c>
      <c r="N20" s="23">
        <f t="shared" si="1"/>
        <v>200</v>
      </c>
    </row>
    <row r="21" spans="2:14" x14ac:dyDescent="0.3">
      <c r="C21" t="s">
        <v>191</v>
      </c>
      <c r="D21" t="s">
        <v>3</v>
      </c>
      <c r="E21" t="s">
        <v>204</v>
      </c>
      <c r="F21" t="s">
        <v>203</v>
      </c>
      <c r="K21" s="23">
        <f t="shared" si="0"/>
        <v>200</v>
      </c>
      <c r="L21" s="23"/>
      <c r="M21" s="23">
        <v>100</v>
      </c>
      <c r="N21" s="23">
        <f t="shared" si="1"/>
        <v>100</v>
      </c>
    </row>
    <row r="22" spans="2:14" x14ac:dyDescent="0.3">
      <c r="B22">
        <v>1</v>
      </c>
      <c r="C22">
        <f>D2</f>
        <v>100</v>
      </c>
      <c r="D22">
        <f>E3</f>
        <v>-100</v>
      </c>
      <c r="E22">
        <v>0</v>
      </c>
      <c r="F22">
        <v>0</v>
      </c>
      <c r="K22" s="23">
        <f t="shared" si="0"/>
        <v>100</v>
      </c>
      <c r="L22" s="23"/>
      <c r="M22" s="23">
        <v>100</v>
      </c>
      <c r="N22" s="23">
        <f t="shared" si="1"/>
        <v>0</v>
      </c>
    </row>
    <row r="23" spans="2:14" x14ac:dyDescent="0.3">
      <c r="B23">
        <v>2</v>
      </c>
      <c r="C23">
        <f>D5</f>
        <v>100</v>
      </c>
      <c r="D23">
        <f>E6</f>
        <v>-100</v>
      </c>
      <c r="E23">
        <v>0</v>
      </c>
      <c r="F23">
        <v>0</v>
      </c>
      <c r="G23" s="23"/>
    </row>
    <row r="24" spans="2:14" x14ac:dyDescent="0.3">
      <c r="B24">
        <v>3</v>
      </c>
      <c r="C24">
        <f>E9</f>
        <v>-200</v>
      </c>
      <c r="D24">
        <f>D8+E12+E18</f>
        <v>-100</v>
      </c>
      <c r="E24">
        <f>D14</f>
        <v>1200</v>
      </c>
      <c r="F24">
        <f>D11+E15+D17</f>
        <v>-900</v>
      </c>
      <c r="G24" s="23"/>
    </row>
    <row r="25" spans="2:14" x14ac:dyDescent="0.3">
      <c r="C25">
        <f>SUM(C22:C24)</f>
        <v>0</v>
      </c>
      <c r="D25">
        <f>SUM(D22:D24)</f>
        <v>-300</v>
      </c>
      <c r="E25" s="23">
        <f>SUM(E22:E24)</f>
        <v>1200</v>
      </c>
      <c r="F25" s="23">
        <f>SUM(F22:F24)</f>
        <v>-900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AD74-B273-4877-8D52-2697CE797596}">
  <sheetPr>
    <tabColor rgb="FF92D050"/>
  </sheetPr>
  <dimension ref="A1:D8"/>
  <sheetViews>
    <sheetView zoomScale="66" workbookViewId="0">
      <selection activeCell="D3" sqref="D3"/>
    </sheetView>
  </sheetViews>
  <sheetFormatPr defaultRowHeight="14.4" x14ac:dyDescent="0.3"/>
  <cols>
    <col min="1" max="1" width="8.88671875" style="23"/>
    <col min="2" max="2" width="27.44140625" style="23" customWidth="1"/>
    <col min="3" max="3" width="33.5546875" style="23" customWidth="1"/>
    <col min="4" max="16384" width="8.88671875" style="23"/>
  </cols>
  <sheetData>
    <row r="1" spans="1:4" x14ac:dyDescent="0.3">
      <c r="A1" s="24" t="s">
        <v>0</v>
      </c>
    </row>
    <row r="2" spans="1:4" x14ac:dyDescent="0.3">
      <c r="A2" s="24" t="s">
        <v>1</v>
      </c>
      <c r="B2" s="24" t="s">
        <v>99</v>
      </c>
      <c r="C2" s="24" t="s">
        <v>100</v>
      </c>
      <c r="D2" s="24" t="s">
        <v>104</v>
      </c>
    </row>
    <row r="3" spans="1:4" x14ac:dyDescent="0.3">
      <c r="A3" s="23">
        <v>1</v>
      </c>
      <c r="B3" s="23">
        <f>AccRules_Transactions!A4</f>
        <v>1</v>
      </c>
      <c r="C3" s="23" t="str">
        <f>AccRules_Transactions!B4</f>
        <v>Revenue</v>
      </c>
      <c r="D3" s="23" t="s">
        <v>101</v>
      </c>
    </row>
    <row r="4" spans="1:4" x14ac:dyDescent="0.3">
      <c r="A4" s="23">
        <v>2</v>
      </c>
      <c r="B4" s="23">
        <f>AccRules_Transactions!A5</f>
        <v>2</v>
      </c>
      <c r="C4" s="23" t="s">
        <v>116</v>
      </c>
      <c r="D4" s="23" t="s">
        <v>102</v>
      </c>
    </row>
    <row r="5" spans="1:4" x14ac:dyDescent="0.3">
      <c r="A5" s="23">
        <v>3</v>
      </c>
      <c r="B5" s="23">
        <v>6</v>
      </c>
      <c r="C5" s="23" t="s">
        <v>227</v>
      </c>
      <c r="D5" s="23" t="s">
        <v>229</v>
      </c>
    </row>
    <row r="6" spans="1:4" x14ac:dyDescent="0.3">
      <c r="A6" s="23">
        <v>4</v>
      </c>
      <c r="B6" s="23">
        <v>7</v>
      </c>
      <c r="C6" s="23" t="s">
        <v>228</v>
      </c>
      <c r="D6" s="23" t="s">
        <v>230</v>
      </c>
    </row>
    <row r="8" spans="1:4" x14ac:dyDescent="0.3">
      <c r="A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ED38-D7A5-4B7F-83FE-E4F83E1DD082}">
  <sheetPr>
    <tabColor rgb="FF92D050"/>
  </sheetPr>
  <dimension ref="A1:C5"/>
  <sheetViews>
    <sheetView topLeftCell="A2" workbookViewId="0">
      <selection activeCell="A2" sqref="A2:C5"/>
    </sheetView>
  </sheetViews>
  <sheetFormatPr defaultRowHeight="14.4" x14ac:dyDescent="0.3"/>
  <cols>
    <col min="2" max="2" width="18.6640625" customWidth="1"/>
    <col min="3" max="3" width="17.44140625" customWidth="1"/>
  </cols>
  <sheetData>
    <row r="1" spans="1:3" x14ac:dyDescent="0.3">
      <c r="A1" s="1" t="s">
        <v>0</v>
      </c>
    </row>
    <row r="2" spans="1:3" x14ac:dyDescent="0.3">
      <c r="A2" s="1" t="s">
        <v>1</v>
      </c>
      <c r="B2" s="1" t="s">
        <v>5</v>
      </c>
      <c r="C2" s="1" t="s">
        <v>4</v>
      </c>
    </row>
    <row r="3" spans="1:3" x14ac:dyDescent="0.3">
      <c r="A3">
        <v>1</v>
      </c>
      <c r="B3" t="s">
        <v>3</v>
      </c>
      <c r="C3" t="s">
        <v>45</v>
      </c>
    </row>
    <row r="4" spans="1:3" x14ac:dyDescent="0.3">
      <c r="A4">
        <v>2</v>
      </c>
      <c r="B4" t="s">
        <v>6</v>
      </c>
      <c r="C4" t="s">
        <v>46</v>
      </c>
    </row>
    <row r="5" spans="1:3" x14ac:dyDescent="0.3">
      <c r="A5">
        <v>3</v>
      </c>
      <c r="B5" t="s">
        <v>20</v>
      </c>
      <c r="C5" t="s">
        <v>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1F1F-0AE8-4620-9672-DF7CF5BD0A12}">
  <sheetPr>
    <tabColor rgb="FF92D050"/>
  </sheetPr>
  <dimension ref="A1:H15"/>
  <sheetViews>
    <sheetView workbookViewId="0">
      <selection activeCell="A3" sqref="A3:E7"/>
    </sheetView>
  </sheetViews>
  <sheetFormatPr defaultRowHeight="14.4" x14ac:dyDescent="0.3"/>
  <cols>
    <col min="1" max="1" width="21.77734375" customWidth="1"/>
    <col min="2" max="2" width="36.109375" customWidth="1"/>
    <col min="3" max="3" width="31.21875" customWidth="1"/>
    <col min="4" max="4" width="31.5546875" customWidth="1"/>
    <col min="5" max="5" width="25.6640625" customWidth="1"/>
    <col min="6" max="6" width="29.6640625" customWidth="1"/>
  </cols>
  <sheetData>
    <row r="1" spans="1:8" x14ac:dyDescent="0.3">
      <c r="A1" s="1" t="s">
        <v>0</v>
      </c>
      <c r="F1" s="1" t="s">
        <v>7</v>
      </c>
      <c r="G1" s="1" t="s">
        <v>7</v>
      </c>
    </row>
    <row r="2" spans="1:8" x14ac:dyDescent="0.3">
      <c r="B2" s="1"/>
      <c r="F2" s="1"/>
      <c r="G2" s="1"/>
    </row>
    <row r="3" spans="1:8" x14ac:dyDescent="0.3">
      <c r="A3" s="6" t="s">
        <v>44</v>
      </c>
      <c r="B3" s="9" t="s">
        <v>15</v>
      </c>
      <c r="C3" s="6" t="s">
        <v>10</v>
      </c>
      <c r="D3" s="5" t="s">
        <v>16</v>
      </c>
      <c r="E3" s="4" t="s">
        <v>17</v>
      </c>
      <c r="F3" s="7" t="s">
        <v>39</v>
      </c>
      <c r="G3" s="7" t="s">
        <v>19</v>
      </c>
      <c r="H3" s="12" t="s">
        <v>9</v>
      </c>
    </row>
    <row r="4" spans="1:8" x14ac:dyDescent="0.3">
      <c r="A4" s="13">
        <v>1</v>
      </c>
      <c r="B4" s="14" t="s">
        <v>3</v>
      </c>
      <c r="C4" s="14" t="s">
        <v>40</v>
      </c>
      <c r="D4" s="14" t="s">
        <v>13</v>
      </c>
      <c r="E4" s="14" t="s">
        <v>6</v>
      </c>
      <c r="F4" s="14" t="str">
        <f>CONCATENATE(E4,C4,D4)</f>
        <v>Deferred Revenueamount&gt;1Dr</v>
      </c>
      <c r="G4" s="14">
        <f>VLOOKUP(F4,GLRule!$A$2:$B$15,2,FALSE)</f>
        <v>5</v>
      </c>
      <c r="H4" s="14" t="str">
        <f>VLOOKUP(F4,GLRule!$A$3:$D$14,4,FALSE)</f>
        <v>Positive</v>
      </c>
    </row>
    <row r="5" spans="1:8" x14ac:dyDescent="0.3">
      <c r="A5" s="14">
        <v>2</v>
      </c>
      <c r="B5" s="14" t="s">
        <v>3</v>
      </c>
      <c r="C5" s="14" t="s">
        <v>40</v>
      </c>
      <c r="D5" s="14" t="s">
        <v>14</v>
      </c>
      <c r="E5" s="14" t="s">
        <v>3</v>
      </c>
      <c r="F5" s="14" t="str">
        <f t="shared" ref="F5:F7" si="0">CONCATENATE(E5,C5,D5)</f>
        <v>Revenueamount&gt;1Cr</v>
      </c>
      <c r="G5" s="14">
        <f>VLOOKUP(F5,GLRule!$A$2:$B$15,2,FALSE)</f>
        <v>2</v>
      </c>
      <c r="H5" s="14" t="str">
        <f>VLOOKUP(F5,GLRule!$A$3:$D$14,4,FALSE)</f>
        <v>Positive</v>
      </c>
    </row>
    <row r="6" spans="1:8" x14ac:dyDescent="0.3">
      <c r="A6" s="14">
        <v>3</v>
      </c>
      <c r="B6" s="14" t="s">
        <v>116</v>
      </c>
      <c r="C6" s="14" t="s">
        <v>40</v>
      </c>
      <c r="D6" s="14" t="s">
        <v>13</v>
      </c>
      <c r="E6" s="14" t="s">
        <v>20</v>
      </c>
      <c r="F6" s="14" t="str">
        <f t="shared" si="0"/>
        <v>A/Ramount&gt;1Dr</v>
      </c>
      <c r="G6" s="14">
        <f>VLOOKUP(F6,GLRule!$A$2:$B$15,2,FALSE)</f>
        <v>9</v>
      </c>
      <c r="H6" s="14" t="str">
        <f>VLOOKUP(F6,GLRule!$A$3:$D$14,4,FALSE)</f>
        <v>Positive</v>
      </c>
    </row>
    <row r="7" spans="1:8" x14ac:dyDescent="0.3">
      <c r="A7" s="14">
        <v>4</v>
      </c>
      <c r="B7" s="14" t="s">
        <v>116</v>
      </c>
      <c r="C7" s="14" t="s">
        <v>40</v>
      </c>
      <c r="D7" s="14" t="s">
        <v>14</v>
      </c>
      <c r="E7" s="14" t="s">
        <v>6</v>
      </c>
      <c r="F7" s="14" t="str">
        <f t="shared" si="0"/>
        <v>Deferred Revenueamount&gt;1Cr</v>
      </c>
      <c r="G7" s="14">
        <f>VLOOKUP(F7,GLRule!$A$2:$B$15,2,FALSE)</f>
        <v>6</v>
      </c>
      <c r="H7" s="14" t="str">
        <f>VLOOKUP(F7,GLRule!$A$3:$D$14,4,FALSE)</f>
        <v>Positive</v>
      </c>
    </row>
    <row r="8" spans="1:8" x14ac:dyDescent="0.3">
      <c r="A8" s="8" t="str">
        <f>_xlfn.CONCAT("R",A4)</f>
        <v>R1</v>
      </c>
      <c r="B8" s="8" t="str">
        <f>B4</f>
        <v>Revenue</v>
      </c>
      <c r="C8" s="8" t="str">
        <f>IF(C4="amount&gt;1","amount&lt;1","amount&gt;1")</f>
        <v>amount&lt;1</v>
      </c>
      <c r="D8" s="8" t="str">
        <f>IF(D4="Dr","Cr","Dr")</f>
        <v>Cr</v>
      </c>
      <c r="E8" s="8" t="str">
        <f>E4</f>
        <v>Deferred Revenue</v>
      </c>
      <c r="F8" s="8" t="str">
        <f>CONCATENATE(E8,C8,D8)</f>
        <v>Deferred Revenueamount&lt;1Cr</v>
      </c>
      <c r="G8" s="8">
        <f>VLOOKUP(F8,GLRule!$A$2:$B$15,2,FALSE)</f>
        <v>8</v>
      </c>
      <c r="H8" s="8" t="str">
        <f>VLOOKUP(F8,GLRule!$A$3:$D$14,4,FALSE)</f>
        <v>Negative</v>
      </c>
    </row>
    <row r="9" spans="1:8" x14ac:dyDescent="0.3">
      <c r="A9" s="8" t="str">
        <f>_xlfn.CONCAT("R",A5)</f>
        <v>R2</v>
      </c>
      <c r="B9" s="8" t="str">
        <f>B5</f>
        <v>Revenue</v>
      </c>
      <c r="C9" s="8" t="str">
        <f>IF(C5="amount&gt;1","amount&lt;1","amount&gt;1")</f>
        <v>amount&lt;1</v>
      </c>
      <c r="D9" s="8" t="str">
        <f>IF(D5="Dr","Cr","Dr")</f>
        <v>Dr</v>
      </c>
      <c r="E9" s="8" t="str">
        <f>E5</f>
        <v>Revenue</v>
      </c>
      <c r="F9" s="8" t="str">
        <f t="shared" ref="F9:F11" si="1">CONCATENATE(E9,C9,D9)</f>
        <v>Revenueamount&lt;1Dr</v>
      </c>
      <c r="G9" s="8">
        <f>VLOOKUP(F9,GLRule!$A$2:$B$15,2,FALSE)</f>
        <v>3</v>
      </c>
      <c r="H9" s="8" t="str">
        <f>VLOOKUP(F9,GLRule!$A$3:$D$14,4,FALSE)</f>
        <v>Negative</v>
      </c>
    </row>
    <row r="10" spans="1:8" x14ac:dyDescent="0.3">
      <c r="A10" s="8" t="str">
        <f>_xlfn.CONCAT("R",A6)</f>
        <v>R3</v>
      </c>
      <c r="B10" s="8" t="str">
        <f>B6</f>
        <v>Billing</v>
      </c>
      <c r="C10" s="8" t="str">
        <f>IF(C6="amount&gt;1","amount&lt;1","amount&gt;1")</f>
        <v>amount&lt;1</v>
      </c>
      <c r="D10" s="8" t="str">
        <f>IF(D6="Dr","Cr","Dr")</f>
        <v>Cr</v>
      </c>
      <c r="E10" s="8" t="str">
        <f>E6</f>
        <v>A/R</v>
      </c>
      <c r="F10" s="8" t="str">
        <f t="shared" si="1"/>
        <v>A/Ramount&lt;1Cr</v>
      </c>
      <c r="G10" s="8">
        <f>VLOOKUP(F10,GLRule!$A$2:$B$15,2,FALSE)</f>
        <v>12</v>
      </c>
      <c r="H10" s="8" t="str">
        <f>VLOOKUP(F10,GLRule!$A$3:$D$14,4,FALSE)</f>
        <v>Negative</v>
      </c>
    </row>
    <row r="11" spans="1:8" x14ac:dyDescent="0.3">
      <c r="A11" s="8" t="str">
        <f>_xlfn.CONCAT("R",A7)</f>
        <v>R4</v>
      </c>
      <c r="B11" s="8" t="str">
        <f>B7</f>
        <v>Billing</v>
      </c>
      <c r="C11" s="8" t="str">
        <f>IF(C7="amount&gt;1","amount&lt;1","amount&gt;1")</f>
        <v>amount&lt;1</v>
      </c>
      <c r="D11" s="8" t="str">
        <f>IF(D7="Dr","Cr","Dr")</f>
        <v>Dr</v>
      </c>
      <c r="E11" s="8" t="str">
        <f>E7</f>
        <v>Deferred Revenue</v>
      </c>
      <c r="F11" s="8" t="str">
        <f t="shared" si="1"/>
        <v>Deferred Revenueamount&lt;1Dr</v>
      </c>
      <c r="G11" s="8">
        <f>VLOOKUP(F11,GLRule!$A$2:$B$15,2,FALSE)</f>
        <v>7</v>
      </c>
      <c r="H11" s="8" t="str">
        <f>VLOOKUP(F11,GLRule!$A$3:$D$14,4,FALSE)</f>
        <v>Negative</v>
      </c>
    </row>
    <row r="14" spans="1:8" x14ac:dyDescent="0.3">
      <c r="A14" s="15" t="s">
        <v>0</v>
      </c>
    </row>
    <row r="15" spans="1:8" x14ac:dyDescent="0.3">
      <c r="A15" s="16" t="s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05F7-0B63-4F8D-93FA-9A52BE4AD812}">
  <sheetPr>
    <tabColor rgb="FF92D050"/>
  </sheetPr>
  <dimension ref="A1:D8"/>
  <sheetViews>
    <sheetView workbookViewId="0">
      <selection activeCell="D3" sqref="D3"/>
    </sheetView>
  </sheetViews>
  <sheetFormatPr defaultRowHeight="14.4" x14ac:dyDescent="0.3"/>
  <cols>
    <col min="1" max="1" width="27.109375" customWidth="1"/>
    <col min="2" max="2" width="22" customWidth="1"/>
    <col min="3" max="3" width="32.109375" customWidth="1"/>
  </cols>
  <sheetData>
    <row r="1" spans="1:4" x14ac:dyDescent="0.3">
      <c r="A1" s="1" t="s">
        <v>0</v>
      </c>
    </row>
    <row r="2" spans="1:4" x14ac:dyDescent="0.3">
      <c r="A2" s="24" t="s">
        <v>21</v>
      </c>
      <c r="B2" s="24" t="s">
        <v>22</v>
      </c>
      <c r="C2" s="24" t="s">
        <v>5</v>
      </c>
      <c r="D2" s="24" t="s">
        <v>211</v>
      </c>
    </row>
    <row r="3" spans="1:4" x14ac:dyDescent="0.3">
      <c r="A3" s="23">
        <v>1000</v>
      </c>
      <c r="B3" s="23" t="s">
        <v>3</v>
      </c>
      <c r="C3" s="23" t="s">
        <v>3</v>
      </c>
      <c r="D3" s="23" t="s">
        <v>191</v>
      </c>
    </row>
    <row r="4" spans="1:4" x14ac:dyDescent="0.3">
      <c r="A4" s="23">
        <v>2000</v>
      </c>
      <c r="B4" s="23" t="s">
        <v>3</v>
      </c>
      <c r="C4" s="23" t="s">
        <v>3</v>
      </c>
      <c r="D4" s="23" t="s">
        <v>201</v>
      </c>
    </row>
    <row r="5" spans="1:4" x14ac:dyDescent="0.3">
      <c r="A5" s="23">
        <v>3000</v>
      </c>
      <c r="B5" s="23" t="s">
        <v>24</v>
      </c>
      <c r="C5" s="23" t="s">
        <v>20</v>
      </c>
      <c r="D5" s="23" t="s">
        <v>191</v>
      </c>
    </row>
    <row r="6" spans="1:4" x14ac:dyDescent="0.3">
      <c r="A6" s="23">
        <v>4000</v>
      </c>
      <c r="B6" s="23" t="s">
        <v>24</v>
      </c>
      <c r="C6" s="23" t="s">
        <v>20</v>
      </c>
      <c r="D6" s="23" t="s">
        <v>201</v>
      </c>
    </row>
    <row r="7" spans="1:4" x14ac:dyDescent="0.3">
      <c r="A7" s="23">
        <v>5000</v>
      </c>
      <c r="B7" s="23" t="s">
        <v>212</v>
      </c>
      <c r="C7" s="23" t="s">
        <v>6</v>
      </c>
      <c r="D7" s="23" t="s">
        <v>191</v>
      </c>
    </row>
    <row r="8" spans="1:4" x14ac:dyDescent="0.3">
      <c r="A8" s="23">
        <v>6000</v>
      </c>
      <c r="B8" s="23" t="str">
        <f>C8</f>
        <v>Deferred Revenue</v>
      </c>
      <c r="C8" s="23" t="s">
        <v>6</v>
      </c>
      <c r="D8" s="23" t="s">
        <v>201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FCDF-602B-4CCB-87F0-440DB84772D7}">
  <sheetPr>
    <tabColor rgb="FFFFC000"/>
  </sheetPr>
  <dimension ref="A1:G10"/>
  <sheetViews>
    <sheetView workbookViewId="0">
      <selection activeCell="A5" sqref="A5:E10"/>
    </sheetView>
  </sheetViews>
  <sheetFormatPr defaultRowHeight="14.4" x14ac:dyDescent="0.3"/>
  <cols>
    <col min="1" max="1" width="24.77734375" customWidth="1"/>
    <col min="2" max="2" width="18.21875" customWidth="1"/>
    <col min="3" max="3" width="20.44140625" customWidth="1"/>
    <col min="5" max="5" width="22.77734375" customWidth="1"/>
    <col min="6" max="6" width="21.44140625" customWidth="1"/>
  </cols>
  <sheetData>
    <row r="1" spans="1:7" x14ac:dyDescent="0.3">
      <c r="A1" s="1" t="s">
        <v>38</v>
      </c>
    </row>
    <row r="2" spans="1:7" x14ac:dyDescent="0.3">
      <c r="A2" s="1" t="s">
        <v>49</v>
      </c>
      <c r="B2" s="1" t="s">
        <v>27</v>
      </c>
      <c r="C2" s="1" t="s">
        <v>28</v>
      </c>
      <c r="D2" s="1" t="s">
        <v>30</v>
      </c>
      <c r="E2" s="1" t="s">
        <v>72</v>
      </c>
      <c r="F2" s="17" t="s">
        <v>9</v>
      </c>
      <c r="G2" s="1"/>
    </row>
    <row r="3" spans="1:7" x14ac:dyDescent="0.3">
      <c r="A3" s="2">
        <v>45292</v>
      </c>
      <c r="B3" t="s">
        <v>29</v>
      </c>
      <c r="C3" t="s">
        <v>116</v>
      </c>
      <c r="D3">
        <v>1200</v>
      </c>
      <c r="E3">
        <v>1</v>
      </c>
      <c r="F3" s="18" t="str">
        <f>IF(D3&lt;0,"Negative","Positive")</f>
        <v>Positive</v>
      </c>
    </row>
    <row r="4" spans="1:7" x14ac:dyDescent="0.3">
      <c r="A4" s="2">
        <v>45292</v>
      </c>
      <c r="B4" t="s">
        <v>29</v>
      </c>
      <c r="C4" t="s">
        <v>116</v>
      </c>
      <c r="D4">
        <v>600</v>
      </c>
      <c r="E4">
        <v>2</v>
      </c>
      <c r="F4" s="18" t="str">
        <f t="shared" ref="F4" si="0">IF(D4&lt;0,"Negative","Positive")</f>
        <v>Positive</v>
      </c>
    </row>
    <row r="5" spans="1:7" s="23" customFormat="1" x14ac:dyDescent="0.3">
      <c r="A5" s="2">
        <v>45292</v>
      </c>
      <c r="B5" s="23" t="s">
        <v>29</v>
      </c>
      <c r="C5" s="23" t="s">
        <v>70</v>
      </c>
      <c r="D5" s="23">
        <v>100</v>
      </c>
      <c r="E5" s="23">
        <v>1</v>
      </c>
      <c r="F5" s="18"/>
    </row>
    <row r="6" spans="1:7" s="23" customFormat="1" x14ac:dyDescent="0.3">
      <c r="A6" s="2">
        <v>45292</v>
      </c>
      <c r="B6" s="23" t="s">
        <v>29</v>
      </c>
      <c r="C6" s="23" t="s">
        <v>70</v>
      </c>
      <c r="D6" s="23">
        <v>100</v>
      </c>
      <c r="E6" s="23">
        <v>2</v>
      </c>
      <c r="F6" s="18"/>
    </row>
    <row r="7" spans="1:7" s="23" customFormat="1" x14ac:dyDescent="0.3">
      <c r="A7" s="2">
        <v>45292</v>
      </c>
      <c r="B7" s="23" t="s">
        <v>29</v>
      </c>
      <c r="C7" s="23" t="s">
        <v>71</v>
      </c>
      <c r="D7" s="23">
        <v>12</v>
      </c>
      <c r="E7" s="23">
        <v>1</v>
      </c>
      <c r="F7" s="18"/>
    </row>
    <row r="8" spans="1:7" s="23" customFormat="1" x14ac:dyDescent="0.3">
      <c r="A8" s="2">
        <v>45292</v>
      </c>
      <c r="B8" s="23" t="s">
        <v>29</v>
      </c>
      <c r="C8" s="23" t="s">
        <v>71</v>
      </c>
      <c r="D8" s="23">
        <v>6</v>
      </c>
      <c r="E8" s="23">
        <v>2</v>
      </c>
      <c r="F8" s="18"/>
    </row>
    <row r="9" spans="1:7" s="23" customFormat="1" x14ac:dyDescent="0.3">
      <c r="A9" s="2">
        <v>45292</v>
      </c>
      <c r="B9" s="23" t="s">
        <v>29</v>
      </c>
      <c r="C9" s="23" t="s">
        <v>231</v>
      </c>
      <c r="D9" s="23">
        <v>0.2</v>
      </c>
      <c r="E9" s="23">
        <v>1</v>
      </c>
      <c r="F9" s="18"/>
    </row>
    <row r="10" spans="1:7" s="23" customFormat="1" x14ac:dyDescent="0.3">
      <c r="A10" s="2">
        <v>45292</v>
      </c>
      <c r="B10" s="23" t="s">
        <v>29</v>
      </c>
      <c r="C10" s="23" t="s">
        <v>231</v>
      </c>
      <c r="D10" s="23">
        <v>0.3</v>
      </c>
      <c r="E10" s="23">
        <v>2</v>
      </c>
      <c r="F10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CheatSheet</vt:lpstr>
      <vt:lpstr>UI-Home</vt:lpstr>
      <vt:lpstr>AccRules_Transactions</vt:lpstr>
      <vt:lpstr>AccRules_Attributes</vt:lpstr>
      <vt:lpstr>AccRules_Aggregation</vt:lpstr>
      <vt:lpstr>AccRules_AccountType</vt:lpstr>
      <vt:lpstr>Acc_Subledger Account Mappings</vt:lpstr>
      <vt:lpstr>Acc_ChartOfAccount</vt:lpstr>
      <vt:lpstr>TransactionInput</vt:lpstr>
      <vt:lpstr>InstrumentAttributeValue</vt:lpstr>
      <vt:lpstr>ModelParameters</vt:lpstr>
      <vt:lpstr>ModelName (1)</vt:lpstr>
      <vt:lpstr>Model_Input (1)</vt:lpstr>
      <vt:lpstr>Model_calc (1)</vt:lpstr>
      <vt:lpstr>Output_Attributes (1)</vt:lpstr>
      <vt:lpstr>Output_Transactions (1)</vt:lpstr>
      <vt:lpstr>AccountingPeriod (1)</vt:lpstr>
      <vt:lpstr>TransactionHistory (1)</vt:lpstr>
      <vt:lpstr>InstrumentAttributeHistory (1)</vt:lpstr>
      <vt:lpstr>AggregationHistory (1)</vt:lpstr>
      <vt:lpstr>ModelName (2)</vt:lpstr>
      <vt:lpstr>Model_Input (2)</vt:lpstr>
      <vt:lpstr>Model_calc (2)</vt:lpstr>
      <vt:lpstr>Output_Transactions (2)</vt:lpstr>
      <vt:lpstr>TransactionHistory (2)</vt:lpstr>
      <vt:lpstr>ModelName (3)</vt:lpstr>
      <vt:lpstr>Model_Input (3)</vt:lpstr>
      <vt:lpstr>Model_Calc (3)</vt:lpstr>
      <vt:lpstr>Output_Transactions (3)</vt:lpstr>
      <vt:lpstr>AccountingPeriod (3)</vt:lpstr>
      <vt:lpstr>TransactionHistory (3)</vt:lpstr>
      <vt:lpstr>InstrumentAttributeHistory (3)</vt:lpstr>
      <vt:lpstr>AggregationHistory (3)</vt:lpstr>
      <vt:lpstr>GLEntry</vt:lpstr>
      <vt:lpstr>GLRule</vt:lpstr>
      <vt:lpstr>TrialBalance</vt:lpstr>
      <vt:lpstr>Replay Example</vt:lpstr>
      <vt:lpstr>Reclass Example</vt:lpstr>
      <vt:lpstr>AdjustmentError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dcterms:created xsi:type="dcterms:W3CDTF">2024-02-24T05:30:44Z</dcterms:created>
  <dcterms:modified xsi:type="dcterms:W3CDTF">2024-03-10T09:29:37Z</dcterms:modified>
</cp:coreProperties>
</file>