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arget="docMetadata/LabelInfo.xml" Type="http://schemas.microsoft.com/office/2020/02/relationships/classificationlabel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cenario" sheetId="1" state="visible" r:id="rId3"/>
    <sheet name="i_ExecutionDate" sheetId="2" state="visible" r:id="rId4"/>
    <sheet name="i_Transaction" sheetId="3" state="visible" r:id="rId5"/>
    <sheet name="i_InstrumentAttribute" sheetId="4" state="visible" r:id="rId6"/>
    <sheet name="CALC" sheetId="5" state="visible" r:id="rId7"/>
    <sheet name="i_Metric" sheetId="6" state="visible" r:id="rId8"/>
    <sheet name="o_Transaction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<sst xmlns="http://schemas.openxmlformats.org/spreadsheetml/2006/main" count="272" uniqueCount="82">
  <si>
    <t xml:space="preserve">Transactions</t>
  </si>
  <si>
    <t xml:space="preserve">Balances</t>
  </si>
  <si>
    <t xml:space="preserve">Monthly NR</t>
  </si>
  <si>
    <t xml:space="preserve">PD</t>
  </si>
  <si>
    <t xml:space="preserve">ED</t>
  </si>
  <si>
    <t xml:space="preserve">Transaction</t>
  </si>
  <si>
    <t xml:space="preserve">Component</t>
  </si>
  <si>
    <t xml:space="preserve">Amount</t>
  </si>
  <si>
    <t xml:space="preserve">Entry</t>
  </si>
  <si>
    <t xml:space="preserve">UPB</t>
  </si>
  <si>
    <t xml:space="preserve">AIR</t>
  </si>
  <si>
    <t xml:space="preserve">Daily NR</t>
  </si>
  <si>
    <t xml:space="preserve">Purchase</t>
  </si>
  <si>
    <t xml:space="preserve">New</t>
  </si>
  <si>
    <t xml:space="preserve">Interest</t>
  </si>
  <si>
    <t xml:space="preserve">accrual</t>
  </si>
  <si>
    <t xml:space="preserve">Remit</t>
  </si>
  <si>
    <t xml:space="preserve">Payment</t>
  </si>
  <si>
    <t xml:space="preserve">Reversal</t>
  </si>
  <si>
    <t xml:space="preserve">Remit Reversal</t>
  </si>
  <si>
    <t xml:space="preserve">Rebook</t>
  </si>
  <si>
    <t xml:space="preserve">Accrual</t>
  </si>
  <si>
    <t xml:space="preserve">Payment Interest</t>
  </si>
  <si>
    <t xml:space="preserve">Payment UPB</t>
  </si>
  <si>
    <t xml:space="preserve">ExecutionDate</t>
  </si>
  <si>
    <t xml:space="preserve">LastExecutionDate</t>
  </si>
  <si>
    <t xml:space="preserve">ReplayDate</t>
  </si>
  <si>
    <t xml:space="preserve">TransactionName</t>
  </si>
  <si>
    <t xml:space="preserve">PostingDate</t>
  </si>
  <si>
    <t xml:space="preserve">TransactionDate</t>
  </si>
  <si>
    <t xml:space="preserve">InstrumentId</t>
  </si>
  <si>
    <t xml:space="preserve">AttributeId</t>
  </si>
  <si>
    <t xml:space="preserve">1.0</t>
  </si>
  <si>
    <t xml:space="preserve">Type</t>
  </si>
  <si>
    <t xml:space="preserve">EffectiveDate</t>
  </si>
  <si>
    <t xml:space="preserve">AttributeID</t>
  </si>
  <si>
    <t xml:space="preserve">ATTRIBUTES.INTEREST_RATE</t>
  </si>
  <si>
    <t xml:space="preserve">ATTRIBUTES.ACCRUAL_METHOD</t>
  </si>
  <si>
    <t xml:space="preserve">ATTRIBUTES.MATURITY_DATE</t>
  </si>
  <si>
    <t xml:space="preserve">ATTRIBUTES.CAPTURE_DATE</t>
  </si>
  <si>
    <t xml:space="preserve">CURRENT_OPEN_VERSION</t>
  </si>
  <si>
    <t xml:space="preserve">Date</t>
  </si>
  <si>
    <t xml:space="preserve">Closing Principal</t>
  </si>
  <si>
    <t xml:space="preserve">Closing AIR</t>
  </si>
  <si>
    <t xml:space="preserve">ContractDate</t>
  </si>
  <si>
    <t xml:space="preserve">HEALTH CHECK</t>
  </si>
  <si>
    <t xml:space="preserve">Total Payment</t>
  </si>
  <si>
    <t xml:space="preserve">Difference</t>
  </si>
  <si>
    <t xml:space="preserve">Initial Balance at Posting</t>
  </si>
  <si>
    <t xml:space="preserve">Interest Accrual Calc</t>
  </si>
  <si>
    <t xml:space="preserve">InstrumentID</t>
  </si>
  <si>
    <t xml:space="preserve">Accrual Method</t>
  </si>
  <si>
    <t xml:space="preserve">Annual Interest Rate</t>
  </si>
  <si>
    <t xml:space="preserve">Number of days in Month</t>
  </si>
  <si>
    <t xml:space="preserve">Per Month Interest Rate</t>
  </si>
  <si>
    <t xml:space="preserve">Per Day Interest Rate</t>
  </si>
  <si>
    <t xml:space="preserve">Per Day Interest Accrual</t>
  </si>
  <si>
    <t xml:space="preserve">Date Final</t>
  </si>
  <si>
    <t xml:space="preserve">Number Of Days</t>
  </si>
  <si>
    <t xml:space="preserve">Total Accrual</t>
  </si>
  <si>
    <t xml:space="preserve">Only for Out of Order</t>
  </si>
  <si>
    <t xml:space="preserve">Current AIR</t>
  </si>
  <si>
    <t xml:space="preserve">Remit Amount</t>
  </si>
  <si>
    <t xml:space="preserve">Interest Payment</t>
  </si>
  <si>
    <t xml:space="preserve">Principal Payment</t>
  </si>
  <si>
    <t xml:space="preserve">Remit Type</t>
  </si>
  <si>
    <t xml:space="preserve">Transactiontype</t>
  </si>
  <si>
    <t xml:space="preserve">Inventory Close</t>
  </si>
  <si>
    <t xml:space="preserve">MaturityDate</t>
  </si>
  <si>
    <t xml:space="preserve">EndDate</t>
  </si>
  <si>
    <t xml:space="preserve">MetricName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</si>
  <si>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</si>
  <si>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</si>
  <si>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</si>
  <si>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</si>
  <si>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</si>
  <si>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Unpaid Principal Balance</t>
  </si>
  <si>
    <t xml:space="preserve">Accrued Interest Receivable</t>
  </si>
  <si>
    <t>IDHJ-EGNY</t>
  </si>
  <si>
    <t>202202</t>
  </si>
  <si>
    <t>ACTUAL_360</t>
  </si>
  <si>
    <t>CURRENT_OPEN_VERSION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</si>
</sst>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/d/yyyy"/>
    <numFmt numFmtId="166" formatCode="0.00_);[RED]\(0.00\)"/>
    <numFmt numFmtId="167" formatCode="#,##0.00_);[RED]\(#,##0.00\)"/>
    <numFmt numFmtId="168" formatCode="0.0000_);[RED]\(0.0000\)"/>
    <numFmt numFmtId="169" formatCode="0.0000"/>
    <numFmt numFmtId="170" formatCode="#,##0.0000_);[RED]\(#,##0.0000\)"/>
    <numFmt numFmtId="171" formatCode="0"/>
    <numFmt numFmtId="172" formatCode="0.00"/>
    <numFmt numFmtId="173" formatCode="MM/dd/yyyy"/>
    <numFmt numFmtId="174" formatCode="#,##0.##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</font>
    <font>
      <b val="true"/>
      <sz val="16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theme="4" tint="0.5999"/>
        <bgColor rgb="FFCCCCFF"/>
      </patternFill>
    </fill>
    <fill>
      <patternFill patternType="solid">
        <fgColor theme="7" tint="0.5999"/>
        <bgColor rgb="FFFFCC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NumberFormat="true"/>
    <xf numFmtId="173" fontId="0" fillId="0" borderId="0" xfId="0" applyNumberFormat="true"/>
    <xf numFmtId="174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4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4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4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4" fontId="0" fillId="0" borderId="0" xfId="0" applyNumberFormat="true"/>
    <xf numFmtId="174" fontId="0" fillId="0" borderId="0" xfId="0" applyNumberFormat="true"/>
    <xf numFmtId="174" fontId="0" fillId="0" borderId="0" xfId="0" applyNumberFormat="true"/>
    <xf numFmtId="173" fontId="0" fillId="0" borderId="0" xfId="0" applyNumberFormat="true"/>
    <xf numFmtId="174" fontId="0" fillId="0" borderId="0" xfId="0" applyNumberFormat="true"/>
    <xf numFmtId="174" fontId="0" fillId="0" borderId="0" xfId="0" applyNumberFormat="true"/>
    <xf numFmtId="174" fontId="0" fillId="0" borderId="0" xfId="0" applyNumberFormat="true"/>
    <xf numFmtId="173" fontId="0" fillId="0" borderId="0" xfId="0" applyNumberFormat="true"/>
    <xf numFmtId="174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4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"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10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V5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43" activeCellId="0" sqref="E43"/>
    </sheetView>
  </sheetViews>
  <sheetFormatPr defaultColWidth="8.6796875" defaultRowHeight="15" customHeight="true" zeroHeight="false" outlineLevelRow="0" outlineLevelCol="0"/>
  <cols>
    <col min="1" max="2" customWidth="true" hidden="false" style="0" width="9.71" collapsed="false" outlineLevel="0"/>
    <col min="3" max="3" customWidth="true" hidden="false" style="0" width="11.43" collapsed="false" outlineLevel="0"/>
    <col min="4" max="4" customWidth="true" hidden="false" style="0" width="8.0" collapsed="false" outlineLevel="0"/>
    <col min="5" max="5" customWidth="true" hidden="false" style="0" width="10.29" collapsed="false" outlineLevel="0"/>
    <col min="6" max="6" customWidth="true" hidden="false" style="0" width="8.57" collapsed="false" outlineLevel="0"/>
    <col min="8" max="8" customWidth="true" hidden="false" style="0" width="10.85" collapsed="false" outlineLevel="0"/>
    <col min="9" max="9" customWidth="true" hidden="false" style="0" width="9.29" collapsed="false" outlineLevel="0"/>
    <col min="13" max="13" customWidth="true" hidden="false" style="0" width="19.42" collapsed="false" outlineLevel="0"/>
    <col min="14" max="14" customWidth="true" hidden="false" style="0" width="12.0" collapsed="false" outlineLevel="0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H1" s="1" t="s">
        <v>1</v>
      </c>
      <c r="I1" s="1"/>
      <c r="M1" s="2" t="s">
        <v>2</v>
      </c>
      <c r="N1" s="2" t="n">
        <f aca="false">10/1200</f>
        <v>0.008333333333333333</v>
      </c>
    </row>
    <row r="2" customFormat="false" ht="15" hidden="false" customHeight="fals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H2" s="3" t="s">
        <v>9</v>
      </c>
      <c r="I2" s="3" t="s">
        <v>10</v>
      </c>
      <c r="M2" s="2" t="s">
        <v>11</v>
      </c>
      <c r="N2" s="2" t="n">
        <f aca="false">N1/28</f>
        <v>2.976190476190475E-4</v>
      </c>
    </row>
    <row r="3" customFormat="false" ht="15" hidden="false" customHeight="false" outlineLevel="0" collapsed="false">
      <c r="A3" s="4" t="n">
        <v>44592</v>
      </c>
      <c r="B3" s="4" t="n">
        <f aca="false">A3</f>
        <v>44592.0</v>
      </c>
      <c r="C3" s="2" t="s">
        <v>12</v>
      </c>
      <c r="D3" s="2" t="s">
        <v>9</v>
      </c>
      <c r="E3" s="5" t="n">
        <v>100000</v>
      </c>
      <c r="F3" s="2" t="s">
        <v>13</v>
      </c>
      <c r="H3" s="6" t="n">
        <f aca="false">E3</f>
        <v>100000.0</v>
      </c>
      <c r="I3" s="6" t="n">
        <v>0</v>
      </c>
    </row>
    <row r="4" customFormat="false" ht="15" hidden="false" customHeight="false" outlineLevel="0" collapsed="false">
      <c r="A4" s="4" t="n">
        <v>44592</v>
      </c>
      <c r="B4" s="4" t="n">
        <f aca="false">A4</f>
        <v>44592.0</v>
      </c>
      <c r="C4" s="2" t="s">
        <v>12</v>
      </c>
      <c r="D4" s="2" t="s">
        <v>14</v>
      </c>
      <c r="E4" s="5" t="n">
        <v>100</v>
      </c>
      <c r="F4" s="2" t="s">
        <v>13</v>
      </c>
      <c r="H4" s="6" t="n">
        <f aca="false">E3</f>
        <v>100000.0</v>
      </c>
      <c r="I4" s="6" t="n">
        <f aca="false">E4</f>
        <v>100.0</v>
      </c>
    </row>
    <row r="5" customFormat="false" ht="15" hidden="false" customHeight="false" outlineLevel="0" collapsed="false">
      <c r="A5" s="4" t="n">
        <v>44593</v>
      </c>
      <c r="B5" s="4" t="n">
        <v>44593</v>
      </c>
      <c r="C5" s="2" t="s">
        <v>15</v>
      </c>
      <c r="D5" s="2" t="s">
        <v>14</v>
      </c>
      <c r="E5" s="5" t="n">
        <f aca="false">H4*N2</f>
        <v>29.7619047619047</v>
      </c>
      <c r="F5" s="2" t="s">
        <v>13</v>
      </c>
      <c r="G5" s="7"/>
      <c r="H5" s="6" t="n">
        <f aca="false">H4</f>
        <v>100000.0</v>
      </c>
      <c r="I5" s="6" t="n">
        <f aca="false">I4+E5</f>
        <v>129.7619047619047</v>
      </c>
    </row>
    <row r="6" customFormat="false" ht="15" hidden="false" customHeight="false" outlineLevel="0" collapsed="false">
      <c r="A6" s="4" t="n">
        <v>44594</v>
      </c>
      <c r="B6" s="4" t="n">
        <v>44594</v>
      </c>
      <c r="C6" s="2" t="s">
        <v>15</v>
      </c>
      <c r="D6" s="2" t="s">
        <v>14</v>
      </c>
      <c r="E6" s="5" t="n">
        <f aca="false">E5</f>
        <v>29.7619047619047</v>
      </c>
      <c r="F6" s="2" t="s">
        <v>13</v>
      </c>
      <c r="G6" s="7"/>
      <c r="H6" s="6" t="n">
        <f aca="false">H5</f>
        <v>100000.0</v>
      </c>
      <c r="I6" s="6" t="n">
        <f aca="false">E6+I5</f>
        <v>159.5238095238094</v>
      </c>
    </row>
    <row r="7" customFormat="false" ht="15" hidden="false" customHeight="false" outlineLevel="0" collapsed="false">
      <c r="A7" s="4" t="n">
        <v>44595</v>
      </c>
      <c r="B7" s="4" t="n">
        <v>44595</v>
      </c>
      <c r="C7" s="2" t="s">
        <v>15</v>
      </c>
      <c r="D7" s="2" t="s">
        <v>14</v>
      </c>
      <c r="E7" s="5" t="n">
        <f aca="false">E6</f>
        <v>29.7619047619047</v>
      </c>
      <c r="F7" s="2" t="s">
        <v>13</v>
      </c>
      <c r="G7" s="7"/>
      <c r="H7" s="6" t="n">
        <f aca="false">H6</f>
        <v>100000.0</v>
      </c>
      <c r="I7" s="8" t="n">
        <f aca="false">I6+E7</f>
        <v>189.2857142857141</v>
      </c>
    </row>
    <row r="8" customFormat="false" ht="15" hidden="false" customHeight="false" outlineLevel="0" collapsed="false">
      <c r="A8" s="4" t="n">
        <v>44595</v>
      </c>
      <c r="B8" s="4" t="n">
        <v>44595</v>
      </c>
      <c r="C8" s="2" t="s">
        <v>16</v>
      </c>
      <c r="D8" s="2"/>
      <c r="E8" s="5" t="n">
        <v>200</v>
      </c>
      <c r="F8" s="2" t="s">
        <v>13</v>
      </c>
      <c r="H8" s="6"/>
      <c r="I8" s="6"/>
    </row>
    <row r="9" customFormat="false" ht="15" hidden="false" customHeight="false" outlineLevel="0" collapsed="false">
      <c r="A9" s="4" t="n">
        <v>44595</v>
      </c>
      <c r="B9" s="4" t="n">
        <v>44595</v>
      </c>
      <c r="C9" s="2" t="s">
        <v>17</v>
      </c>
      <c r="D9" s="2" t="s">
        <v>9</v>
      </c>
      <c r="E9" s="5" t="n">
        <f aca="false">-E8-E10</f>
        <v>-10.714285714285893</v>
      </c>
      <c r="F9" s="2" t="s">
        <v>13</v>
      </c>
      <c r="G9" s="7"/>
      <c r="H9" s="6" t="n">
        <f aca="false">H7+E9</f>
        <v>99989.28571428571</v>
      </c>
      <c r="I9" s="6" t="n">
        <f aca="false">I7</f>
        <v>189.2857142857141</v>
      </c>
    </row>
    <row r="10" customFormat="false" ht="15" hidden="false" customHeight="false" outlineLevel="0" collapsed="false">
      <c r="A10" s="4" t="n">
        <v>44595</v>
      </c>
      <c r="B10" s="4" t="n">
        <v>44595</v>
      </c>
      <c r="C10" s="2" t="s">
        <v>17</v>
      </c>
      <c r="D10" s="2" t="s">
        <v>14</v>
      </c>
      <c r="E10" s="5" t="n">
        <f aca="false">-I7</f>
        <v>-189.2857142857141</v>
      </c>
      <c r="F10" s="2" t="s">
        <v>13</v>
      </c>
      <c r="G10" s="7"/>
      <c r="H10" s="6" t="n">
        <f aca="false">H9</f>
        <v>99989.28571428571</v>
      </c>
      <c r="I10" s="6" t="n">
        <f aca="false">I9+E10</f>
        <v>0.0</v>
      </c>
    </row>
    <row r="11" customFormat="false" ht="15" hidden="false" customHeight="false" outlineLevel="0" collapsed="false">
      <c r="A11" s="4" t="n">
        <v>44596</v>
      </c>
      <c r="B11" s="4" t="n">
        <v>44596</v>
      </c>
      <c r="C11" s="2" t="s">
        <v>15</v>
      </c>
      <c r="D11" s="2" t="s">
        <v>14</v>
      </c>
      <c r="E11" s="9" t="n">
        <f aca="false">ROUND(H10*N2,4)</f>
        <v>29.7587</v>
      </c>
      <c r="F11" s="2" t="s">
        <v>13</v>
      </c>
      <c r="G11" s="7"/>
      <c r="H11" s="6" t="n">
        <f aca="false">H10</f>
        <v>99989.28571428571</v>
      </c>
      <c r="I11" s="6" t="n">
        <f aca="false">E11</f>
        <v>29.7587</v>
      </c>
    </row>
    <row r="12" customFormat="false" ht="15" hidden="false" customHeight="false" outlineLevel="0" collapsed="false">
      <c r="A12" s="4" t="n">
        <v>44597</v>
      </c>
      <c r="B12" s="4" t="n">
        <v>44597</v>
      </c>
      <c r="C12" s="2" t="s">
        <v>15</v>
      </c>
      <c r="D12" s="2" t="s">
        <v>14</v>
      </c>
      <c r="E12" s="5" t="n">
        <f aca="false">E11</f>
        <v>29.7587</v>
      </c>
      <c r="F12" s="2" t="s">
        <v>13</v>
      </c>
      <c r="G12" s="7"/>
      <c r="H12" s="6" t="n">
        <f aca="false">H11</f>
        <v>99989.28571428571</v>
      </c>
      <c r="I12" s="6" t="n">
        <f aca="false">I11+E12</f>
        <v>59.5174</v>
      </c>
    </row>
    <row r="13" customFormat="false" ht="15" hidden="false" customHeight="false" outlineLevel="0" collapsed="false">
      <c r="A13" s="4" t="n">
        <v>44597</v>
      </c>
      <c r="B13" s="4" t="n">
        <v>44597</v>
      </c>
      <c r="C13" s="2" t="s">
        <v>16</v>
      </c>
      <c r="D13" s="2"/>
      <c r="E13" s="5" t="n">
        <v>275</v>
      </c>
      <c r="F13" s="2" t="s">
        <v>13</v>
      </c>
      <c r="H13" s="6"/>
      <c r="I13" s="6"/>
    </row>
    <row r="14" customFormat="false" ht="15" hidden="false" customHeight="false" outlineLevel="0" collapsed="false">
      <c r="A14" s="4" t="n">
        <v>44597</v>
      </c>
      <c r="B14" s="4" t="n">
        <v>44597</v>
      </c>
      <c r="C14" s="2" t="s">
        <v>17</v>
      </c>
      <c r="D14" s="2" t="s">
        <v>9</v>
      </c>
      <c r="E14" s="9" t="n">
        <f aca="false">-E13-E15</f>
        <v>-215.4826</v>
      </c>
      <c r="F14" s="2" t="s">
        <v>13</v>
      </c>
      <c r="H14" s="6" t="n">
        <f aca="false">H12+E14</f>
        <v>99773.8031142857</v>
      </c>
      <c r="I14" s="6" t="n">
        <f aca="false">I12</f>
        <v>59.5174</v>
      </c>
    </row>
    <row r="15" customFormat="false" ht="15" hidden="false" customHeight="false" outlineLevel="0" collapsed="false">
      <c r="A15" s="4" t="n">
        <v>44597</v>
      </c>
      <c r="B15" s="4" t="n">
        <v>44597</v>
      </c>
      <c r="C15" s="2" t="s">
        <v>17</v>
      </c>
      <c r="D15" s="2" t="s">
        <v>14</v>
      </c>
      <c r="E15" s="9" t="n">
        <f aca="false">-I12</f>
        <v>-59.5174</v>
      </c>
      <c r="F15" s="2" t="s">
        <v>13</v>
      </c>
      <c r="H15" s="6" t="n">
        <f aca="false">H14</f>
        <v>99773.8031142857</v>
      </c>
      <c r="I15" s="6" t="n">
        <f aca="false">I14+E15</f>
        <v>0.0</v>
      </c>
    </row>
    <row r="16" customFormat="false" ht="15" hidden="false" customHeight="false" outlineLevel="0" collapsed="false">
      <c r="A16" s="4" t="n">
        <v>44598</v>
      </c>
      <c r="B16" s="4" t="n">
        <v>44598</v>
      </c>
      <c r="C16" s="2" t="s">
        <v>15</v>
      </c>
      <c r="D16" s="2" t="s">
        <v>14</v>
      </c>
      <c r="E16" s="5" t="n">
        <f aca="false">ROUND(H15*$N$2,4)</f>
        <v>29.6946</v>
      </c>
      <c r="F16" s="2" t="s">
        <v>13</v>
      </c>
      <c r="G16" s="7"/>
      <c r="H16" s="6" t="n">
        <f aca="false">H15</f>
        <v>99773.8031142857</v>
      </c>
      <c r="I16" s="6" t="n">
        <f aca="false">I15+E16</f>
        <v>29.6946</v>
      </c>
    </row>
    <row r="17" customFormat="false" ht="15" hidden="false" customHeight="false" outlineLevel="0" collapsed="false">
      <c r="A17" s="4" t="n">
        <v>44598</v>
      </c>
      <c r="B17" s="4" t="n">
        <v>44598</v>
      </c>
      <c r="C17" s="2" t="s">
        <v>16</v>
      </c>
      <c r="D17" s="2"/>
      <c r="E17" s="5" t="n">
        <v>350</v>
      </c>
      <c r="F17" s="2" t="s">
        <v>13</v>
      </c>
      <c r="H17" s="6"/>
      <c r="I17" s="6"/>
    </row>
    <row r="18" customFormat="false" ht="15" hidden="false" customHeight="false" outlineLevel="0" collapsed="false">
      <c r="A18" s="4" t="n">
        <v>44598</v>
      </c>
      <c r="B18" s="4" t="n">
        <v>44598</v>
      </c>
      <c r="C18" s="2" t="s">
        <v>17</v>
      </c>
      <c r="D18" s="2" t="s">
        <v>9</v>
      </c>
      <c r="E18" s="5" t="n">
        <f aca="false">-E17-E19</f>
        <v>-320.3054</v>
      </c>
      <c r="F18" s="2" t="s">
        <v>13</v>
      </c>
      <c r="H18" s="6" t="n">
        <f aca="false">H16+E18</f>
        <v>99453.49771428571</v>
      </c>
      <c r="I18" s="6" t="n">
        <f aca="false">I16</f>
        <v>29.6946</v>
      </c>
    </row>
    <row r="19" customFormat="false" ht="15" hidden="false" customHeight="false" outlineLevel="0" collapsed="false">
      <c r="A19" s="4" t="n">
        <v>44598</v>
      </c>
      <c r="B19" s="4" t="n">
        <v>44598</v>
      </c>
      <c r="C19" s="2" t="s">
        <v>17</v>
      </c>
      <c r="D19" s="2" t="s">
        <v>14</v>
      </c>
      <c r="E19" s="5" t="n">
        <f aca="false">-I16</f>
        <v>-29.6946</v>
      </c>
      <c r="F19" s="2" t="s">
        <v>13</v>
      </c>
      <c r="H19" s="6" t="n">
        <f aca="false">H18</f>
        <v>99453.49771428571</v>
      </c>
      <c r="I19" s="6" t="n">
        <f aca="false">I18+E19</f>
        <v>0.0</v>
      </c>
    </row>
    <row r="20" customFormat="false" ht="15" hidden="false" customHeight="false" outlineLevel="0" collapsed="false">
      <c r="A20" s="4" t="n">
        <v>44599</v>
      </c>
      <c r="B20" s="4" t="n">
        <v>44599</v>
      </c>
      <c r="C20" s="2" t="s">
        <v>15</v>
      </c>
      <c r="D20" s="2" t="s">
        <v>14</v>
      </c>
      <c r="E20" s="5" t="n">
        <f aca="false">ROUND(H19*N2,4)</f>
        <v>29.5993</v>
      </c>
      <c r="F20" s="2" t="s">
        <v>13</v>
      </c>
      <c r="G20" s="7"/>
      <c r="H20" s="6" t="n">
        <f aca="false">H19</f>
        <v>99453.49771428571</v>
      </c>
      <c r="I20" s="6" t="n">
        <f aca="false">I19+E20</f>
        <v>29.5993</v>
      </c>
    </row>
    <row r="21" customFormat="false" ht="15" hidden="false" customHeight="false" outlineLevel="0" collapsed="false">
      <c r="A21" s="4" t="n">
        <v>44600</v>
      </c>
      <c r="B21" s="4" t="n">
        <v>44600</v>
      </c>
      <c r="C21" s="2" t="s">
        <v>15</v>
      </c>
      <c r="D21" s="2" t="s">
        <v>14</v>
      </c>
      <c r="E21" s="5" t="n">
        <f aca="false">E20</f>
        <v>29.5993</v>
      </c>
      <c r="F21" s="2" t="s">
        <v>13</v>
      </c>
      <c r="G21" s="7"/>
      <c r="H21" s="6" t="n">
        <f aca="false">H20</f>
        <v>99453.49771428571</v>
      </c>
      <c r="I21" s="6" t="n">
        <f aca="false">I20+E21</f>
        <v>59.1986</v>
      </c>
    </row>
    <row r="22" customFormat="false" ht="15" hidden="false" customHeight="false" outlineLevel="0" collapsed="false">
      <c r="A22" s="10" t="n">
        <v>44601</v>
      </c>
      <c r="B22" s="10" t="n">
        <v>44595</v>
      </c>
      <c r="C22" s="11" t="s">
        <v>15</v>
      </c>
      <c r="D22" s="11" t="s">
        <v>14</v>
      </c>
      <c r="E22" s="12" t="n">
        <f aca="false">-E7</f>
        <v>-29.7619047619047</v>
      </c>
      <c r="F22" s="11" t="s">
        <v>18</v>
      </c>
      <c r="H22" s="6"/>
      <c r="I22" s="6"/>
    </row>
    <row r="23" customFormat="false" ht="15" hidden="false" customHeight="false" outlineLevel="0" collapsed="false">
      <c r="A23" s="10" t="n">
        <v>44601</v>
      </c>
      <c r="B23" s="10" t="n">
        <v>44595</v>
      </c>
      <c r="C23" s="11" t="s">
        <v>16</v>
      </c>
      <c r="D23" s="11"/>
      <c r="E23" s="12" t="n">
        <f aca="false">-E8</f>
        <v>-200.0</v>
      </c>
      <c r="F23" s="11" t="s">
        <v>18</v>
      </c>
      <c r="H23" s="6"/>
      <c r="I23" s="6"/>
    </row>
    <row r="24" customFormat="false" ht="15" hidden="false" customHeight="false" outlineLevel="0" collapsed="false">
      <c r="A24" s="10" t="n">
        <v>44601</v>
      </c>
      <c r="B24" s="10" t="n">
        <v>44595</v>
      </c>
      <c r="C24" s="11" t="s">
        <v>19</v>
      </c>
      <c r="D24" s="11"/>
      <c r="E24" s="12" t="n">
        <v>200</v>
      </c>
      <c r="F24" s="13" t="s">
        <v>13</v>
      </c>
      <c r="H24" s="6"/>
      <c r="I24" s="6"/>
    </row>
    <row r="25" customFormat="false" ht="15" hidden="false" customHeight="false" outlineLevel="0" collapsed="false">
      <c r="A25" s="10" t="n">
        <v>44601</v>
      </c>
      <c r="B25" s="10" t="n">
        <v>44595</v>
      </c>
      <c r="C25" s="11" t="s">
        <v>17</v>
      </c>
      <c r="D25" s="11" t="s">
        <v>9</v>
      </c>
      <c r="E25" s="12" t="n">
        <f aca="false">-E9</f>
        <v>10.714285714285893</v>
      </c>
      <c r="F25" s="11" t="s">
        <v>18</v>
      </c>
      <c r="H25" s="6"/>
      <c r="I25" s="6"/>
    </row>
    <row r="26" customFormat="false" ht="15" hidden="false" customHeight="false" outlineLevel="0" collapsed="false">
      <c r="A26" s="10" t="n">
        <v>44601</v>
      </c>
      <c r="B26" s="10" t="n">
        <v>44595</v>
      </c>
      <c r="C26" s="11" t="s">
        <v>17</v>
      </c>
      <c r="D26" s="11" t="s">
        <v>14</v>
      </c>
      <c r="E26" s="12" t="n">
        <f aca="false">-E10</f>
        <v>189.2857142857141</v>
      </c>
      <c r="F26" s="11" t="s">
        <v>18</v>
      </c>
      <c r="H26" s="6"/>
      <c r="I26" s="6"/>
    </row>
    <row r="27" customFormat="false" ht="15" hidden="false" customHeight="false" outlineLevel="0" collapsed="false">
      <c r="A27" s="10" t="n">
        <v>44601</v>
      </c>
      <c r="B27" s="10" t="n">
        <v>44596</v>
      </c>
      <c r="C27" s="11" t="s">
        <v>15</v>
      </c>
      <c r="D27" s="11" t="s">
        <v>14</v>
      </c>
      <c r="E27" s="12" t="n">
        <f aca="false">-E11</f>
        <v>-29.7587</v>
      </c>
      <c r="F27" s="11" t="s">
        <v>18</v>
      </c>
      <c r="H27" s="6"/>
      <c r="I27" s="6"/>
    </row>
    <row r="28" customFormat="false" ht="15" hidden="false" customHeight="false" outlineLevel="0" collapsed="false">
      <c r="A28" s="10" t="n">
        <v>44601</v>
      </c>
      <c r="B28" s="10" t="n">
        <v>44597</v>
      </c>
      <c r="C28" s="11" t="s">
        <v>15</v>
      </c>
      <c r="D28" s="11" t="s">
        <v>14</v>
      </c>
      <c r="E28" s="12" t="n">
        <f aca="false">-E12</f>
        <v>-29.7587</v>
      </c>
      <c r="F28" s="11" t="s">
        <v>18</v>
      </c>
      <c r="H28" s="6"/>
      <c r="I28" s="6"/>
    </row>
    <row r="29" customFormat="false" ht="15" hidden="false" customHeight="false" outlineLevel="0" collapsed="false">
      <c r="A29" s="10" t="n">
        <f aca="false">A28</f>
        <v>44601.0</v>
      </c>
      <c r="B29" s="10" t="n">
        <v>44597</v>
      </c>
      <c r="C29" s="11" t="s">
        <v>16</v>
      </c>
      <c r="D29" s="11"/>
      <c r="E29" s="12" t="n">
        <f aca="false">-E13</f>
        <v>-275.0</v>
      </c>
      <c r="F29" s="11" t="s">
        <v>18</v>
      </c>
      <c r="H29" s="6"/>
      <c r="I29" s="6"/>
    </row>
    <row r="30" customFormat="false" ht="15" hidden="false" customHeight="false" outlineLevel="0" collapsed="false">
      <c r="A30" s="10" t="n">
        <f aca="false">A29</f>
        <v>44601.0</v>
      </c>
      <c r="B30" s="10" t="n">
        <v>44597</v>
      </c>
      <c r="C30" s="11" t="s">
        <v>17</v>
      </c>
      <c r="D30" s="11" t="s">
        <v>9</v>
      </c>
      <c r="E30" s="12" t="n">
        <f aca="false">-E14</f>
        <v>215.4826</v>
      </c>
      <c r="F30" s="11" t="s">
        <v>18</v>
      </c>
      <c r="H30" s="6"/>
      <c r="I30" s="6"/>
    </row>
    <row r="31" customFormat="false" ht="15" hidden="false" customHeight="false" outlineLevel="0" collapsed="false">
      <c r="A31" s="10" t="n">
        <f aca="false">A30</f>
        <v>44601.0</v>
      </c>
      <c r="B31" s="10" t="n">
        <v>44597</v>
      </c>
      <c r="C31" s="11" t="s">
        <v>17</v>
      </c>
      <c r="D31" s="11" t="s">
        <v>14</v>
      </c>
      <c r="E31" s="12" t="n">
        <f aca="false">-E15</f>
        <v>59.5174</v>
      </c>
      <c r="F31" s="11" t="s">
        <v>18</v>
      </c>
      <c r="H31" s="6"/>
      <c r="I31" s="6"/>
    </row>
    <row r="32" customFormat="false" ht="15" hidden="false" customHeight="false" outlineLevel="0" collapsed="false">
      <c r="A32" s="10" t="n">
        <v>44601</v>
      </c>
      <c r="B32" s="10" t="n">
        <v>44598</v>
      </c>
      <c r="C32" s="11" t="s">
        <v>15</v>
      </c>
      <c r="D32" s="11" t="s">
        <v>14</v>
      </c>
      <c r="E32" s="12" t="n">
        <f aca="false">-E16</f>
        <v>-29.6946</v>
      </c>
      <c r="F32" s="11" t="s">
        <v>18</v>
      </c>
      <c r="H32" s="6"/>
      <c r="I32" s="6"/>
    </row>
    <row r="33" customFormat="false" ht="15" hidden="false" customHeight="false" outlineLevel="0" collapsed="false">
      <c r="A33" s="10" t="n">
        <v>44601</v>
      </c>
      <c r="B33" s="10" t="n">
        <v>44598</v>
      </c>
      <c r="C33" s="11" t="s">
        <v>16</v>
      </c>
      <c r="D33" s="11"/>
      <c r="E33" s="12" t="n">
        <f aca="false">-E17</f>
        <v>-350.0</v>
      </c>
      <c r="F33" s="11" t="s">
        <v>18</v>
      </c>
      <c r="H33" s="6"/>
      <c r="I33" s="6"/>
    </row>
    <row r="34" customFormat="false" ht="15" hidden="false" customHeight="false" outlineLevel="0" collapsed="false">
      <c r="A34" s="10" t="n">
        <v>44601</v>
      </c>
      <c r="B34" s="10" t="n">
        <v>44598</v>
      </c>
      <c r="C34" s="11" t="s">
        <v>17</v>
      </c>
      <c r="D34" s="11" t="s">
        <v>9</v>
      </c>
      <c r="E34" s="12" t="n">
        <f aca="false">-E18</f>
        <v>320.3054</v>
      </c>
      <c r="F34" s="11" t="s">
        <v>18</v>
      </c>
      <c r="H34" s="6"/>
      <c r="I34" s="6"/>
    </row>
    <row r="35" customFormat="false" ht="15" hidden="false" customHeight="false" outlineLevel="0" collapsed="false">
      <c r="A35" s="10" t="n">
        <v>44601</v>
      </c>
      <c r="B35" s="10" t="n">
        <v>44598</v>
      </c>
      <c r="C35" s="11" t="s">
        <v>17</v>
      </c>
      <c r="D35" s="11" t="s">
        <v>14</v>
      </c>
      <c r="E35" s="12" t="n">
        <f aca="false">-E19</f>
        <v>29.6946</v>
      </c>
      <c r="F35" s="11" t="s">
        <v>18</v>
      </c>
      <c r="H35" s="6"/>
      <c r="I35" s="6"/>
    </row>
    <row r="36" customFormat="false" ht="15" hidden="false" customHeight="false" outlineLevel="0" collapsed="false">
      <c r="A36" s="10" t="n">
        <v>44601</v>
      </c>
      <c r="B36" s="10" t="n">
        <v>44599</v>
      </c>
      <c r="C36" s="11" t="s">
        <v>15</v>
      </c>
      <c r="D36" s="11" t="s">
        <v>14</v>
      </c>
      <c r="E36" s="12" t="n">
        <f aca="false">-E20</f>
        <v>-29.5993</v>
      </c>
      <c r="F36" s="11" t="s">
        <v>18</v>
      </c>
      <c r="H36" s="6"/>
      <c r="I36" s="6"/>
    </row>
    <row r="37" customFormat="false" ht="15" hidden="false" customHeight="false" outlineLevel="0" collapsed="false">
      <c r="A37" s="10" t="n">
        <v>44601</v>
      </c>
      <c r="B37" s="10" t="n">
        <v>44600</v>
      </c>
      <c r="C37" s="11" t="s">
        <v>15</v>
      </c>
      <c r="D37" s="11" t="s">
        <v>14</v>
      </c>
      <c r="E37" s="12" t="n">
        <f aca="false">-E21</f>
        <v>-29.5993</v>
      </c>
      <c r="F37" s="11" t="s">
        <v>18</v>
      </c>
      <c r="H37" s="6" t="n">
        <f aca="false">H21+E25+E34+E30</f>
        <v>100000.0</v>
      </c>
      <c r="I37" s="8" t="n">
        <f aca="false">I21+E26+E27+E28+E32+E35+E36+E37+E31+E22</f>
        <v>159.5238095238094</v>
      </c>
    </row>
    <row r="38" customFormat="false" ht="15" hidden="false" customHeight="false" outlineLevel="0" collapsed="false">
      <c r="A38" s="14" t="n">
        <v>44601</v>
      </c>
      <c r="B38" s="14" t="n">
        <v>44595</v>
      </c>
      <c r="C38" s="13" t="s">
        <v>15</v>
      </c>
      <c r="D38" s="13" t="s">
        <v>14</v>
      </c>
      <c r="E38" s="15" t="n">
        <f aca="false">E39</f>
        <v>29.7619047619047</v>
      </c>
      <c r="F38" s="13" t="s">
        <v>20</v>
      </c>
      <c r="H38" s="6" t="n">
        <f aca="false">H37</f>
        <v>100000.0</v>
      </c>
      <c r="I38" s="8" t="n">
        <f aca="false">I37+E38</f>
        <v>189.2857142857141</v>
      </c>
    </row>
    <row r="39" customFormat="false" ht="15" hidden="false" customHeight="false" outlineLevel="0" collapsed="false">
      <c r="A39" s="14" t="n">
        <v>44601</v>
      </c>
      <c r="B39" s="14" t="n">
        <v>44596</v>
      </c>
      <c r="C39" s="13" t="s">
        <v>15</v>
      </c>
      <c r="D39" s="13" t="s">
        <v>14</v>
      </c>
      <c r="E39" s="15" t="n">
        <f aca="false">H37*N2</f>
        <v>29.7619047619047</v>
      </c>
      <c r="F39" s="13" t="s">
        <v>20</v>
      </c>
      <c r="H39" s="6" t="n">
        <f aca="false">H37</f>
        <v>100000.0</v>
      </c>
      <c r="I39" s="8" t="n">
        <f aca="false">I38+E39</f>
        <v>219.0476190476188</v>
      </c>
    </row>
    <row r="40" customFormat="false" ht="15" hidden="false" customHeight="false" outlineLevel="0" collapsed="false">
      <c r="A40" s="14" t="n">
        <v>44601</v>
      </c>
      <c r="B40" s="14" t="n">
        <v>44597</v>
      </c>
      <c r="C40" s="13" t="s">
        <v>15</v>
      </c>
      <c r="D40" s="13" t="s">
        <v>14</v>
      </c>
      <c r="E40" s="15" t="n">
        <f aca="false">E39</f>
        <v>29.7619047619047</v>
      </c>
      <c r="F40" s="13" t="s">
        <v>20</v>
      </c>
      <c r="H40" s="6" t="n">
        <f aca="false">H39</f>
        <v>100000.0</v>
      </c>
      <c r="I40" s="8" t="n">
        <f aca="false">I39+E40</f>
        <v>248.8095238095235</v>
      </c>
    </row>
    <row r="41" customFormat="false" ht="15" hidden="false" customHeight="false" outlineLevel="0" collapsed="false">
      <c r="A41" s="14" t="n">
        <f aca="false">A40</f>
        <v>44601.0</v>
      </c>
      <c r="B41" s="14" t="n">
        <v>44597</v>
      </c>
      <c r="C41" s="13" t="s">
        <v>16</v>
      </c>
      <c r="D41" s="13"/>
      <c r="E41" s="15" t="n">
        <v>275</v>
      </c>
      <c r="F41" s="13" t="s">
        <v>20</v>
      </c>
      <c r="H41" s="6"/>
      <c r="I41" s="6"/>
    </row>
    <row r="42" customFormat="false" ht="15" hidden="false" customHeight="false" outlineLevel="0" collapsed="false">
      <c r="A42" s="14" t="n">
        <f aca="false">A41</f>
        <v>44601.0</v>
      </c>
      <c r="B42" s="14" t="n">
        <v>44597</v>
      </c>
      <c r="C42" s="13" t="s">
        <v>17</v>
      </c>
      <c r="D42" s="13" t="s">
        <v>9</v>
      </c>
      <c r="E42" s="15" t="n">
        <f aca="false">-E41-E43</f>
        <v>-26.19047619047649</v>
      </c>
      <c r="F42" s="13" t="s">
        <v>20</v>
      </c>
      <c r="H42" s="6" t="n">
        <f aca="false">H40+E42</f>
        <v>99973.80952380953</v>
      </c>
      <c r="I42" s="6" t="n">
        <f aca="false">I40</f>
        <v>248.8095238095235</v>
      </c>
    </row>
    <row r="43" customFormat="false" ht="15" hidden="false" customHeight="false" outlineLevel="0" collapsed="false">
      <c r="A43" s="14" t="n">
        <f aca="false">A42</f>
        <v>44601.0</v>
      </c>
      <c r="B43" s="14" t="n">
        <v>44597</v>
      </c>
      <c r="C43" s="13" t="s">
        <v>17</v>
      </c>
      <c r="D43" s="13" t="s">
        <v>14</v>
      </c>
      <c r="E43" s="15" t="n">
        <f aca="false">-I40</f>
        <v>-248.8095238095235</v>
      </c>
      <c r="F43" s="13" t="s">
        <v>20</v>
      </c>
      <c r="H43" s="6" t="n">
        <f aca="false">H42</f>
        <v>99973.80952380953</v>
      </c>
      <c r="I43" s="6" t="n">
        <f aca="false">I42+E43</f>
        <v>0.0</v>
      </c>
    </row>
    <row r="44" customFormat="false" ht="15" hidden="false" customHeight="false" outlineLevel="0" collapsed="false">
      <c r="A44" s="14" t="n">
        <v>44601</v>
      </c>
      <c r="B44" s="14" t="n">
        <v>44598</v>
      </c>
      <c r="C44" s="13" t="s">
        <v>15</v>
      </c>
      <c r="D44" s="13" t="s">
        <v>14</v>
      </c>
      <c r="E44" s="15" t="n">
        <f aca="false">ROUND(H43*$N$2,4)</f>
        <v>29.7541</v>
      </c>
      <c r="F44" s="13" t="s">
        <v>20</v>
      </c>
      <c r="H44" s="6" t="n">
        <f aca="false">H43</f>
        <v>99973.80952380953</v>
      </c>
      <c r="I44" s="6" t="n">
        <f aca="false">I43+E44</f>
        <v>29.7541</v>
      </c>
      <c r="S44" s="16" t="n">
        <v>44601</v>
      </c>
      <c r="T44" s="16" t="n">
        <f aca="false">B23</f>
        <v>44595.0</v>
      </c>
      <c r="U44" s="17" t="n">
        <f aca="false">E23</f>
        <v>-200.0</v>
      </c>
      <c r="V44" s="0" t="s">
        <v>18</v>
      </c>
    </row>
    <row r="45" customFormat="false" ht="15" hidden="false" customHeight="false" outlineLevel="0" collapsed="false">
      <c r="A45" s="14" t="n">
        <v>44601</v>
      </c>
      <c r="B45" s="14" t="n">
        <v>44598</v>
      </c>
      <c r="C45" s="13" t="s">
        <v>16</v>
      </c>
      <c r="D45" s="13"/>
      <c r="E45" s="15" t="n">
        <f aca="false">E17</f>
        <v>350.0</v>
      </c>
      <c r="F45" s="13" t="s">
        <v>20</v>
      </c>
      <c r="H45" s="6"/>
      <c r="I45" s="6"/>
      <c r="S45" s="16" t="n">
        <v>44601</v>
      </c>
      <c r="T45" s="16" t="n">
        <f aca="false">B29</f>
        <v>44597.0</v>
      </c>
      <c r="U45" s="17" t="n">
        <f aca="false">E29</f>
        <v>-275.0</v>
      </c>
      <c r="V45" s="0" t="s">
        <v>18</v>
      </c>
    </row>
    <row r="46" customFormat="false" ht="15" hidden="false" customHeight="false" outlineLevel="0" collapsed="false">
      <c r="A46" s="14" t="n">
        <v>44601</v>
      </c>
      <c r="B46" s="14" t="n">
        <v>44598</v>
      </c>
      <c r="C46" s="13" t="s">
        <v>17</v>
      </c>
      <c r="D46" s="13" t="s">
        <v>9</v>
      </c>
      <c r="E46" s="15" t="n">
        <f aca="false">-E45-E47</f>
        <v>-320.2459</v>
      </c>
      <c r="F46" s="13" t="s">
        <v>20</v>
      </c>
      <c r="H46" s="6" t="n">
        <f aca="false">H44+E46</f>
        <v>99653.56362380953</v>
      </c>
      <c r="I46" s="6"/>
      <c r="S46" s="16" t="n">
        <v>44601</v>
      </c>
      <c r="T46" s="16" t="n">
        <f aca="false">B33</f>
        <v>44598.0</v>
      </c>
      <c r="U46" s="17" t="n">
        <f aca="false">E33</f>
        <v>-350.0</v>
      </c>
      <c r="V46" s="0" t="s">
        <v>18</v>
      </c>
    </row>
    <row r="47" customFormat="false" ht="15" hidden="false" customHeight="false" outlineLevel="0" collapsed="false">
      <c r="A47" s="14" t="n">
        <v>44601</v>
      </c>
      <c r="B47" s="14" t="n">
        <v>44598</v>
      </c>
      <c r="C47" s="13" t="s">
        <v>17</v>
      </c>
      <c r="D47" s="13" t="s">
        <v>14</v>
      </c>
      <c r="E47" s="15" t="n">
        <f aca="false">-I44</f>
        <v>-29.7541</v>
      </c>
      <c r="F47" s="13" t="s">
        <v>20</v>
      </c>
      <c r="H47" s="6" t="n">
        <f aca="false">H46</f>
        <v>99653.56362380953</v>
      </c>
      <c r="I47" s="6" t="n">
        <f aca="false">I44+E47</f>
        <v>0.0</v>
      </c>
      <c r="S47" s="16" t="n">
        <v>44601</v>
      </c>
      <c r="T47" s="16" t="n">
        <f aca="false">B51</f>
        <v>44601.0</v>
      </c>
      <c r="U47" s="17" t="n">
        <f aca="false">E51</f>
        <v>100.0</v>
      </c>
      <c r="V47" s="0" t="s">
        <v>13</v>
      </c>
    </row>
    <row r="48" customFormat="false" ht="15" hidden="false" customHeight="false" outlineLevel="0" collapsed="false">
      <c r="A48" s="14" t="n">
        <v>44601</v>
      </c>
      <c r="B48" s="14" t="n">
        <v>44599</v>
      </c>
      <c r="C48" s="13" t="s">
        <v>15</v>
      </c>
      <c r="D48" s="13" t="s">
        <v>14</v>
      </c>
      <c r="E48" s="15" t="n">
        <f aca="false">H48*N2</f>
        <v>29.65879869756229</v>
      </c>
      <c r="F48" s="13" t="s">
        <v>20</v>
      </c>
      <c r="H48" s="6" t="n">
        <f aca="false">H47</f>
        <v>99653.56362380953</v>
      </c>
      <c r="I48" s="6" t="n">
        <f aca="false">I47+E48</f>
        <v>29.65879869756229</v>
      </c>
      <c r="K48" s="14" t="n">
        <v>44601</v>
      </c>
      <c r="L48" s="14" t="n">
        <f aca="false">B40</f>
        <v>44597.0</v>
      </c>
      <c r="M48" s="18" t="s">
        <v>21</v>
      </c>
      <c r="N48" s="19" t="n">
        <f aca="false">SUM(E38:E40)</f>
        <v>89.28571428571409</v>
      </c>
    </row>
    <row r="49" customFormat="false" ht="15" hidden="false" customHeight="false" outlineLevel="0" collapsed="false">
      <c r="A49" s="14" t="n">
        <v>44601</v>
      </c>
      <c r="B49" s="14" t="n">
        <v>44600</v>
      </c>
      <c r="C49" s="13" t="s">
        <v>15</v>
      </c>
      <c r="D49" s="13" t="s">
        <v>14</v>
      </c>
      <c r="E49" s="15" t="n">
        <f aca="false">E48</f>
        <v>29.65879869756229</v>
      </c>
      <c r="F49" s="13" t="s">
        <v>20</v>
      </c>
      <c r="H49" s="6" t="n">
        <f aca="false">H48</f>
        <v>99653.56362380953</v>
      </c>
      <c r="I49" s="6" t="n">
        <f aca="false">I48+E49</f>
        <v>59.31759739512458</v>
      </c>
      <c r="K49" s="14" t="n">
        <v>44601</v>
      </c>
      <c r="L49" s="14" t="n">
        <f aca="false">B44</f>
        <v>44598.0</v>
      </c>
      <c r="M49" s="18" t="s">
        <v>21</v>
      </c>
      <c r="N49" s="17" t="n">
        <f aca="false">SUM(E44)</f>
        <v>29.7541</v>
      </c>
    </row>
    <row r="50" customFormat="false" ht="15" hidden="false" customHeight="false" outlineLevel="0" collapsed="false">
      <c r="A50" s="14" t="n">
        <v>44601</v>
      </c>
      <c r="B50" s="14" t="n">
        <v>44601</v>
      </c>
      <c r="C50" s="13" t="s">
        <v>15</v>
      </c>
      <c r="D50" s="13" t="s">
        <v>14</v>
      </c>
      <c r="E50" s="15" t="n">
        <f aca="false">E49</f>
        <v>29.65879869756229</v>
      </c>
      <c r="F50" s="13" t="s">
        <v>20</v>
      </c>
      <c r="H50" s="6" t="n">
        <f aca="false">H49</f>
        <v>99653.56362380953</v>
      </c>
      <c r="I50" s="6" t="n">
        <f aca="false">I49+E50</f>
        <v>88.97639609268687</v>
      </c>
      <c r="K50" s="14" t="n">
        <v>44601</v>
      </c>
      <c r="L50" s="16" t="n">
        <f aca="false">B50</f>
        <v>44601.0</v>
      </c>
      <c r="M50" s="18" t="s">
        <v>21</v>
      </c>
      <c r="N50" s="17" t="n">
        <f aca="false">SUM(E48:E50)</f>
        <v>88.97639609268687</v>
      </c>
    </row>
    <row r="51" customFormat="false" ht="15" hidden="false" customHeight="false" outlineLevel="0" collapsed="false">
      <c r="A51" s="20" t="n">
        <v>44601</v>
      </c>
      <c r="B51" s="20" t="n">
        <v>44601</v>
      </c>
      <c r="C51" s="21" t="s">
        <v>16</v>
      </c>
      <c r="D51" s="21"/>
      <c r="E51" s="22" t="n">
        <v>100</v>
      </c>
      <c r="F51" s="13" t="s">
        <v>13</v>
      </c>
      <c r="H51" s="6"/>
      <c r="I51" s="6"/>
      <c r="K51" s="14" t="n">
        <v>44601</v>
      </c>
      <c r="L51" s="16" t="n">
        <f aca="false">B43</f>
        <v>44597.0</v>
      </c>
      <c r="M51" s="18" t="s">
        <v>22</v>
      </c>
      <c r="N51" s="17" t="n">
        <f aca="false">E43</f>
        <v>-248.8095238095235</v>
      </c>
    </row>
    <row r="52" customFormat="false" ht="15" hidden="false" customHeight="false" outlineLevel="0" collapsed="false">
      <c r="A52" s="20" t="n">
        <v>44601</v>
      </c>
      <c r="B52" s="20" t="n">
        <v>44601</v>
      </c>
      <c r="C52" s="21" t="s">
        <v>17</v>
      </c>
      <c r="D52" s="21" t="s">
        <v>9</v>
      </c>
      <c r="E52" s="22" t="n">
        <f aca="false">-E51-E53</f>
        <v>-11.023600000000002</v>
      </c>
      <c r="F52" s="21" t="s">
        <v>13</v>
      </c>
      <c r="H52" s="6" t="n">
        <f aca="false">H50+E52</f>
        <v>99642.54002380953</v>
      </c>
      <c r="I52" s="6" t="n">
        <f aca="false">I50</f>
        <v>88.97639609268687</v>
      </c>
      <c r="K52" s="14" t="n">
        <v>44601</v>
      </c>
      <c r="L52" s="16" t="n">
        <f aca="false">B47</f>
        <v>44598.0</v>
      </c>
      <c r="M52" s="18" t="s">
        <v>22</v>
      </c>
      <c r="N52" s="17" t="n">
        <f aca="false">E47</f>
        <v>-29.7541</v>
      </c>
    </row>
    <row r="53" customFormat="false" ht="15" hidden="false" customHeight="false" outlineLevel="0" collapsed="false">
      <c r="A53" s="20" t="n">
        <v>44601</v>
      </c>
      <c r="B53" s="20" t="n">
        <v>44601</v>
      </c>
      <c r="C53" s="21" t="s">
        <v>17</v>
      </c>
      <c r="D53" s="21" t="s">
        <v>14</v>
      </c>
      <c r="E53" s="22" t="n">
        <f aca="false">-ROUND(I50,4)</f>
        <v>-88.9764</v>
      </c>
      <c r="F53" s="21" t="s">
        <v>13</v>
      </c>
      <c r="H53" s="6" t="n">
        <f aca="false">H52</f>
        <v>99642.54002380953</v>
      </c>
      <c r="I53" s="6" t="n">
        <f aca="false">I52+E53</f>
        <v>-3.907313129047907E-6</v>
      </c>
      <c r="K53" s="14" t="n">
        <v>44601</v>
      </c>
      <c r="L53" s="14" t="n">
        <v>44601</v>
      </c>
      <c r="M53" s="18" t="s">
        <v>22</v>
      </c>
      <c r="N53" s="19" t="n">
        <f aca="false">E53</f>
        <v>-88.9764</v>
      </c>
    </row>
    <row r="54" customFormat="false" ht="15" hidden="false" customHeight="false" outlineLevel="0" collapsed="false">
      <c r="K54" s="14" t="n">
        <v>44601</v>
      </c>
      <c r="L54" s="16" t="n">
        <f aca="false">L51</f>
        <v>44597.0</v>
      </c>
      <c r="M54" s="18" t="s">
        <v>23</v>
      </c>
      <c r="N54" s="17" t="n">
        <f aca="false">E42</f>
        <v>-26.19047619047649</v>
      </c>
    </row>
    <row r="55" customFormat="false" ht="15" hidden="false" customHeight="false" outlineLevel="0" collapsed="false">
      <c r="H55" s="17"/>
      <c r="K55" s="14" t="n">
        <v>44601</v>
      </c>
      <c r="L55" s="16" t="n">
        <f aca="false">L52</f>
        <v>44598.0</v>
      </c>
      <c r="M55" s="18" t="s">
        <v>23</v>
      </c>
      <c r="N55" s="17" t="n">
        <f aca="false">E46</f>
        <v>-320.2459</v>
      </c>
    </row>
    <row r="56" customFormat="false" ht="15" hidden="false" customHeight="false" outlineLevel="0" collapsed="false">
      <c r="H56" s="6"/>
      <c r="K56" s="14" t="n">
        <v>44601</v>
      </c>
      <c r="L56" s="14" t="n">
        <v>44601</v>
      </c>
      <c r="M56" s="18" t="s">
        <v>23</v>
      </c>
      <c r="N56" s="19" t="n">
        <f aca="false">E52</f>
        <v>-11.023600000000002</v>
      </c>
    </row>
    <row r="58" customFormat="false" ht="15" hidden="false" customHeight="false" outlineLevel="0" collapsed="false">
      <c r="H58" s="6"/>
    </row>
  </sheetData>
  <mergeCells count="2">
    <mergeCell ref="A1:F1"/>
    <mergeCell ref="H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1484375" defaultRowHeight="15" customHeight="true" zeroHeight="false" outlineLevelRow="0" outlineLevelCol="0"/>
  <cols>
    <col min="1" max="1" customWidth="true" hidden="false" style="23" width="55.57" collapsed="false" outlineLevel="0"/>
    <col min="2" max="2" customWidth="true" hidden="false" style="23" width="32.15" collapsed="false" outlineLevel="0"/>
    <col min="3" max="3" customWidth="true" hidden="false" style="23" width="41.42" collapsed="false" outlineLevel="0"/>
    <col min="4" max="16384" customWidth="false" hidden="false" style="23" width="8.71" collapsed="false" outlineLevel="0"/>
  </cols>
  <sheetData>
    <row r="1" customFormat="false" ht="15" hidden="false" customHeight="false" outlineLevel="0" collapsed="false">
      <c r="A1" s="24" t="s">
        <v>24</v>
      </c>
      <c r="B1" s="24" t="s">
        <v>25</v>
      </c>
      <c r="C1" s="24" t="s">
        <v>26</v>
      </c>
    </row>
    <row r="2">
      <c r="A2" t="n" s="87">
        <v>44601.0</v>
      </c>
      <c r="B2" t="n" s="86">
        <v>44600.0</v>
      </c>
      <c r="C2" t="n" s="85">
        <v>44595.0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71484375" defaultRowHeight="15" customHeight="true" zeroHeight="false" outlineLevelRow="0" outlineLevelCol="0"/>
  <cols>
    <col min="1" max="1" customWidth="true" hidden="false" style="23" width="35.0" collapsed="false" outlineLevel="0"/>
    <col min="2" max="2" customWidth="true" hidden="false" style="23" width="18.14" collapsed="false" outlineLevel="0"/>
    <col min="3" max="3" customWidth="true" hidden="false" style="23" width="17.0" collapsed="false" outlineLevel="0"/>
    <col min="4" max="4" customWidth="true" hidden="false" style="23" width="14.29" collapsed="false" outlineLevel="0"/>
    <col min="5" max="5" customWidth="true" hidden="false" style="23" width="12.42" collapsed="false" outlineLevel="0"/>
    <col min="6" max="16384" customWidth="false" hidden="false" style="23" width="8.71" collapsed="false" outlineLevel="0"/>
  </cols>
  <sheetData>
    <row r="1" customFormat="false" ht="15" hidden="false" customHeight="false" outlineLevel="0" collapsed="false">
      <c r="A1" s="26" t="s">
        <v>27</v>
      </c>
      <c r="B1" s="26" t="s">
        <v>28</v>
      </c>
      <c r="C1" s="26" t="s">
        <v>29</v>
      </c>
      <c r="D1" s="24" t="s">
        <v>30</v>
      </c>
      <c r="E1" s="24" t="s">
        <v>31</v>
      </c>
      <c r="F1" s="24" t="s">
        <v>7</v>
      </c>
    </row>
    <row r="2" customFormat="false" ht="15" hidden="false" customHeight="false" outlineLevel="0" collapsed="false">
      <c r="A2" s="27" t="s">
        <v>16</v>
      </c>
      <c r="B2" s="58" t="n">
        <v>44601.0</v>
      </c>
      <c r="C2" s="57" t="n">
        <v>44601.0</v>
      </c>
      <c r="D2" s="29" t="s">
        <v>78</v>
      </c>
      <c r="E2" s="29" t="s">
        <v>32</v>
      </c>
      <c r="F2" s="59" t="n">
        <v>100.0</v>
      </c>
    </row>
    <row r="3" customFormat="false" ht="15" hidden="false" customHeight="false" outlineLevel="0" collapsed="false">
      <c r="A3" s="27" t="s">
        <v>16</v>
      </c>
      <c r="B3" s="61" t="n">
        <v>44601.0</v>
      </c>
      <c r="C3" s="60" t="n">
        <v>44598.0</v>
      </c>
      <c r="D3" s="29" t="s">
        <v>78</v>
      </c>
      <c r="E3" s="30" t="s">
        <v>32</v>
      </c>
      <c r="F3" s="62" t="n">
        <v>-350.0</v>
      </c>
    </row>
    <row r="4" customFormat="false" ht="15" hidden="false" customHeight="false" outlineLevel="0" collapsed="false">
      <c r="A4" s="27" t="s">
        <v>16</v>
      </c>
      <c r="B4" s="64" t="n">
        <v>44601.0</v>
      </c>
      <c r="C4" s="63" t="n">
        <v>44597.0</v>
      </c>
      <c r="D4" s="29" t="s">
        <v>78</v>
      </c>
      <c r="E4" s="30" t="s">
        <v>32</v>
      </c>
      <c r="F4" s="65" t="n">
        <v>-275.0</v>
      </c>
    </row>
    <row r="5" customFormat="false" ht="15" hidden="false" customHeight="false" outlineLevel="0" collapsed="false">
      <c r="A5" s="27" t="s">
        <v>16</v>
      </c>
      <c r="B5" s="67" t="n">
        <v>44601.0</v>
      </c>
      <c r="C5" s="66" t="n">
        <v>44595.0</v>
      </c>
      <c r="D5" s="29" t="s">
        <v>78</v>
      </c>
      <c r="E5" s="30" t="s">
        <v>32</v>
      </c>
      <c r="F5" s="68" t="n">
        <v>-200.0</v>
      </c>
    </row>
    <row r="6" customFormat="false" ht="15" hidden="false" customHeight="false" outlineLevel="0" collapsed="false">
      <c r="A6" s="29" t="s">
        <v>19</v>
      </c>
      <c r="B6" s="70" t="n">
        <v>44601.0</v>
      </c>
      <c r="C6" s="69" t="n">
        <v>44595.0</v>
      </c>
      <c r="D6" s="29" t="s">
        <v>78</v>
      </c>
      <c r="E6" s="30" t="s">
        <v>32</v>
      </c>
      <c r="F6" s="71" t="n">
        <v>200.0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71484375" defaultRowHeight="15" customHeight="true" zeroHeight="false" outlineLevelRow="0" outlineLevelCol="0"/>
  <cols>
    <col min="1" max="1" customWidth="true" hidden="false" style="23" width="24.42" collapsed="false" outlineLevel="0"/>
    <col min="2" max="2" customWidth="true" hidden="false" style="23" width="11.71" collapsed="false" outlineLevel="0"/>
    <col min="3" max="3" customWidth="true" hidden="false" style="23" width="13.15" collapsed="false" outlineLevel="0"/>
    <col min="4" max="4" customWidth="true" hidden="false" style="23" width="12.57" collapsed="false" outlineLevel="0"/>
    <col min="5" max="5" customWidth="true" hidden="false" style="23" width="11.0" collapsed="false" outlineLevel="0"/>
    <col min="6" max="6" customWidth="true" hidden="false" style="23" width="26.15" collapsed="false" outlineLevel="0"/>
    <col min="7" max="7" customWidth="true" hidden="false" style="23" width="30.0" collapsed="false" outlineLevel="0"/>
    <col min="8" max="8" customWidth="true" hidden="false" style="23" width="27.71" collapsed="false" outlineLevel="0"/>
    <col min="9" max="9" customWidth="true" hidden="false" style="23" width="26.42" collapsed="false" outlineLevel="0"/>
    <col min="10" max="10" customWidth="true" hidden="false" style="23" width="38.57" collapsed="false" outlineLevel="0"/>
    <col min="11" max="12" customWidth="true" hidden="false" style="23" width="12.0" collapsed="false" outlineLevel="0"/>
    <col min="13" max="16384" customWidth="false" hidden="false" style="23" width="8.71" collapsed="false" outlineLevel="0"/>
  </cols>
  <sheetData>
    <row r="1" customFormat="false" ht="15" hidden="false" customHeight="false" outlineLevel="0" collapsed="false">
      <c r="A1" s="26" t="s">
        <v>33</v>
      </c>
      <c r="B1" s="26" t="s">
        <v>28</v>
      </c>
      <c r="C1" s="26" t="s">
        <v>34</v>
      </c>
      <c r="D1" s="26" t="s">
        <v>30</v>
      </c>
      <c r="E1" s="26" t="s">
        <v>35</v>
      </c>
      <c r="F1" s="31" t="s">
        <v>36</v>
      </c>
      <c r="G1" s="32" t="s">
        <v>37</v>
      </c>
      <c r="H1" s="32" t="s">
        <v>38</v>
      </c>
      <c r="I1" s="32" t="s">
        <v>39</v>
      </c>
      <c r="J1" s="25"/>
      <c r="K1" s="25"/>
    </row>
    <row r="2" customFormat="false" ht="15" hidden="false" customHeight="false" outlineLevel="0" collapsed="false">
      <c r="A2" s="23" t="s">
        <v>81</v>
      </c>
      <c r="B2" s="81" t="n">
        <v>44592.0</v>
      </c>
      <c r="C2" s="80" t="n">
        <v>44592.0</v>
      </c>
      <c r="D2" t="s" s="23">
        <v>78</v>
      </c>
      <c r="E2" t="n">
        <v>1.0</v>
      </c>
      <c r="F2" t="n" s="83">
        <v>10.0</v>
      </c>
      <c r="G2" t="s">
        <v>80</v>
      </c>
      <c r="H2" s="82" t="n">
        <v>44957.0</v>
      </c>
      <c r="I2" s="84" t="n">
        <v>44592.0</v>
      </c>
      <c r="J2" s="2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N50"/>
  <sheetViews>
    <sheetView showFormulas="false" showGridLines="true" showRowColHeaders="true" showZeros="true" rightToLeft="false" tabSelected="false" showOutlineSymbols="true" defaultGridColor="true" view="normal" topLeftCell="A1" colorId="64" zoomScale="101" zoomScaleNormal="101" zoomScalePageLayoutView="100" workbookViewId="0">
      <selection pane="topLeft" activeCell="B15" activeCellId="0" sqref="B15"/>
    </sheetView>
  </sheetViews>
  <sheetFormatPr defaultColWidth="8.71484375" defaultRowHeight="15" customHeight="true" zeroHeight="false" outlineLevelRow="0" outlineLevelCol="0"/>
  <cols>
    <col min="1" max="1" customWidth="true" hidden="false" style="23" width="11.71" collapsed="false" outlineLevel="0"/>
    <col min="2" max="2" customWidth="true" hidden="false" style="23" width="15.42" collapsed="false" outlineLevel="0"/>
    <col min="3" max="3" customWidth="true" hidden="false" style="23" width="12.71" collapsed="false" outlineLevel="0"/>
    <col min="4" max="4" customWidth="true" hidden="false" style="23" width="25.0" collapsed="false" outlineLevel="0"/>
    <col min="5" max="5" customWidth="true" hidden="false" style="23" width="15.14" collapsed="false" outlineLevel="0"/>
    <col min="6" max="6" customWidth="true" hidden="false" style="23" width="19.42" collapsed="false" outlineLevel="0"/>
    <col min="7" max="7" customWidth="true" hidden="false" style="23" width="24.0" collapsed="false" outlineLevel="0"/>
    <col min="8" max="8" customWidth="true" hidden="false" style="23" width="22.71" collapsed="false" outlineLevel="0"/>
    <col min="9" max="9" customWidth="true" hidden="false" style="23" width="19.86" collapsed="false" outlineLevel="0"/>
    <col min="10" max="10" customWidth="true" hidden="false" style="23" width="22.42" collapsed="false" outlineLevel="0"/>
    <col min="11" max="12" customWidth="true" hidden="false" style="23" width="14.71" collapsed="false" outlineLevel="0"/>
    <col min="13" max="13" customWidth="true" hidden="false" style="23" width="23.71" collapsed="false" outlineLevel="0"/>
    <col min="14" max="16384" customWidth="false" hidden="false" style="23" width="8.71" collapsed="false" outlineLevel="0"/>
  </cols>
  <sheetData>
    <row r="1" customFormat="false" ht="15" hidden="false" customHeight="false" outlineLevel="0" collapsed="false">
      <c r="I1" s="25"/>
      <c r="J1" s="25"/>
    </row>
    <row r="2" customFormat="false" ht="19.7" hidden="false" customHeight="false" outlineLevel="0" collapsed="false">
      <c r="A2" s="34" t="s">
        <v>1</v>
      </c>
      <c r="B2" s="34"/>
      <c r="C2" s="34"/>
      <c r="I2" s="25"/>
      <c r="J2" s="25"/>
    </row>
    <row r="3" customFormat="false" ht="19.7" hidden="false" customHeight="false" outlineLevel="0" collapsed="false">
      <c r="A3" s="35" t="s">
        <v>41</v>
      </c>
      <c r="B3" s="35" t="s">
        <v>42</v>
      </c>
      <c r="C3" s="35" t="s">
        <v>43</v>
      </c>
      <c r="E3" s="36" t="s">
        <v>44</v>
      </c>
      <c r="F3" s="28" t="n">
        <f aca="false">i_InstrumentAttribute!C2</f>
        <v>44592.0</v>
      </c>
      <c r="H3" s="34" t="s">
        <v>45</v>
      </c>
      <c r="I3" s="34"/>
      <c r="J3" s="34"/>
      <c r="K3" s="25"/>
    </row>
    <row r="4" customFormat="false" ht="15" hidden="false" customHeight="false" outlineLevel="0" collapsed="false">
      <c r="A4" s="27" t="n">
        <f aca="false">B21</f>
        <v>44601.0</v>
      </c>
      <c r="B4" s="37" t="n">
        <f aca="false">IFERROR(B5-H21,B5)</f>
        <v>99624.69129999999</v>
      </c>
      <c r="C4" s="37" t="n">
        <f aca="false">IF(IFERROR(E21-G21,"")="",C5,E21-G21)</f>
        <v>0.0</v>
      </c>
      <c r="H4" s="38" t="s">
        <v>16</v>
      </c>
      <c r="I4" s="38" t="s">
        <v>46</v>
      </c>
      <c r="J4" s="38" t="s">
        <v>47</v>
      </c>
      <c r="K4" s="25"/>
    </row>
    <row r="5" customFormat="false" ht="15" hidden="false" customHeight="false" outlineLevel="0" collapsed="false">
      <c r="A5" s="27" t="n">
        <f aca="false">B22</f>
        <v>44598.0</v>
      </c>
      <c r="B5" s="37" t="n">
        <f aca="false">IFERROR(B6-H22,B6)</f>
        <v>99641.65669999999</v>
      </c>
      <c r="C5" s="37" t="n">
        <f aca="false">IF(IFERROR(E22-G22,"")="",C6,E22-G22)</f>
        <v>0.0</v>
      </c>
      <c r="F5" s="25"/>
      <c r="H5" s="29" t="n">
        <f aca="false">SUM(F21:F24)</f>
        <v>725.0</v>
      </c>
      <c r="I5" s="39" t="n">
        <f aca="false">SUM(E34:E41)</f>
        <v>-725.0</v>
      </c>
      <c r="J5" s="29" t="n">
        <f aca="false">H5+I5</f>
        <v>0.0</v>
      </c>
    </row>
    <row r="6" customFormat="false" ht="15" hidden="false" customHeight="false" outlineLevel="0" collapsed="false">
      <c r="A6" s="28" t="n">
        <f aca="false">B23</f>
        <v>44597.0</v>
      </c>
      <c r="B6" s="37" t="n">
        <f aca="false">IFERROR(B7-H23,B7)</f>
        <v>99963.889</v>
      </c>
      <c r="C6" s="37" t="n">
        <f aca="false">IF(IFERROR(E23-G23,"")="",C7,E23-G23)</f>
        <v>0.0</v>
      </c>
      <c r="G6" s="25"/>
      <c r="H6" s="25"/>
      <c r="I6" s="25"/>
      <c r="J6" s="25"/>
    </row>
    <row r="7" customFormat="false" ht="15" hidden="false" customHeight="false" outlineLevel="0" collapsed="false">
      <c r="A7" s="28" t="n">
        <f aca="false">IF(i_ExecutionDate!C2="",i_ExecutionDate!B2,i_ExecutionDate!C2)</f>
        <v>44595.0</v>
      </c>
      <c r="B7" s="37" t="n">
        <f aca="false">IFERROR(B8-H24,B8)</f>
        <v>100000.0</v>
      </c>
      <c r="C7" s="37" t="n">
        <f aca="false">IF(IFERROR(E24-G24,"")="",C8,E24-G24)</f>
        <v>155.5556</v>
      </c>
      <c r="H7" s="25"/>
      <c r="I7" s="25"/>
      <c r="J7" s="25"/>
    </row>
    <row r="8" customFormat="false" ht="35.05" hidden="false" customHeight="false" outlineLevel="0" collapsed="false">
      <c r="A8" s="40" t="s">
        <v>48</v>
      </c>
      <c r="B8" s="37" t="n">
        <f aca="false">IF(i_Metric!G2="","",i_Metric!G2)</f>
        <v>100000.0</v>
      </c>
      <c r="C8" s="37" t="n">
        <f aca="false">IF(i_Metric!G3="","",i_Metric!G3)</f>
        <v>155.5556</v>
      </c>
    </row>
    <row r="10" customFormat="false" ht="19.7" hidden="false" customHeight="false" outlineLevel="0" collapsed="false">
      <c r="A10" s="34" t="s">
        <v>49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</row>
    <row r="11" customFormat="false" ht="15" hidden="false" customHeight="false" outlineLevel="0" collapsed="false">
      <c r="A11" s="35" t="s">
        <v>28</v>
      </c>
      <c r="B11" s="35" t="s">
        <v>29</v>
      </c>
      <c r="C11" s="35" t="s">
        <v>50</v>
      </c>
      <c r="D11" s="35" t="s">
        <v>35</v>
      </c>
      <c r="E11" s="35" t="s">
        <v>51</v>
      </c>
      <c r="F11" s="35" t="s">
        <v>52</v>
      </c>
      <c r="G11" s="38" t="s">
        <v>53</v>
      </c>
      <c r="H11" s="38" t="s">
        <v>54</v>
      </c>
      <c r="I11" s="38" t="s">
        <v>55</v>
      </c>
      <c r="J11" s="38" t="s">
        <v>56</v>
      </c>
      <c r="K11" s="38" t="s">
        <v>57</v>
      </c>
      <c r="L11" s="38" t="s">
        <v>58</v>
      </c>
      <c r="M11" s="38" t="s">
        <v>59</v>
      </c>
    </row>
    <row r="12" customFormat="false" ht="15" hidden="false" customHeight="false" outlineLevel="0" collapsed="false">
      <c r="A12" s="41" t="n">
        <f aca="false">IF(i_ExecutionDate!A2="","",i_ExecutionDate!A2)</f>
        <v>44601.0</v>
      </c>
      <c r="B12" s="42" t="n">
        <f aca="false">A12</f>
        <v>44601.0</v>
      </c>
      <c r="C12" s="29" t="str">
        <f aca="false">C13</f>
        <v>IDHJ-EGNY</v>
      </c>
      <c r="D12" s="43" t="n">
        <f aca="false">D13</f>
        <v>1.0</v>
      </c>
      <c r="E12" s="29" t="str">
        <f aca="false">E13</f>
        <v>ACTUAL_360</v>
      </c>
      <c r="F12" s="29" t="n">
        <f aca="false">F13</f>
        <v>10.0</v>
      </c>
      <c r="G12" s="29" t="n">
        <f aca="false">IFERROR(IF(EDATE($F$3,INT(YEARFRAC($F$3,B12)*12))&gt;=B12,EDATE($F$3,INT(YEARFRAC($F$3,B12)*12))-EDATE($F$3,INT(YEARFRAC($F$3,B12)*12)-1),EDATE($F$3,INT(YEARFRAC($F$3,B12)*12)+1)-EDATE($F$3,INT(YEARFRAC($F$3,B12)*12))),"")</f>
        <v>28.0</v>
      </c>
      <c r="H12" s="29" t="n">
        <f aca="false">IFERROR(IF(E12="Actual_360",F12*G12/36000,IF(E12="Actual_365",F12*G12/36500,F12*30/36000)),"")</f>
        <v>0.0077777777777777776</v>
      </c>
      <c r="I12" s="29" t="n">
        <f aca="false">IFERROR(H12/G12,"")</f>
        <v>2.7777777777777783E-4</v>
      </c>
      <c r="J12" s="44" t="n">
        <f aca="false">IFERROR(ROUND(I12*B4,4),"")</f>
        <v>27.6735</v>
      </c>
      <c r="K12" s="28" t="n">
        <f aca="false">IF(J12="","",B12)</f>
        <v>44601.0</v>
      </c>
      <c r="L12" s="29" t="n">
        <f aca="false">IFERROR(B12-B13,1)</f>
        <v>0.0</v>
      </c>
      <c r="M12" s="37" t="n">
        <f aca="false">IFERROR(J12*L12,0)</f>
        <v>0.0</v>
      </c>
      <c r="N12" s="23" t="s">
        <v>60</v>
      </c>
    </row>
    <row r="13" customFormat="false" ht="15" hidden="false" customHeight="false" outlineLevel="0" collapsed="false">
      <c r="A13" s="28" t="n">
        <f aca="false">IF(i_ExecutionDate!A2="","",i_ExecutionDate!A2)</f>
        <v>44601.0</v>
      </c>
      <c r="B13" s="28" t="n">
        <f aca="false">IF(i_Transaction!C2="",B14,i_Transaction!C2)</f>
        <v>44601.0</v>
      </c>
      <c r="C13" s="29" t="str">
        <f aca="false">C14</f>
        <v>IDHJ-EGNY</v>
      </c>
      <c r="D13" s="43" t="n">
        <f aca="false">D14</f>
        <v>1.0</v>
      </c>
      <c r="E13" s="29" t="str">
        <f aca="false">E14</f>
        <v>ACTUAL_360</v>
      </c>
      <c r="F13" s="29" t="n">
        <f aca="false">F14</f>
        <v>10.0</v>
      </c>
      <c r="G13" s="29" t="n">
        <f aca="false">IFERROR(IF(EDATE($F$3,INT(YEARFRAC($F$3,B13)*12))&gt;=B13,EDATE($F$3,INT(YEARFRAC($F$3,B13)*12))-EDATE($F$3,INT(YEARFRAC($F$3,B13)*12)-1),EDATE($F$3,INT(YEARFRAC($F$3,B13)*12)+1)-EDATE($F$3,INT(YEARFRAC($F$3,B13)*12))),"")</f>
        <v>28.0</v>
      </c>
      <c r="H13" s="29" t="n">
        <f aca="false">IFERROR(IF(E13="Actual_360",F13*G13/36000,IF(E13="Actual_365",F13*G13/36500,F13*30/36000)),"")</f>
        <v>0.0077777777777777776</v>
      </c>
      <c r="I13" s="29" t="n">
        <f aca="false">IFERROR(H13/G13,"")</f>
        <v>2.7777777777777783E-4</v>
      </c>
      <c r="J13" s="44" t="n">
        <f aca="false">IFERROR(ROUND(I13*B5,4),"")</f>
        <v>27.6782</v>
      </c>
      <c r="K13" s="28" t="n">
        <f aca="false">IF(J13="","",B13)</f>
        <v>44601.0</v>
      </c>
      <c r="L13" s="29" t="n">
        <f aca="false">IFERROR(B13-B14,1)</f>
        <v>3.0</v>
      </c>
      <c r="M13" s="37" t="n">
        <f aca="false">IFERROR(J13*L13,0)</f>
        <v>83.0346</v>
      </c>
    </row>
    <row r="14" customFormat="false" ht="15" hidden="false" customHeight="false" outlineLevel="0" collapsed="false">
      <c r="A14" s="28" t="n">
        <f aca="false">IF(B14="","",$A$13)</f>
        <v>44601.0</v>
      </c>
      <c r="B14" s="28" t="n">
        <f aca="false">IF(i_Transaction!C3="",B15,i_Transaction!C3)</f>
        <v>44598.0</v>
      </c>
      <c r="C14" s="45" t="str">
        <f aca="false">C15</f>
        <v>IDHJ-EGNY</v>
      </c>
      <c r="D14" s="43" t="n">
        <f aca="false">D15</f>
        <v>1.0</v>
      </c>
      <c r="E14" s="29" t="str">
        <f aca="false">E15</f>
        <v>ACTUAL_360</v>
      </c>
      <c r="F14" s="29" t="n">
        <f aca="false">F15</f>
        <v>10.0</v>
      </c>
      <c r="G14" s="29" t="n">
        <f aca="false">IFERROR(IF(EDATE($F$3,INT(YEARFRAC($F$3,B14)*12))&gt;=B14,EDATE($F$3,INT(YEARFRAC($F$3,B14)*12))-EDATE($F$3,INT(YEARFRAC($F$3,B14)*12)-1),EDATE($F$3,INT(YEARFRAC($F$3,B14)*12)+1)-EDATE($F$3,INT(YEARFRAC($F$3,B14)*12))),"")</f>
        <v>28.0</v>
      </c>
      <c r="H14" s="29" t="n">
        <f aca="false">IFERROR(IF(E14="Actual_360",F14*G14/36000,IF(E14="Actual_365",F14*G14/36500,F14*30/36000)),"")</f>
        <v>0.0077777777777777776</v>
      </c>
      <c r="I14" s="29" t="n">
        <f aca="false">IFERROR(H14/G14,"")</f>
        <v>2.7777777777777783E-4</v>
      </c>
      <c r="J14" s="44" t="n">
        <f aca="false">IFERROR(ROUND(I14*B6,4),"")</f>
        <v>27.7677</v>
      </c>
      <c r="K14" s="28" t="n">
        <f aca="false">IF(J14="","",B14)</f>
        <v>44598.0</v>
      </c>
      <c r="L14" s="29" t="n">
        <f aca="false">IFERROR(B14-B15,1)</f>
        <v>1.0</v>
      </c>
      <c r="M14" s="37" t="n">
        <f aca="false">IFERROR(J14*L14,0)</f>
        <v>27.7677</v>
      </c>
    </row>
    <row r="15" customFormat="false" ht="15" hidden="false" customHeight="false" outlineLevel="0" collapsed="false">
      <c r="A15" s="28" t="n">
        <f aca="false">IF(B15="","",$A$13)</f>
        <v>44601.0</v>
      </c>
      <c r="B15" s="28" t="n">
        <f aca="false">IF(i_Transaction!C4="",B16,i_Transaction!C4)</f>
        <v>44597.0</v>
      </c>
      <c r="C15" s="45" t="str">
        <f aca="false">C16</f>
        <v>IDHJ-EGNY</v>
      </c>
      <c r="D15" s="43" t="n">
        <f aca="false">D16</f>
        <v>1.0</v>
      </c>
      <c r="E15" s="29" t="str">
        <f aca="false">E16</f>
        <v>ACTUAL_360</v>
      </c>
      <c r="F15" s="29" t="n">
        <f aca="false">F16</f>
        <v>10.0</v>
      </c>
      <c r="G15" s="29" t="n">
        <f aca="false">IFERROR(IF(EDATE($F$3,INT(YEARFRAC($F$3,B15)*12))&gt;=B15,EDATE($F$3,INT(YEARFRAC($F$3,B15)*12))-EDATE($F$3,INT(YEARFRAC($F$3,B15)*12)-1),EDATE($F$3,INT(YEARFRAC($F$3,B15)*12)+1)-EDATE($F$3,INT(YEARFRAC($F$3,B15)*12))),"")</f>
        <v>28.0</v>
      </c>
      <c r="H15" s="29" t="n">
        <f aca="false">IFERROR(IF(E15="Actual_360",F15*G15/36000,IF(E15="Actual_365",F15*G15/36500,F15*30/36000)),"")</f>
        <v>0.0077777777777777776</v>
      </c>
      <c r="I15" s="29" t="n">
        <f aca="false">IFERROR(H15/G15,"")</f>
        <v>2.7777777777777783E-4</v>
      </c>
      <c r="J15" s="44" t="n">
        <f aca="false">IFERROR(ROUND(I15*B7,4),"")</f>
        <v>27.7778</v>
      </c>
      <c r="K15" s="28" t="n">
        <f aca="false">IF(J15="","",B15)</f>
        <v>44597.0</v>
      </c>
      <c r="L15" s="29" t="n">
        <f aca="false">IFERROR(B15-B16,1)</f>
        <v>2.0</v>
      </c>
      <c r="M15" s="37" t="n">
        <f aca="false">IFERROR(J15*L15,0)</f>
        <v>55.5556</v>
      </c>
      <c r="N15" s="46"/>
    </row>
    <row r="16" customFormat="false" ht="15" hidden="false" customHeight="false" outlineLevel="0" collapsed="false">
      <c r="A16" s="28" t="n">
        <f aca="false">IF(B16="","",$A$13)</f>
        <v>44601.0</v>
      </c>
      <c r="B16" s="28" t="n">
        <f aca="false">IF(i_ExecutionDate!A2=CALC!F3,CALC!F3,IF(i_ExecutionDate!B2="",i_ExecutionDate!A2-1,MIN(i_ExecutionDate!B2,i_ExecutionDate!C2)))</f>
        <v>44595.0</v>
      </c>
      <c r="C16" s="45" t="str">
        <f aca="false">IF(i_InstrumentAttribute!D2="","",i_InstrumentAttribute!D2)</f>
        <v>IDHJ-EGNY</v>
      </c>
      <c r="D16" s="43" t="n">
        <f aca="false">IF(i_InstrumentAttribute!E2="","",i_InstrumentAttribute!E2)</f>
        <v>1.0</v>
      </c>
      <c r="E16" s="29" t="str">
        <f aca="false">IF(i_InstrumentAttribute!G2="","",i_InstrumentAttribute!G2)</f>
        <v>ACTUAL_360</v>
      </c>
      <c r="F16" s="29" t="n">
        <f aca="false">IF(i_InstrumentAttribute!F2="","",i_InstrumentAttribute!F2)</f>
        <v>10.0</v>
      </c>
      <c r="G16" s="29" t="n">
        <f aca="false">IFERROR(IF(EDATE($F$3,INT(YEARFRAC($F$3,B16)*12))&gt;=B16,EDATE($F$3,INT(YEARFRAC($F$3,B16)*12))-EDATE($F$3,INT(YEARFRAC($F$3,B16)*12)-1),EDATE($F$3,INT(YEARFRAC($F$3,B16)*12)+1)-EDATE($F$3,INT(YEARFRAC($F$3,B16)*12))),"")</f>
        <v>28.0</v>
      </c>
      <c r="H16" s="29" t="n">
        <f aca="false">IFERROR(IF(E16="Actual_360",F16*G16/36000,IF(E16="Actual_365",F16*G16/36500,F16*30/36000)),"")</f>
        <v>0.0077777777777777776</v>
      </c>
      <c r="I16" s="29" t="n">
        <f aca="false">IFERROR(H16/G16,"")</f>
        <v>2.7777777777777783E-4</v>
      </c>
      <c r="J16" s="44" t="n">
        <f aca="false">IFERROR(ROUND(I16*B7,4),"")</f>
        <v>27.7778</v>
      </c>
      <c r="K16" s="28" t="n">
        <f aca="false">IF(J16="","",B16)</f>
        <v>44595.0</v>
      </c>
      <c r="L16" s="29" t="n">
        <f aca="false">IF(L15=0,0,1)</f>
        <v>1.0</v>
      </c>
      <c r="M16" s="37" t="n">
        <f aca="false">IFERROR(J16*L16,0)</f>
        <v>27.7778</v>
      </c>
    </row>
    <row r="17" customFormat="false" ht="15" hidden="false" customHeight="false" outlineLevel="0" collapsed="false">
      <c r="A17" s="47"/>
      <c r="B17" s="47"/>
      <c r="C17" s="48"/>
      <c r="D17" s="49"/>
      <c r="E17" s="50"/>
      <c r="F17" s="50"/>
      <c r="G17" s="50"/>
      <c r="H17" s="50"/>
      <c r="I17" s="50"/>
      <c r="J17" s="50"/>
      <c r="K17" s="51"/>
    </row>
    <row r="19" customFormat="false" ht="19.7" hidden="false" customHeight="false" outlineLevel="0" collapsed="false">
      <c r="A19" s="34" t="s">
        <v>16</v>
      </c>
      <c r="B19" s="34"/>
      <c r="C19" s="34"/>
      <c r="D19" s="34"/>
      <c r="E19" s="34"/>
      <c r="F19" s="34"/>
      <c r="G19" s="34"/>
      <c r="H19" s="34"/>
      <c r="I19" s="34"/>
    </row>
    <row r="20" customFormat="false" ht="15" hidden="false" customHeight="false" outlineLevel="0" collapsed="false">
      <c r="A20" s="35" t="s">
        <v>28</v>
      </c>
      <c r="B20" s="35" t="s">
        <v>34</v>
      </c>
      <c r="C20" s="35" t="s">
        <v>50</v>
      </c>
      <c r="D20" s="35" t="s">
        <v>35</v>
      </c>
      <c r="E20" s="35" t="s">
        <v>61</v>
      </c>
      <c r="F20" s="35" t="s">
        <v>62</v>
      </c>
      <c r="G20" s="38" t="s">
        <v>63</v>
      </c>
      <c r="H20" s="38" t="s">
        <v>64</v>
      </c>
      <c r="I20" s="38" t="s">
        <v>65</v>
      </c>
    </row>
    <row r="21" customFormat="false" ht="15" hidden="false" customHeight="false" outlineLevel="0" collapsed="false">
      <c r="A21" s="28" t="n">
        <f aca="false">IF(i_Transaction!B2="","",i_Transaction!B2)</f>
        <v>44601.0</v>
      </c>
      <c r="B21" s="28" t="n">
        <f aca="false">IF(i_Transaction!C2="","",i_Transaction!C2)</f>
        <v>44601.0</v>
      </c>
      <c r="C21" s="45" t="str">
        <f aca="false">IF(i_Transaction!D2="","",i_Transaction!D2)</f>
        <v>IDHJ-EGNY</v>
      </c>
      <c r="D21" s="43" t="str">
        <f aca="false">IF(i_Transaction!E2="","",i_Transaction!E2)</f>
        <v>1.0</v>
      </c>
      <c r="E21" s="52" t="n">
        <f aca="false">C5+M13</f>
        <v>83.0346</v>
      </c>
      <c r="F21" s="37" t="n">
        <f aca="false">IF(B21&lt;&gt;$B$16,IF(i_Transaction!F2="",0,ABS(i_Transaction!F2)),IF(i_Transaction!F2="",0,ABS(i_Transaction!F2)-i_Transaction!$F$6))</f>
        <v>100.0</v>
      </c>
      <c r="G21" s="37" t="n">
        <f aca="false">IFERROR(IF(F21="",0,(ROUND(IF(E21&gt;F21,F21,E21),4))),0)</f>
        <v>83.0346</v>
      </c>
      <c r="H21" s="37" t="n">
        <f aca="false">IFERROR(IF(F21-G21=0,0,ROUND(F21-G21,4)),0)</f>
        <v>16.9654</v>
      </c>
      <c r="I21" s="37" t="str">
        <f aca="false">IF(i_Transaction!F2="","",IF(AND(i_Transaction!F2&lt;=0,F21&lt;&gt;0),"Reversal","New"))</f>
        <v>New</v>
      </c>
    </row>
    <row r="22" customFormat="false" ht="15" hidden="false" customHeight="false" outlineLevel="0" collapsed="false">
      <c r="A22" s="28" t="n">
        <f aca="false">IF(i_Transaction!B3="","",i_Transaction!B3)</f>
        <v>44601.0</v>
      </c>
      <c r="B22" s="28" t="n">
        <f aca="false">IF(i_Transaction!C3="","",i_Transaction!C3)</f>
        <v>44598.0</v>
      </c>
      <c r="C22" s="45" t="str">
        <f aca="false">IF(i_Transaction!D3="","",i_Transaction!D3)</f>
        <v>IDHJ-EGNY</v>
      </c>
      <c r="D22" s="43" t="str">
        <f aca="false">IF(i_Transaction!E3="","",i_Transaction!E3)</f>
        <v>1.0</v>
      </c>
      <c r="E22" s="52" t="n">
        <f aca="false">C6+M14</f>
        <v>27.7677</v>
      </c>
      <c r="F22" s="37" t="n">
        <f aca="false">IF(B22&lt;&gt;$B$16,IF(i_Transaction!F3="",0,ABS(i_Transaction!F3)),IF(i_Transaction!F3="",0,ABS(i_Transaction!F3)-i_Transaction!$F$6))</f>
        <v>350.0</v>
      </c>
      <c r="G22" s="37" t="n">
        <f aca="false">IFERROR(IF(F22="",0,(ROUND(IF(E22&gt;F22,F22,E22),4))),0)</f>
        <v>27.7677</v>
      </c>
      <c r="H22" s="37" t="n">
        <f aca="false">IFERROR(IF(F22-G22=0,0,ROUND(F22-G22,4)),0)</f>
        <v>322.2323</v>
      </c>
      <c r="I22" s="37" t="str">
        <f aca="false">IF(i_Transaction!F3="","",IF(AND(i_Transaction!F3&lt;=0,F22&lt;&gt;0),"Reversal","New"))</f>
        <v>Reversal</v>
      </c>
    </row>
    <row r="23" customFormat="false" ht="15" hidden="false" customHeight="false" outlineLevel="0" collapsed="false">
      <c r="A23" s="28" t="n">
        <f aca="false">IF(i_Transaction!B4="","",i_Transaction!B4)</f>
        <v>44601.0</v>
      </c>
      <c r="B23" s="28" t="n">
        <f aca="false">IF(i_Transaction!C4="","",i_Transaction!C4)</f>
        <v>44597.0</v>
      </c>
      <c r="C23" s="45" t="str">
        <f aca="false">IF(i_Transaction!D4="","",i_Transaction!D4)</f>
        <v>IDHJ-EGNY</v>
      </c>
      <c r="D23" s="43" t="str">
        <f aca="false">IF(i_Transaction!E4="","",i_Transaction!E4)</f>
        <v>1.0</v>
      </c>
      <c r="E23" s="52" t="n">
        <f aca="false">C7+M15+M16</f>
        <v>238.889</v>
      </c>
      <c r="F23" s="37" t="n">
        <f aca="false">IF(B23&lt;&gt;$B$16,IF(i_Transaction!F4="",0,ABS(i_Transaction!F4)),IF(i_Transaction!F4="",0,ABS(i_Transaction!F4)-i_Transaction!$F$6))</f>
        <v>275.0</v>
      </c>
      <c r="G23" s="37" t="n">
        <f aca="false">IFERROR(IF(F23="",0,(ROUND(IF(E23&gt;F23,F23,E23),4))),0)</f>
        <v>238.889</v>
      </c>
      <c r="H23" s="37" t="n">
        <f aca="false">IFERROR(IF(F23-G23=0,0,ROUND(F23-G23,4)),0)</f>
        <v>36.111</v>
      </c>
      <c r="I23" s="37" t="str">
        <f aca="false">IF(i_Transaction!F4="","",IF(AND(i_Transaction!F4&lt;=0,F23&lt;&gt;0),"Reversal","New"))</f>
        <v>Reversal</v>
      </c>
    </row>
    <row r="24" customFormat="false" ht="15" hidden="false" customHeight="false" outlineLevel="0" collapsed="false">
      <c r="A24" s="28" t="n">
        <f aca="false">IF(i_Transaction!B5="","",i_Transaction!B5)</f>
        <v>44601.0</v>
      </c>
      <c r="B24" s="28" t="n">
        <f aca="false">IF(i_Transaction!C5="","",i_Transaction!C5)</f>
        <v>44595.0</v>
      </c>
      <c r="C24" s="45" t="str">
        <f aca="false">IF(i_Transaction!D5="","",i_Transaction!D5)</f>
        <v>IDHJ-EGNY</v>
      </c>
      <c r="D24" s="43" t="str">
        <f aca="false">IF(i_Transaction!E5="","",i_Transaction!E5)</f>
        <v>1.0</v>
      </c>
      <c r="E24" s="52" t="n">
        <f aca="false">C8</f>
        <v>155.5556</v>
      </c>
      <c r="F24" s="37" t="n">
        <f aca="false">IF(B24&lt;&gt;$B$16,IF(i_Transaction!F5="",0,ABS(i_Transaction!F5)),IF(i_Transaction!F5="",0,ABS(i_Transaction!F5)-i_Transaction!$F$6))</f>
        <v>0.0</v>
      </c>
      <c r="G24" s="37" t="n">
        <f aca="false">IFERROR(IF(F24="",0,(ROUND(IF(E24&gt;F24,F24,E24),4))),0)</f>
        <v>0.0</v>
      </c>
      <c r="H24" s="37" t="n">
        <f aca="false">IFERROR(IF(F24-G24=0,0,ROUND(F24-G24,4)),0)</f>
        <v>0.0</v>
      </c>
      <c r="I24" s="37" t="str">
        <f aca="false">IF(i_Transaction!F5="","",IF(AND(i_Transaction!F5&lt;=0,F24&lt;&gt;0),"Reversal","New"))</f>
        <v>New</v>
      </c>
    </row>
    <row r="27" customFormat="false" ht="19.7" hidden="false" customHeight="false" outlineLevel="0" collapsed="false">
      <c r="A27" s="34" t="s">
        <v>0</v>
      </c>
      <c r="B27" s="34"/>
      <c r="C27" s="34"/>
      <c r="D27" s="34"/>
      <c r="E27" s="34"/>
      <c r="F27" s="34"/>
    </row>
    <row r="28" customFormat="false" ht="15" hidden="false" customHeight="false" outlineLevel="0" collapsed="false">
      <c r="A28" s="38" t="s">
        <v>28</v>
      </c>
      <c r="B28" s="38" t="s">
        <v>29</v>
      </c>
      <c r="C28" s="38" t="s">
        <v>30</v>
      </c>
      <c r="D28" s="38" t="s">
        <v>66</v>
      </c>
      <c r="E28" s="38" t="s">
        <v>7</v>
      </c>
      <c r="F28" s="38" t="s">
        <v>31</v>
      </c>
    </row>
    <row r="29" customFormat="false" ht="15" hidden="false" customHeight="false" outlineLevel="0" collapsed="false">
      <c r="A29" s="28" t="str">
        <f aca="false">IF(E29="","",A12)</f>
        <v/>
      </c>
      <c r="B29" s="28" t="str">
        <f aca="false">IF(E29="","",B12)</f>
        <v/>
      </c>
      <c r="C29" s="29" t="str">
        <f aca="false">IF(A29="","",C16)</f>
        <v/>
      </c>
      <c r="D29" s="2" t="str">
        <f aca="false">IF(A29="","","Servicing Interest Accrual")</f>
        <v/>
      </c>
      <c r="E29" s="39" t="str">
        <f aca="false">IFERROR(IF(M12=0,"",M12),0)</f>
        <v/>
      </c>
      <c r="F29" s="29" t="str">
        <f aca="false">IF(A29="","",D12)</f>
        <v/>
      </c>
    </row>
    <row r="30" customFormat="false" ht="15" hidden="false" customHeight="false" outlineLevel="0" collapsed="false">
      <c r="A30" s="28" t="n">
        <f aca="false">IF(E30="","",A13)</f>
        <v>44601.0</v>
      </c>
      <c r="B30" s="28" t="n">
        <f aca="false">IF(E30="","",B13)</f>
        <v>44601.0</v>
      </c>
      <c r="C30" s="29" t="str">
        <f aca="false">IF(A30="","",C13)</f>
        <v>IDHJ-EGNY</v>
      </c>
      <c r="D30" s="2" t="str">
        <f aca="false">IF(A30="","","Servicing Interest Accrual")</f>
        <v>Servicing Interest Accrual</v>
      </c>
      <c r="E30" s="39" t="n">
        <f aca="false">IFERROR(IF(M13=0,"",M13),0)</f>
        <v>83.0346</v>
      </c>
      <c r="F30" s="29" t="n">
        <f aca="false">IF(A30="","",D13)</f>
        <v>1.0</v>
      </c>
    </row>
    <row r="31" customFormat="false" ht="15" hidden="false" customHeight="false" outlineLevel="0" collapsed="false">
      <c r="A31" s="28" t="n">
        <f aca="false">IF(E31="","",A14)</f>
        <v>44601.0</v>
      </c>
      <c r="B31" s="28" t="n">
        <f aca="false">IF(E31="","",B14)</f>
        <v>44598.0</v>
      </c>
      <c r="C31" s="29" t="str">
        <f aca="false">IF(A31="","",C14)</f>
        <v>IDHJ-EGNY</v>
      </c>
      <c r="D31" s="2" t="str">
        <f aca="false">IF(A31="","","Servicing Interest Accrual")</f>
        <v>Servicing Interest Accrual</v>
      </c>
      <c r="E31" s="39" t="n">
        <f aca="false">IFERROR(IF(M14=0,"",M14),0)</f>
        <v>27.7677</v>
      </c>
      <c r="F31" s="29" t="n">
        <f aca="false">IF(A31="","",D14)</f>
        <v>1.0</v>
      </c>
    </row>
    <row r="32" customFormat="false" ht="15" hidden="false" customHeight="false" outlineLevel="0" collapsed="false">
      <c r="A32" s="28" t="n">
        <f aca="false">IF(E32="","",A15)</f>
        <v>44601.0</v>
      </c>
      <c r="B32" s="28" t="n">
        <f aca="false">IF(E32="","",B15)</f>
        <v>44597.0</v>
      </c>
      <c r="C32" s="29" t="str">
        <f aca="false">IF(A32="","",C15)</f>
        <v>IDHJ-EGNY</v>
      </c>
      <c r="D32" s="2" t="str">
        <f aca="false">IF(A32="","","Servicing Interest Accrual")</f>
        <v>Servicing Interest Accrual</v>
      </c>
      <c r="E32" s="39" t="n">
        <f aca="false">IFERROR(IF(M15=0,"",M15),0)</f>
        <v>55.5556</v>
      </c>
      <c r="F32" s="29" t="n">
        <f aca="false">IF(A32="","",D15)</f>
        <v>1.0</v>
      </c>
    </row>
    <row r="33" customFormat="false" ht="15" hidden="false" customHeight="false" outlineLevel="0" collapsed="false">
      <c r="A33" s="28" t="n">
        <f aca="false">IF(E33="","",A16)</f>
        <v>44601.0</v>
      </c>
      <c r="B33" s="28" t="n">
        <f aca="false">IF(E33="","",B16)</f>
        <v>44595.0</v>
      </c>
      <c r="C33" s="29" t="str">
        <f aca="false">IF(A33="","",C16)</f>
        <v>IDHJ-EGNY</v>
      </c>
      <c r="D33" s="2" t="str">
        <f aca="false">IF(A33="","","Servicing Interest Accrual")</f>
        <v>Servicing Interest Accrual</v>
      </c>
      <c r="E33" s="39" t="n">
        <f aca="false">IFERROR(IF(M16=0,"",M16),0)</f>
        <v>27.7778</v>
      </c>
      <c r="F33" s="29" t="n">
        <f aca="false">IF(A33="","",D16)</f>
        <v>1.0</v>
      </c>
    </row>
    <row r="34" customFormat="false" ht="15" hidden="false" customHeight="false" outlineLevel="0" collapsed="false">
      <c r="A34" s="28" t="n">
        <f aca="false">IF(E34="","",A21)</f>
        <v>44601.0</v>
      </c>
      <c r="B34" s="28" t="n">
        <f aca="false">IF(A34="","",B21)</f>
        <v>44601.0</v>
      </c>
      <c r="C34" s="29" t="str">
        <f aca="false">IF(A34="","",C21)</f>
        <v>IDHJ-EGNY</v>
      </c>
      <c r="D34" s="2" t="str">
        <f aca="false">IF(A34="","","Payment - Interest")</f>
        <v>Payment - Interest</v>
      </c>
      <c r="E34" s="39" t="n">
        <f aca="false">IFERROR(IF(G21=0,"",-G21),0)</f>
        <v>-83.0346</v>
      </c>
      <c r="F34" s="29" t="str">
        <f aca="false">IF(A34="","",D21)</f>
        <v>1.0</v>
      </c>
    </row>
    <row r="35" customFormat="false" ht="15" hidden="false" customHeight="false" outlineLevel="0" collapsed="false">
      <c r="A35" s="28" t="n">
        <f aca="false">IF(E35="","",A22)</f>
        <v>44601.0</v>
      </c>
      <c r="B35" s="28" t="n">
        <f aca="false">IF(A35="","",B22)</f>
        <v>44598.0</v>
      </c>
      <c r="C35" s="29" t="str">
        <f aca="false">IF(A35="","",C22)</f>
        <v>IDHJ-EGNY</v>
      </c>
      <c r="D35" s="2" t="str">
        <f aca="false">IF(A35="","","Payment - Interest")</f>
        <v>Payment - Interest</v>
      </c>
      <c r="E35" s="39" t="n">
        <f aca="false">IFERROR(IF(G22=0,"",-G22),0)</f>
        <v>-27.7677</v>
      </c>
      <c r="F35" s="29" t="str">
        <f aca="false">IF(A35="","",D22)</f>
        <v>1.0</v>
      </c>
    </row>
    <row r="36" customFormat="false" ht="15" hidden="false" customHeight="false" outlineLevel="0" collapsed="false">
      <c r="A36" s="28" t="n">
        <f aca="false">IF(E36="","",A23)</f>
        <v>44601.0</v>
      </c>
      <c r="B36" s="28" t="n">
        <f aca="false">IF(A36="","",B23)</f>
        <v>44597.0</v>
      </c>
      <c r="C36" s="29" t="str">
        <f aca="false">IF(A36="","",C23)</f>
        <v>IDHJ-EGNY</v>
      </c>
      <c r="D36" s="2" t="str">
        <f aca="false">IF(A36="","","Payment - Interest")</f>
        <v>Payment - Interest</v>
      </c>
      <c r="E36" s="39" t="n">
        <f aca="false">IFERROR(IF(G23=0,"",-G23),0)</f>
        <v>-238.889</v>
      </c>
      <c r="F36" s="29" t="str">
        <f aca="false">IF(A36="","",D23)</f>
        <v>1.0</v>
      </c>
    </row>
    <row r="37" customFormat="false" ht="15" hidden="false" customHeight="false" outlineLevel="0" collapsed="false">
      <c r="A37" s="28" t="str">
        <f aca="false">IF(E37="","",A24)</f>
        <v/>
      </c>
      <c r="B37" s="28" t="str">
        <f aca="false">IF(A37="","",B24)</f>
        <v/>
      </c>
      <c r="C37" s="29" t="str">
        <f aca="false">IF(A37="","",C24)</f>
        <v/>
      </c>
      <c r="D37" s="2" t="str">
        <f aca="false">IF(A37="","","Payment - Interest")</f>
        <v/>
      </c>
      <c r="E37" s="39" t="str">
        <f aca="false">IFERROR(IF(G24=0,"",-G24),0)</f>
        <v/>
      </c>
      <c r="F37" s="29" t="str">
        <f aca="false">IF(A37="","",D24)</f>
        <v/>
      </c>
    </row>
    <row r="38" customFormat="false" ht="15" hidden="false" customHeight="false" outlineLevel="0" collapsed="false">
      <c r="A38" s="28" t="n">
        <f aca="false">IF(E38="","",A21)</f>
        <v>44601.0</v>
      </c>
      <c r="B38" s="28" t="n">
        <f aca="false">IF(A38="","",B21)</f>
        <v>44601.0</v>
      </c>
      <c r="C38" s="29" t="str">
        <f aca="false">IF(A38="","",C21)</f>
        <v>IDHJ-EGNY</v>
      </c>
      <c r="D38" s="2" t="str">
        <f aca="false">IF(A38="","","Payment - UPB")</f>
        <v>Payment - UPB</v>
      </c>
      <c r="E38" s="39" t="n">
        <f aca="false">IFERROR(IF(H21=0,"",-H21),0)</f>
        <v>-16.9654</v>
      </c>
      <c r="F38" s="29" t="str">
        <f aca="false">IF(A38="","",D21)</f>
        <v>1.0</v>
      </c>
    </row>
    <row r="39" customFormat="false" ht="15" hidden="false" customHeight="false" outlineLevel="0" collapsed="false">
      <c r="A39" s="28" t="n">
        <f aca="false">IF(E39="","",A22)</f>
        <v>44601.0</v>
      </c>
      <c r="B39" s="28" t="n">
        <f aca="false">IF(A39="","",B22)</f>
        <v>44598.0</v>
      </c>
      <c r="C39" s="29" t="str">
        <f aca="false">IF(A39="","",C22)</f>
        <v>IDHJ-EGNY</v>
      </c>
      <c r="D39" s="2" t="str">
        <f aca="false">IF(A39="","","Payment - UPB")</f>
        <v>Payment - UPB</v>
      </c>
      <c r="E39" s="39" t="n">
        <f aca="false">IFERROR(IF(H22=0,"",-H22),0)</f>
        <v>-322.2323</v>
      </c>
      <c r="F39" s="29" t="str">
        <f aca="false">IF(A39="","",D22)</f>
        <v>1.0</v>
      </c>
    </row>
    <row r="40" customFormat="false" ht="15" hidden="false" customHeight="false" outlineLevel="0" collapsed="false">
      <c r="A40" s="28" t="n">
        <f aca="false">IF(E40="","",A23)</f>
        <v>44601.0</v>
      </c>
      <c r="B40" s="28" t="n">
        <f aca="false">IF(A40="","",B23)</f>
        <v>44597.0</v>
      </c>
      <c r="C40" s="29" t="str">
        <f aca="false">IF(A40="","",C23)</f>
        <v>IDHJ-EGNY</v>
      </c>
      <c r="D40" s="2" t="str">
        <f aca="false">IF(A40="","","Payment - UPB")</f>
        <v>Payment - UPB</v>
      </c>
      <c r="E40" s="39" t="n">
        <f aca="false">IFERROR(IF(H23=0,"",-H23),0)</f>
        <v>-36.111</v>
      </c>
      <c r="F40" s="29" t="str">
        <f aca="false">IF(A40="","",D23)</f>
        <v>1.0</v>
      </c>
    </row>
    <row r="41" customFormat="false" ht="15" hidden="false" customHeight="false" outlineLevel="0" collapsed="false">
      <c r="A41" s="28" t="str">
        <f aca="false">IF(E41="","",A24)</f>
        <v/>
      </c>
      <c r="B41" s="28" t="str">
        <f aca="false">IF(A41="","",B24)</f>
        <v/>
      </c>
      <c r="C41" s="29" t="str">
        <f aca="false">IF(A41="","",C24)</f>
        <v/>
      </c>
      <c r="D41" s="2" t="str">
        <f aca="false">IF(A41="","","Payment - UPB")</f>
        <v/>
      </c>
      <c r="E41" s="39" t="str">
        <f aca="false">IFERROR(IF(H24=0,"",-H24),0)</f>
        <v/>
      </c>
      <c r="F41" s="29" t="str">
        <f aca="false">IF(A41="","",D24)</f>
        <v/>
      </c>
    </row>
    <row r="42" customFormat="false" ht="15" hidden="false" customHeight="false" outlineLevel="0" collapsed="false">
      <c r="A42" s="28" t="str">
        <f aca="false">IF(E42="","",A21)</f>
        <v/>
      </c>
      <c r="B42" s="28" t="str">
        <f aca="false">IF(A42="","",B21)</f>
        <v/>
      </c>
      <c r="C42" s="29" t="str">
        <f aca="false">IF(A42="","",C21)</f>
        <v/>
      </c>
      <c r="D42" s="2" t="str">
        <f aca="false">IF(A42="","","Remit")</f>
        <v/>
      </c>
      <c r="E42" s="39" t="str">
        <f aca="false">IFERROR(IF(OR(F21=0,I21="New"),"",F21),0)</f>
        <v/>
      </c>
      <c r="F42" s="29" t="str">
        <f aca="false">IF(A42="","",D21)</f>
        <v/>
      </c>
    </row>
    <row r="43" customFormat="false" ht="15" hidden="false" customHeight="false" outlineLevel="0" collapsed="false">
      <c r="A43" s="28" t="n">
        <f aca="false">IF(E43="","",A22)</f>
        <v>44601.0</v>
      </c>
      <c r="B43" s="28" t="n">
        <f aca="false">IF(A43="","",B22)</f>
        <v>44598.0</v>
      </c>
      <c r="C43" s="29" t="str">
        <f aca="false">IF(A43="","",C22)</f>
        <v>IDHJ-EGNY</v>
      </c>
      <c r="D43" s="2" t="str">
        <f aca="false">IF(A43="","","Remit")</f>
        <v>Remit</v>
      </c>
      <c r="E43" s="39" t="n">
        <f aca="false">IFERROR(IF(OR(F22=0,I22="New"),"",F22),0)</f>
        <v>350.0</v>
      </c>
      <c r="F43" s="29" t="str">
        <f aca="false">IF(A43="","",D22)</f>
        <v>1.0</v>
      </c>
    </row>
    <row r="44" customFormat="false" ht="15" hidden="false" customHeight="false" outlineLevel="0" collapsed="false">
      <c r="A44" s="28" t="n">
        <f aca="false">IF(E44="","",A23)</f>
        <v>44601.0</v>
      </c>
      <c r="B44" s="28" t="n">
        <f aca="false">IF(A44="","",B23)</f>
        <v>44597.0</v>
      </c>
      <c r="C44" s="29" t="str">
        <f aca="false">IF(A44="","",C23)</f>
        <v>IDHJ-EGNY</v>
      </c>
      <c r="D44" s="2" t="str">
        <f aca="false">IF(A44="","","Remit")</f>
        <v>Remit</v>
      </c>
      <c r="E44" s="39" t="n">
        <f aca="false">IFERROR(IF(OR(F23=0,I23="New"),"",F23),0)</f>
        <v>275.0</v>
      </c>
      <c r="F44" s="29" t="str">
        <f aca="false">IF(A44="","",D23)</f>
        <v>1.0</v>
      </c>
    </row>
    <row r="45" customFormat="false" ht="15" hidden="false" customHeight="false" outlineLevel="0" collapsed="false">
      <c r="A45" s="28" t="str">
        <f aca="false">IF(E45="","",A24)</f>
        <v/>
      </c>
      <c r="B45" s="28" t="str">
        <f aca="false">IF(A45="","",B24)</f>
        <v/>
      </c>
      <c r="C45" s="29" t="str">
        <f aca="false">IF(A45="","",C24)</f>
        <v/>
      </c>
      <c r="D45" s="2" t="str">
        <f aca="false">IF(A45="","","Remit")</f>
        <v/>
      </c>
      <c r="E45" s="39" t="str">
        <f aca="false">IFERROR(IF(OR(F24=0,I24="New"),"",F24),0)</f>
        <v/>
      </c>
      <c r="F45" s="29" t="str">
        <f aca="false">IF(A45="","",D24)</f>
        <v/>
      </c>
    </row>
    <row r="46" customFormat="false" ht="15" hidden="false" customHeight="false" outlineLevel="0" collapsed="false">
      <c r="A46" s="47"/>
      <c r="B46" s="47"/>
      <c r="C46" s="50"/>
      <c r="D46" s="53"/>
      <c r="E46" s="54"/>
      <c r="F46" s="50"/>
    </row>
    <row r="48" customFormat="false" ht="19.7" hidden="false" customHeight="false" outlineLevel="0" collapsed="false">
      <c r="A48" s="34" t="s">
        <v>67</v>
      </c>
      <c r="B48" s="34"/>
      <c r="C48" s="34"/>
      <c r="D48" s="34"/>
      <c r="E48" s="34"/>
    </row>
    <row r="49" customFormat="false" ht="15" hidden="false" customHeight="false" outlineLevel="0" collapsed="false">
      <c r="A49" s="35" t="s">
        <v>24</v>
      </c>
      <c r="B49" s="35" t="s">
        <v>50</v>
      </c>
      <c r="C49" s="35" t="s">
        <v>35</v>
      </c>
      <c r="D49" s="35" t="s">
        <v>68</v>
      </c>
      <c r="E49" s="38" t="s">
        <v>69</v>
      </c>
    </row>
    <row r="50" customFormat="false" ht="15" hidden="false" customHeight="false" outlineLevel="0" collapsed="false">
      <c r="A50" s="28" t="n">
        <f aca="false">i_ExecutionDate!A2</f>
        <v>44601.0</v>
      </c>
      <c r="B50" s="29" t="str">
        <f aca="false">C16</f>
        <v>IDHJ-EGNY</v>
      </c>
      <c r="C50" s="43" t="n">
        <f aca="false">D16</f>
        <v>1.0</v>
      </c>
      <c r="D50" s="28" t="n">
        <f aca="false">IF(i_InstrumentAttribute!H2="","",i_InstrumentAttribute!H2)</f>
        <v>44957.0</v>
      </c>
      <c r="E50" s="28" t="str">
        <f aca="false">IF(A50=D50,D50,"")</f>
        <v/>
      </c>
    </row>
  </sheetData>
  <mergeCells count="6">
    <mergeCell ref="A2:C2"/>
    <mergeCell ref="H3:J3"/>
    <mergeCell ref="A10:M10"/>
    <mergeCell ref="A19:I19"/>
    <mergeCell ref="A27:F27"/>
    <mergeCell ref="A48:E4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1484375" defaultRowHeight="15" customHeight="true" zeroHeight="false" outlineLevelRow="0" outlineLevelCol="0"/>
  <cols>
    <col min="1" max="1" customWidth="true" hidden="false" style="23" width="31.29" collapsed="false" outlineLevel="0"/>
    <col min="2" max="2" customWidth="true" hidden="false" style="23" width="23.42" collapsed="false" outlineLevel="0"/>
    <col min="3" max="3" customWidth="true" hidden="false" style="23" width="14.29" collapsed="false" outlineLevel="0"/>
    <col min="4" max="4" customWidth="true" hidden="false" style="23" width="18.57" collapsed="false" outlineLevel="0"/>
    <col min="5" max="5" customWidth="true" hidden="false" style="23" width="26.29" collapsed="false" outlineLevel="0"/>
    <col min="6" max="6" customWidth="true" hidden="false" style="23" width="16.85" collapsed="false" outlineLevel="0"/>
    <col min="7" max="7" customWidth="true" hidden="false" style="23" width="23.29" collapsed="false" outlineLevel="0"/>
    <col min="8" max="16384" customWidth="false" hidden="false" style="23" width="8.71" collapsed="false" outlineLevel="0"/>
  </cols>
  <sheetData>
    <row r="1" customFormat="false" ht="15" hidden="false" customHeight="false" outlineLevel="0" collapsed="false">
      <c r="A1" s="26" t="s">
        <v>70</v>
      </c>
      <c r="B1" s="32" t="s">
        <v>28</v>
      </c>
      <c r="C1" s="26" t="s">
        <v>71</v>
      </c>
      <c r="D1" s="26" t="s">
        <v>72</v>
      </c>
      <c r="E1" s="26" t="s">
        <v>73</v>
      </c>
      <c r="F1" s="26" t="s">
        <v>74</v>
      </c>
      <c r="G1" s="26" t="s">
        <v>75</v>
      </c>
    </row>
    <row r="2" customFormat="false" ht="15" hidden="false" customHeight="false" outlineLevel="0" collapsed="false">
      <c r="A2" s="23" t="s">
        <v>76</v>
      </c>
      <c r="B2" s="78" t="n">
        <v>44601.0</v>
      </c>
      <c r="C2" t="s" s="23">
        <v>78</v>
      </c>
      <c r="D2" t="s" s="23">
        <v>79</v>
      </c>
      <c r="E2" t="n" s="76">
        <v>99441.5918</v>
      </c>
      <c r="F2" t="n" s="79">
        <v>558.4082</v>
      </c>
      <c r="G2" t="n" s="77">
        <v>100000.0</v>
      </c>
    </row>
    <row r="3" customFormat="false" ht="15" hidden="false" customHeight="false" outlineLevel="0" collapsed="false">
      <c r="A3" s="23" t="s">
        <v>77</v>
      </c>
      <c r="B3" s="74" t="n">
        <v>44601.0</v>
      </c>
      <c r="C3" t="s" s="23">
        <v>78</v>
      </c>
      <c r="D3" t="s" s="23">
        <v>79</v>
      </c>
      <c r="E3" t="n" s="72">
        <v>55.2454</v>
      </c>
      <c r="F3" t="n" s="75">
        <v>100.3102</v>
      </c>
      <c r="G3" t="n" s="73">
        <v>155.5556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customHeight="true" zeroHeight="false" outlineLevelRow="0" outlineLevelCol="0"/>
  <cols>
    <col min="1" max="1" customWidth="true" hidden="false" style="23" width="33.0" collapsed="false" outlineLevel="0"/>
    <col min="2" max="2" customWidth="true" hidden="false" style="23" width="15.42" collapsed="false" outlineLevel="0"/>
    <col min="3" max="3" customWidth="true" hidden="false" style="23" width="12.57" collapsed="false" outlineLevel="0"/>
    <col min="4" max="4" customWidth="true" hidden="false" style="23" width="23.71" collapsed="false" outlineLevel="0"/>
    <col min="5" max="5" customWidth="true" hidden="false" style="23" width="22.0" collapsed="false" outlineLevel="0"/>
    <col min="6" max="6" customWidth="true" hidden="false" style="23" width="10.85" collapsed="false" outlineLevel="0"/>
    <col min="7" max="16384" customWidth="false" hidden="false" style="23" width="8.71" collapsed="false" outlineLevel="0"/>
  </cols>
  <sheetData>
    <row r="1" customFormat="false" ht="15" hidden="false" customHeight="false" outlineLevel="0" collapsed="false">
      <c r="A1" s="26" t="s">
        <v>27</v>
      </c>
      <c r="B1" s="24" t="s">
        <v>28</v>
      </c>
      <c r="C1" s="24" t="s">
        <v>29</v>
      </c>
      <c r="D1" s="24" t="s">
        <v>30</v>
      </c>
      <c r="E1" s="24" t="s">
        <v>7</v>
      </c>
      <c r="F1" s="24" t="s">
        <v>31</v>
      </c>
    </row>
    <row r="2" customFormat="false" ht="15" hidden="false" customHeight="false" outlineLevel="0" collapsed="false">
      <c r="A2" s="25" t="str">
        <f aca="false">IF(D2="","",CALC!D29)</f>
        <v/>
      </c>
      <c r="B2" s="25" t="str">
        <f aca="false">IF(CALC!A29="","",CALC!A29)</f>
        <v/>
      </c>
      <c r="C2" s="25" t="str">
        <f aca="false">IF(B2="","",CALC!B29)</f>
        <v/>
      </c>
      <c r="D2" s="25" t="str">
        <f aca="false">IF(C2="","",CALC!C29)</f>
        <v/>
      </c>
      <c r="E2" s="55" t="str">
        <f aca="false">IF(A2="","",CALC!E29)</f>
        <v/>
      </c>
      <c r="F2" s="56" t="str">
        <f aca="false">IF(E2="","",CALC!F29)</f>
        <v/>
      </c>
    </row>
    <row r="3" customFormat="false" ht="15" hidden="false" customHeight="false" outlineLevel="0" collapsed="false">
      <c r="A3" s="25" t="str">
        <f aca="false">IF(D3="","",CALC!D30)</f>
        <v>Servicing Interest Accrual</v>
      </c>
      <c r="B3" s="25" t="n">
        <f aca="false">IF(CALC!A30="","",CALC!A30)</f>
        <v>44601.0</v>
      </c>
      <c r="C3" s="25" t="n">
        <f aca="false">IF(B3="","",CALC!B30)</f>
        <v>44601.0</v>
      </c>
      <c r="D3" s="25" t="str">
        <f aca="false">IF(C3="","",CALC!C30)</f>
        <v>IDHJ-EGNY</v>
      </c>
      <c r="E3" s="55" t="n">
        <f aca="false">IF(A3="","",CALC!E30)</f>
        <v>83.0346</v>
      </c>
      <c r="F3" s="56" t="n">
        <f aca="false">IF(E3="","",CALC!F30)</f>
        <v>1.0</v>
      </c>
    </row>
    <row r="4" customFormat="false" ht="15" hidden="false" customHeight="false" outlineLevel="0" collapsed="false">
      <c r="A4" s="25" t="str">
        <f aca="false">IF(D4="","",CALC!D31)</f>
        <v>Servicing Interest Accrual</v>
      </c>
      <c r="B4" s="25" t="n">
        <f aca="false">IF(CALC!A31="","",CALC!A31)</f>
        <v>44601.0</v>
      </c>
      <c r="C4" s="25" t="n">
        <f aca="false">IF(B4="","",CALC!B31)</f>
        <v>44598.0</v>
      </c>
      <c r="D4" s="25" t="str">
        <f aca="false">IF(C4="","",CALC!C31)</f>
        <v>IDHJ-EGNY</v>
      </c>
      <c r="E4" s="55" t="n">
        <f aca="false">IF(A4="","",CALC!E31)</f>
        <v>27.7677</v>
      </c>
      <c r="F4" s="56" t="n">
        <f aca="false">IF(E4="","",CALC!F31)</f>
        <v>1.0</v>
      </c>
    </row>
    <row r="5" customFormat="false" ht="15" hidden="false" customHeight="false" outlineLevel="0" collapsed="false">
      <c r="A5" s="25" t="str">
        <f aca="false">IF(D5="","",CALC!D32)</f>
        <v>Servicing Interest Accrual</v>
      </c>
      <c r="B5" s="25" t="n">
        <f aca="false">IF(CALC!A32="","",CALC!A32)</f>
        <v>44601.0</v>
      </c>
      <c r="C5" s="25" t="n">
        <f aca="false">IF(B5="","",CALC!B32)</f>
        <v>44597.0</v>
      </c>
      <c r="D5" s="25" t="str">
        <f aca="false">IF(C5="","",CALC!C32)</f>
        <v>IDHJ-EGNY</v>
      </c>
      <c r="E5" s="55" t="n">
        <f aca="false">IF(A5="","",CALC!E32)</f>
        <v>55.5556</v>
      </c>
      <c r="F5" s="56" t="n">
        <f aca="false">IF(E5="","",CALC!F32)</f>
        <v>1.0</v>
      </c>
    </row>
    <row r="6" customFormat="false" ht="15" hidden="false" customHeight="false" outlineLevel="0" collapsed="false">
      <c r="A6" s="25" t="str">
        <f aca="false">IF(D6="","",CALC!D33)</f>
        <v>Servicing Interest Accrual</v>
      </c>
      <c r="B6" s="25" t="n">
        <f aca="false">IF(CALC!A33="","",CALC!A33)</f>
        <v>44601.0</v>
      </c>
      <c r="C6" s="25" t="n">
        <f aca="false">IF(B6="","",CALC!B33)</f>
        <v>44595.0</v>
      </c>
      <c r="D6" s="25" t="str">
        <f aca="false">IF(C6="","",CALC!C33)</f>
        <v>IDHJ-EGNY</v>
      </c>
      <c r="E6" s="55" t="n">
        <f aca="false">IF(A6="","",CALC!E33)</f>
        <v>27.7778</v>
      </c>
      <c r="F6" s="56" t="n">
        <f aca="false">IF(E6="","",CALC!F33)</f>
        <v>1.0</v>
      </c>
    </row>
    <row r="7" customFormat="false" ht="15" hidden="false" customHeight="false" outlineLevel="0" collapsed="false">
      <c r="A7" s="25" t="str">
        <f aca="false">IF(D7="","",CALC!D34)</f>
        <v>Payment - Interest</v>
      </c>
      <c r="B7" s="25" t="n">
        <f aca="false">IF(CALC!A34="","",CALC!A34)</f>
        <v>44601.0</v>
      </c>
      <c r="C7" s="25" t="n">
        <f aca="false">IF(B7="","",CALC!B34)</f>
        <v>44601.0</v>
      </c>
      <c r="D7" s="25" t="str">
        <f aca="false">IF(C7="","",CALC!C34)</f>
        <v>IDHJ-EGNY</v>
      </c>
      <c r="E7" s="55" t="n">
        <f aca="false">IF(A7="","",CALC!E34)</f>
        <v>-83.0346</v>
      </c>
      <c r="F7" s="56" t="str">
        <f aca="false">IF(E7="","",CALC!F34)</f>
        <v>1.0</v>
      </c>
    </row>
    <row r="8" customFormat="false" ht="15" hidden="false" customHeight="false" outlineLevel="0" collapsed="false">
      <c r="A8" s="25" t="str">
        <f aca="false">IF(D8="","",CALC!D35)</f>
        <v>Payment - Interest</v>
      </c>
      <c r="B8" s="25" t="n">
        <f aca="false">IF(CALC!A35="","",CALC!A35)</f>
        <v>44601.0</v>
      </c>
      <c r="C8" s="25" t="n">
        <f aca="false">IF(B8="","",CALC!B35)</f>
        <v>44598.0</v>
      </c>
      <c r="D8" s="25" t="str">
        <f aca="false">IF(C8="","",CALC!C35)</f>
        <v>IDHJ-EGNY</v>
      </c>
      <c r="E8" s="55" t="n">
        <f aca="false">IF(A8="","",CALC!E35)</f>
        <v>-27.7677</v>
      </c>
      <c r="F8" s="56" t="str">
        <f aca="false">IF(E8="","",CALC!F35)</f>
        <v>1.0</v>
      </c>
    </row>
    <row r="9" customFormat="false" ht="15" hidden="false" customHeight="false" outlineLevel="0" collapsed="false">
      <c r="A9" s="25" t="str">
        <f aca="false">IF(D9="","",CALC!D36)</f>
        <v>Payment - Interest</v>
      </c>
      <c r="B9" s="25" t="n">
        <f aca="false">IF(CALC!A36="","",CALC!A36)</f>
        <v>44601.0</v>
      </c>
      <c r="C9" s="25" t="n">
        <f aca="false">IF(B9="","",CALC!B36)</f>
        <v>44597.0</v>
      </c>
      <c r="D9" s="25" t="str">
        <f aca="false">IF(C9="","",CALC!C36)</f>
        <v>IDHJ-EGNY</v>
      </c>
      <c r="E9" s="55" t="n">
        <f aca="false">IF(A9="","",CALC!E36)</f>
        <v>-238.889</v>
      </c>
      <c r="F9" s="56" t="str">
        <f aca="false">IF(E9="","",CALC!F36)</f>
        <v>1.0</v>
      </c>
    </row>
    <row r="10" customFormat="false" ht="15" hidden="false" customHeight="false" outlineLevel="0" collapsed="false">
      <c r="A10" s="25" t="str">
        <f aca="false">IF(D10="","",CALC!D37)</f>
        <v/>
      </c>
      <c r="B10" s="25" t="str">
        <f aca="false">IF(CALC!A37="","",CALC!A37)</f>
        <v/>
      </c>
      <c r="C10" s="25" t="str">
        <f aca="false">IF(B10="","",CALC!B37)</f>
        <v/>
      </c>
      <c r="D10" s="25" t="str">
        <f aca="false">IF(C10="","",CALC!C37)</f>
        <v/>
      </c>
      <c r="E10" s="55" t="str">
        <f aca="false">IF(A10="","",CALC!E37)</f>
        <v/>
      </c>
      <c r="F10" s="56" t="str">
        <f aca="false">IF(E10="","",CALC!F37)</f>
        <v/>
      </c>
    </row>
    <row r="11" customFormat="false" ht="15" hidden="false" customHeight="false" outlineLevel="0" collapsed="false">
      <c r="A11" s="25" t="str">
        <f aca="false">IF(D11="","",CALC!D38)</f>
        <v>Payment - UPB</v>
      </c>
      <c r="B11" s="25" t="n">
        <f aca="false">IF(CALC!A38="","",CALC!A38)</f>
        <v>44601.0</v>
      </c>
      <c r="C11" s="25" t="n">
        <f aca="false">IF(B11="","",CALC!B38)</f>
        <v>44601.0</v>
      </c>
      <c r="D11" s="25" t="str">
        <f aca="false">IF(C11="","",CALC!C38)</f>
        <v>IDHJ-EGNY</v>
      </c>
      <c r="E11" s="55" t="n">
        <f aca="false">IF(A11="","",CALC!E38)</f>
        <v>-16.9654</v>
      </c>
      <c r="F11" s="56" t="str">
        <f aca="false">IF(E11="","",CALC!F38)</f>
        <v>1.0</v>
      </c>
    </row>
    <row r="12" customFormat="false" ht="15" hidden="false" customHeight="false" outlineLevel="0" collapsed="false">
      <c r="A12" s="25" t="str">
        <f aca="false">IF(D12="","",CALC!D39)</f>
        <v>Payment - UPB</v>
      </c>
      <c r="B12" s="25" t="n">
        <f aca="false">IF(CALC!A39="","",CALC!A39)</f>
        <v>44601.0</v>
      </c>
      <c r="C12" s="25" t="n">
        <f aca="false">IF(B12="","",CALC!B39)</f>
        <v>44598.0</v>
      </c>
      <c r="D12" s="25" t="str">
        <f aca="false">IF(C12="","",CALC!C39)</f>
        <v>IDHJ-EGNY</v>
      </c>
      <c r="E12" s="55" t="n">
        <f aca="false">IF(A12="","",CALC!E39)</f>
        <v>-322.2323</v>
      </c>
      <c r="F12" s="56" t="str">
        <f aca="false">IF(E12="","",CALC!F39)</f>
        <v>1.0</v>
      </c>
    </row>
    <row r="13" customFormat="false" ht="15" hidden="false" customHeight="false" outlineLevel="0" collapsed="false">
      <c r="A13" s="25" t="str">
        <f aca="false">IF(D13="","",CALC!D40)</f>
        <v>Payment - UPB</v>
      </c>
      <c r="B13" s="25" t="n">
        <f aca="false">IF(CALC!A40="","",CALC!A40)</f>
        <v>44601.0</v>
      </c>
      <c r="C13" s="25" t="n">
        <f aca="false">IF(B13="","",CALC!B40)</f>
        <v>44597.0</v>
      </c>
      <c r="D13" s="25" t="str">
        <f aca="false">IF(C13="","",CALC!C40)</f>
        <v>IDHJ-EGNY</v>
      </c>
      <c r="E13" s="55" t="n">
        <f aca="false">IF(A13="","",CALC!E40)</f>
        <v>-36.111</v>
      </c>
      <c r="F13" s="56" t="str">
        <f aca="false">IF(E13="","",CALC!F40)</f>
        <v>1.0</v>
      </c>
    </row>
    <row r="14" customFormat="false" ht="15" hidden="false" customHeight="false" outlineLevel="0" collapsed="false">
      <c r="A14" s="25" t="str">
        <f aca="false">IF(D14="","",CALC!D41)</f>
        <v/>
      </c>
      <c r="B14" s="25" t="str">
        <f aca="false">IF(CALC!A41="","",CALC!A41)</f>
        <v/>
      </c>
      <c r="C14" s="25" t="str">
        <f aca="false">IF(B14="","",CALC!B41)</f>
        <v/>
      </c>
      <c r="D14" s="25" t="str">
        <f aca="false">IF(C14="","",CALC!C41)</f>
        <v/>
      </c>
      <c r="E14" s="55" t="str">
        <f aca="false">IF(A14="","",CALC!E41)</f>
        <v/>
      </c>
      <c r="F14" s="56" t="str">
        <f aca="false">IF(E14="","",CALC!F41)</f>
        <v/>
      </c>
    </row>
    <row r="15" customFormat="false" ht="15" hidden="false" customHeight="false" outlineLevel="0" collapsed="false">
      <c r="A15" s="25" t="str">
        <f aca="false">IF(D15="","",CALC!D42)</f>
        <v/>
      </c>
      <c r="B15" s="25" t="str">
        <f aca="false">IF(CALC!A42="","",CALC!A42)</f>
        <v/>
      </c>
      <c r="C15" s="25" t="str">
        <f aca="false">IF(B15="","",CALC!B42)</f>
        <v/>
      </c>
      <c r="D15" s="25" t="str">
        <f aca="false">IF(C15="","",CALC!C42)</f>
        <v/>
      </c>
      <c r="E15" s="55" t="str">
        <f aca="false">IF(A15="","",CALC!E42)</f>
        <v/>
      </c>
      <c r="F15" s="56" t="str">
        <f aca="false">IF(E15="","",CALC!F42)</f>
        <v/>
      </c>
    </row>
    <row r="16" customFormat="false" ht="15" hidden="false" customHeight="false" outlineLevel="0" collapsed="false">
      <c r="A16" s="25" t="str">
        <f aca="false">IF(D16="","",CALC!D43)</f>
        <v>Remit</v>
      </c>
      <c r="B16" s="25" t="n">
        <f aca="false">IF(CALC!A43="","",CALC!A43)</f>
        <v>44601.0</v>
      </c>
      <c r="C16" s="25" t="n">
        <f aca="false">IF(B16="","",CALC!B43)</f>
        <v>44598.0</v>
      </c>
      <c r="D16" s="25" t="str">
        <f aca="false">IF(C16="","",CALC!C43)</f>
        <v>IDHJ-EGNY</v>
      </c>
      <c r="E16" s="55" t="n">
        <f aca="false">IF(A16="","",CALC!E43)</f>
        <v>350.0</v>
      </c>
      <c r="F16" s="56" t="str">
        <f aca="false">IF(E16="","",CALC!F43)</f>
        <v>1.0</v>
      </c>
    </row>
    <row r="17" customFormat="false" ht="15" hidden="false" customHeight="false" outlineLevel="0" collapsed="false">
      <c r="A17" s="25" t="str">
        <f aca="false">IF(D17="","",CALC!D44)</f>
        <v>Remit</v>
      </c>
      <c r="B17" s="25" t="n">
        <f aca="false">IF(CALC!A44="","",CALC!A44)</f>
        <v>44601.0</v>
      </c>
      <c r="C17" s="25" t="n">
        <f aca="false">IF(B17="","",CALC!B44)</f>
        <v>44597.0</v>
      </c>
      <c r="D17" s="25" t="str">
        <f aca="false">IF(C17="","",CALC!C44)</f>
        <v>IDHJ-EGNY</v>
      </c>
      <c r="E17" s="55" t="n">
        <f aca="false">IF(A17="","",CALC!E44)</f>
        <v>275.0</v>
      </c>
      <c r="F17" s="56" t="str">
        <f aca="false">IF(E17="","",CALC!F44)</f>
        <v>1.0</v>
      </c>
    </row>
    <row r="18" customFormat="false" ht="15" hidden="false" customHeight="false" outlineLevel="0" collapsed="false">
      <c r="A18" s="25" t="str">
        <f aca="false">IF(D18="","",CALC!D45)</f>
        <v/>
      </c>
      <c r="B18" s="25" t="str">
        <f aca="false">IF(CALC!A45="","",CALC!A45)</f>
        <v/>
      </c>
      <c r="C18" s="25" t="str">
        <f aca="false">IF(B18="","",CALC!B45)</f>
        <v/>
      </c>
      <c r="D18" s="25" t="str">
        <f aca="false">IF(C18="","",CALC!C45)</f>
        <v/>
      </c>
      <c r="E18" s="55" t="str">
        <f aca="false">IF(A18="","",CALC!E45)</f>
        <v/>
      </c>
      <c r="F18" s="56" t="str">
        <f aca="false">IF(E18="","",CALC!F45)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Metadata/LabelInfo.xml><?xml version="1.0" encoding="utf-8"?>
<clbl:labelList xmlns:clbl="http://schemas.microsoft.com/office/2020/mipLabelMetadata">
  <clbl:label id="{f4c566ce-a3ce-4b10-b55b-1e9d56ad1b26}" enabled="0" method="" siteId="{f4c566ce-a3ce-4b10-b55b-1e9d56ad1b2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LibreOffice/25.2.4.3$Linux_X86_64 LibreOffice_project/520$Build-3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2025-02-05T13:36:13Z</dcterms:created>
  <dc:creator>Rafay Ahmed</dc:creator>
  <dc:language>en-US</dc:language>
  <dcterms:modified xsi:type="dcterms:W3CDTF">2025-07-10T13:07:09Z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