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<sst xmlns="http://schemas.openxmlformats.org/spreadsheetml/2006/main" count="280" uniqueCount="87">
  <si>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</si>
  <si>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</si>
  <si>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</si>
  <si>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</si>
  <si>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</si>
  <si>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</si>
  <si>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</si>
  <si>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</si>
  <si>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</si>
  <si>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</si>
  <si>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</si>
  <si>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</si>
  <si>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</si>
  <si>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</si>
  <si>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</si>
  <si>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</si>
  <si>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</si>
  <si>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</si>
  <si>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</si>
  <si>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</si>
  <si>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</si>
  <si>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</si>
  <si>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</si>
  <si>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</si>
  <si>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</si>
  <si>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</si>
  <si>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</si>
  <si>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</si>
  <si>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</si>
  <si>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</si>
  <si>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</si>
  <si>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</si>
  <si>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</si>
  <si>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</si>
  <si>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</si>
  <si>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</si>
  <si>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</si>
  <si>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</si>
  <si>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</si>
  <si>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</si>
  <si>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</si>
  <si>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</si>
  <si>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</si>
  <si>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</si>
  <si>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</si>
  <si>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</si>
  <si>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</si>
  <si>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</si>
  <si>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</si>
  <si>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</si>
  <si>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</si>
  <si>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</si>
  <si>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</si>
  <si>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</si>
  <si>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</si>
  <si>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</si>
  <si>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</si>
  <si>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</si>
  <si>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</si>
  <si>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</si>
  <si>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</si>
  <si>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</si>
  <si>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</si>
  <si>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</si>
  <si>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</si>
  <si>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</si>
  <si>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</si>
  <si>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</si>
  <si>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</si>
  <si>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</si>
  <si>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</si>
  <si>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</si>
  <si>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</si>
  <si>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</si>
  <si>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</si>
  <si>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</si>
  <si>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</si>
  <si>
    <t>IDHJ-EGNY</t>
  </si>
  <si>
    <t>REMIT</t>
  </si>
  <si>
    <t>1.0</t>
  </si>
  <si>
    <t>REMIT REVERSAL</t>
  </si>
  <si>
    <t>UNPAID PRINCIPAL BALANCE</t>
  </si>
  <si>
    <t>ACCRUED INTEREST RECEIVABLE</t>
  </si>
  <si>
    <t>ACTUAL_360</t>
  </si>
  <si>
    <t>2023-01-31</t>
  </si>
  <si>
    <t>10.0</t>
  </si>
  <si>
    <t>2022-01-31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</si>
</sst>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_);[Red]\(0.00\)"/>
    <numFmt numFmtId="166" formatCode="#,##0.0000_);[Red]\(#,##0.0000\)"/>
    <numFmt numFmtId="167" formatCode="0.0000_);[Red]\(0.0000\)"/>
    <numFmt numFmtId="168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bestFit="true" customWidth="true" width="9.7109375"/>
    <col min="3" max="3" bestFit="true" customWidth="true" width="11.42578125"/>
    <col min="4" max="4" bestFit="true" customWidth="true" width="8.0"/>
    <col min="5" max="5" bestFit="true" customWidth="true" width="10.28515625"/>
    <col min="6" max="6" bestFit="true" customWidth="true" width="8.5703125"/>
    <col min="8" max="8" bestFit="true" customWidth="true" width="10.85546875"/>
    <col min="9" max="9" bestFit="true" customWidth="true" width="9.28515625"/>
    <col min="13" max="13" customWidth="true" width="19.42578125"/>
    <col min="14" max="14" bestFit="true" customWidth="true" width="12.0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 t="n">
        <f>10/1200</f>
        <v>0.008333333333333333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 t="n">
        <f>N1/28</f>
        <v>2.976190476190475E-4</v>
      </c>
    </row>
    <row r="3" spans="1:14" x14ac:dyDescent="0.25">
      <c r="A3" s="25">
        <v>44592</v>
      </c>
      <c r="B3" s="25" t="n">
        <f>A3</f>
        <v>44592.0</v>
      </c>
      <c r="C3" s="13" t="s">
        <v>57</v>
      </c>
      <c r="D3" s="13" t="s">
        <v>53</v>
      </c>
      <c r="E3" s="26">
        <v>100000</v>
      </c>
      <c r="F3" s="13" t="s">
        <v>50</v>
      </c>
      <c r="H3" s="33" t="n">
        <f>E3</f>
        <v>100000.0</v>
      </c>
      <c r="I3" s="33">
        <v>0</v>
      </c>
    </row>
    <row r="4" spans="1:14" x14ac:dyDescent="0.25">
      <c r="A4" s="25">
        <v>44592</v>
      </c>
      <c r="B4" s="25" t="n">
        <f>A4</f>
        <v>44592.0</v>
      </c>
      <c r="C4" s="13" t="s">
        <v>57</v>
      </c>
      <c r="D4" s="13" t="s">
        <v>51</v>
      </c>
      <c r="E4" s="26">
        <v>100</v>
      </c>
      <c r="F4" s="13" t="s">
        <v>50</v>
      </c>
      <c r="H4" s="33" t="n">
        <f>E3</f>
        <v>100000.0</v>
      </c>
      <c r="I4" s="33" t="n">
        <f>E4</f>
        <v>100.0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 t="n">
        <f>H4*N2</f>
        <v>29.7619047619047</v>
      </c>
      <c r="F5" s="13" t="s">
        <v>50</v>
      </c>
      <c r="G5" s="49"/>
      <c r="H5" s="33" t="n">
        <f>H4</f>
        <v>100000.0</v>
      </c>
      <c r="I5" s="33" t="n">
        <f>I4+E5</f>
        <v>129.7619047619047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 t="n">
        <f>E5</f>
        <v>29.7619047619047</v>
      </c>
      <c r="F6" s="13" t="s">
        <v>50</v>
      </c>
      <c r="G6" s="49"/>
      <c r="H6" s="33" t="n">
        <f>H5</f>
        <v>100000.0</v>
      </c>
      <c r="I6" s="33" t="n">
        <f>E6+I5</f>
        <v>159.5238095238094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 t="n">
        <f>E6</f>
        <v>29.7619047619047</v>
      </c>
      <c r="F7" s="13" t="s">
        <v>50</v>
      </c>
      <c r="G7" s="49"/>
      <c r="H7" s="33" t="n">
        <f>H6</f>
        <v>100000.0</v>
      </c>
      <c r="I7" s="34" t="n">
        <f>I6+E7</f>
        <v>189.2857142857141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 t="n">
        <f>-E8-E10</f>
        <v>-10.714285714285893</v>
      </c>
      <c r="F9" s="13" t="s">
        <v>50</v>
      </c>
      <c r="G9" s="49"/>
      <c r="H9" s="33" t="n">
        <f>H7+E9</f>
        <v>99989.28571428571</v>
      </c>
      <c r="I9" s="33" t="n">
        <f>I7</f>
        <v>189.2857142857141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 t="n">
        <f>-I7</f>
        <v>-189.2857142857141</v>
      </c>
      <c r="F10" s="13" t="s">
        <v>50</v>
      </c>
      <c r="G10" s="49"/>
      <c r="H10" s="33" t="n">
        <f>H9</f>
        <v>99989.28571428571</v>
      </c>
      <c r="I10" s="33" t="n">
        <f>I9+E10</f>
        <v>0.0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 t="n">
        <f>ROUND(H10*N2,4)</f>
        <v>29.7587</v>
      </c>
      <c r="F11" s="13" t="s">
        <v>50</v>
      </c>
      <c r="G11" s="49"/>
      <c r="H11" s="33" t="n">
        <f>H10</f>
        <v>99989.28571428571</v>
      </c>
      <c r="I11" s="33" t="n">
        <f>E11</f>
        <v>29.7587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 t="n">
        <f>E11</f>
        <v>29.7587</v>
      </c>
      <c r="F12" s="13" t="s">
        <v>50</v>
      </c>
      <c r="G12" s="49"/>
      <c r="H12" s="33" t="n">
        <f>H11</f>
        <v>99989.28571428571</v>
      </c>
      <c r="I12" s="33" t="n">
        <f>I11+E12</f>
        <v>59.5174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 t="n">
        <f>-E13-E15</f>
        <v>-215.4826</v>
      </c>
      <c r="F14" s="13" t="s">
        <v>50</v>
      </c>
      <c r="H14" s="33" t="n">
        <f>H12+E14</f>
        <v>99773.8031142857</v>
      </c>
      <c r="I14" s="33" t="n">
        <f>I12</f>
        <v>59.5174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 t="n">
        <f>-I12</f>
        <v>-59.5174</v>
      </c>
      <c r="F15" s="13" t="s">
        <v>50</v>
      </c>
      <c r="H15" s="33" t="n">
        <f>H14</f>
        <v>99773.8031142857</v>
      </c>
      <c r="I15" s="33" t="n">
        <f>I14+E15</f>
        <v>0.0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 t="n">
        <f>ROUND(H15*$N$2,4)</f>
        <v>29.6946</v>
      </c>
      <c r="F16" s="13" t="s">
        <v>50</v>
      </c>
      <c r="G16" s="49"/>
      <c r="H16" s="33" t="n">
        <f>H15</f>
        <v>99773.8031142857</v>
      </c>
      <c r="I16" s="33" t="n">
        <f>I15+E16</f>
        <v>29.6946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 t="n">
        <f>-E17-E19</f>
        <v>-320.3054</v>
      </c>
      <c r="F18" s="13" t="s">
        <v>50</v>
      </c>
      <c r="H18" s="33" t="n">
        <f>H16+E18</f>
        <v>99453.49771428571</v>
      </c>
      <c r="I18" s="33" t="n">
        <f>I16</f>
        <v>29.6946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 t="n">
        <f>-I16</f>
        <v>-29.6946</v>
      </c>
      <c r="F19" s="13" t="s">
        <v>50</v>
      </c>
      <c r="H19" s="33" t="n">
        <f>H18</f>
        <v>99453.49771428571</v>
      </c>
      <c r="I19" s="33" t="n">
        <f>I18+E19</f>
        <v>0.0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 t="n">
        <f>ROUND(H19*N2,4)</f>
        <v>29.5993</v>
      </c>
      <c r="F20" s="13" t="s">
        <v>50</v>
      </c>
      <c r="G20" s="49"/>
      <c r="H20" s="33" t="n">
        <f>H19</f>
        <v>99453.49771428571</v>
      </c>
      <c r="I20" s="33" t="n">
        <f>I19+E20</f>
        <v>29.5993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 t="n">
        <f>E20</f>
        <v>29.5993</v>
      </c>
      <c r="F21" s="13" t="s">
        <v>50</v>
      </c>
      <c r="G21" s="49"/>
      <c r="H21" s="33" t="n">
        <f>H20</f>
        <v>99453.49771428571</v>
      </c>
      <c r="I21" s="33" t="n">
        <f>I20+E21</f>
        <v>59.1986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 t="n">
        <f>-E7</f>
        <v>-29.7619047619047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 t="n">
        <f>-E8</f>
        <v>-200.0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 t="n">
        <f t="shared" ref="E25:E37" si="0">-E9</f>
        <v>10.714285714285893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 t="n">
        <f t="shared" si="0"/>
        <v>189.2857142857141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 t="n">
        <f t="shared" si="0"/>
        <v>-29.7587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 t="n">
        <f t="shared" si="0"/>
        <v>-29.7587</v>
      </c>
      <c r="F28" s="28" t="s">
        <v>56</v>
      </c>
      <c r="H28" s="33"/>
      <c r="I28" s="33"/>
    </row>
    <row r="29" spans="1:9" x14ac:dyDescent="0.25">
      <c r="A29" s="27" t="n">
        <f>A28</f>
        <v>44601.0</v>
      </c>
      <c r="B29" s="27">
        <v>44597</v>
      </c>
      <c r="C29" s="28" t="s">
        <v>3</v>
      </c>
      <c r="D29" s="28"/>
      <c r="E29" s="29" t="n">
        <f t="shared" si="0"/>
        <v>-275.0</v>
      </c>
      <c r="F29" s="28" t="s">
        <v>56</v>
      </c>
      <c r="H29" s="33"/>
      <c r="I29" s="33"/>
    </row>
    <row r="30" spans="1:9" x14ac:dyDescent="0.25">
      <c r="A30" s="27" t="n">
        <f>A29</f>
        <v>44601.0</v>
      </c>
      <c r="B30" s="27">
        <v>44597</v>
      </c>
      <c r="C30" s="28" t="s">
        <v>52</v>
      </c>
      <c r="D30" s="28" t="s">
        <v>53</v>
      </c>
      <c r="E30" s="29" t="n">
        <f t="shared" si="0"/>
        <v>215.4826</v>
      </c>
      <c r="F30" s="28" t="s">
        <v>56</v>
      </c>
      <c r="H30" s="33"/>
      <c r="I30" s="33"/>
    </row>
    <row r="31" spans="1:9" x14ac:dyDescent="0.25">
      <c r="A31" s="27" t="n">
        <f>A30</f>
        <v>44601.0</v>
      </c>
      <c r="B31" s="27">
        <v>44597</v>
      </c>
      <c r="C31" s="28" t="s">
        <v>52</v>
      </c>
      <c r="D31" s="28" t="s">
        <v>51</v>
      </c>
      <c r="E31" s="29" t="n">
        <f t="shared" si="0"/>
        <v>59.5174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 t="n">
        <f t="shared" si="0"/>
        <v>-29.6946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 t="n">
        <f t="shared" si="0"/>
        <v>-350.0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 t="n">
        <f t="shared" si="0"/>
        <v>320.3054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 t="n">
        <f t="shared" si="0"/>
        <v>29.6946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 t="n">
        <f t="shared" si="0"/>
        <v>-29.5993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 t="n">
        <f t="shared" si="0"/>
        <v>-29.5993</v>
      </c>
      <c r="F37" s="28" t="s">
        <v>56</v>
      </c>
      <c r="H37" s="33" t="n">
        <f>H21+E25+E34+E30</f>
        <v>100000.0</v>
      </c>
      <c r="I37" s="34" t="n">
        <f>I21+E26+E27+E28+E32+E35+E36+E37+E31+E22</f>
        <v>159.5238095238094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 t="n">
        <f>E39</f>
        <v>29.7619047619047</v>
      </c>
      <c r="F38" s="31" t="s">
        <v>54</v>
      </c>
      <c r="H38" s="33" t="n">
        <f>H37</f>
        <v>100000.0</v>
      </c>
      <c r="I38" s="34" t="n">
        <f>I37+E38</f>
        <v>189.2857142857141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 t="n">
        <f>H37*N2</f>
        <v>29.7619047619047</v>
      </c>
      <c r="F39" s="31" t="s">
        <v>54</v>
      </c>
      <c r="H39" s="33" t="n">
        <f>H37</f>
        <v>100000.0</v>
      </c>
      <c r="I39" s="34" t="n">
        <f>I38+E39</f>
        <v>219.0476190476188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 t="n">
        <f>E39</f>
        <v>29.7619047619047</v>
      </c>
      <c r="F40" s="31" t="s">
        <v>54</v>
      </c>
      <c r="H40" s="33" t="n">
        <f>H39</f>
        <v>100000.0</v>
      </c>
      <c r="I40" s="34" t="n">
        <f>I39+E40</f>
        <v>248.8095238095235</v>
      </c>
    </row>
    <row r="41" spans="1:22" x14ac:dyDescent="0.25">
      <c r="A41" s="30" t="n">
        <f>A40</f>
        <v>44601.0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 t="n">
        <f t="shared" ref="A42:A43" si="1">A41</f>
        <v>44601.0</v>
      </c>
      <c r="B42" s="30">
        <v>44597</v>
      </c>
      <c r="C42" s="31" t="s">
        <v>52</v>
      </c>
      <c r="D42" s="31" t="s">
        <v>53</v>
      </c>
      <c r="E42" s="32" t="n">
        <f>-E41-E43</f>
        <v>-26.19047619047649</v>
      </c>
      <c r="F42" s="31" t="s">
        <v>54</v>
      </c>
      <c r="H42" s="33" t="n">
        <f>H40+E42</f>
        <v>99973.80952380953</v>
      </c>
      <c r="I42" s="33" t="n">
        <f>I40</f>
        <v>248.8095238095235</v>
      </c>
    </row>
    <row r="43" spans="1:22" x14ac:dyDescent="0.25">
      <c r="A43" s="30" t="n">
        <f t="shared" si="1"/>
        <v>44601.0</v>
      </c>
      <c r="B43" s="30">
        <v>44597</v>
      </c>
      <c r="C43" s="31" t="s">
        <v>52</v>
      </c>
      <c r="D43" s="31" t="s">
        <v>51</v>
      </c>
      <c r="E43" s="32" t="n">
        <f>-I40</f>
        <v>-248.8095238095235</v>
      </c>
      <c r="F43" s="31" t="s">
        <v>54</v>
      </c>
      <c r="H43" s="33" t="n">
        <f>H42</f>
        <v>99973.80952380953</v>
      </c>
      <c r="I43" s="33" t="n">
        <f>I42+E43</f>
        <v>0.0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 t="n">
        <f>ROUND(H43*$N$2,4)</f>
        <v>29.7541</v>
      </c>
      <c r="F44" s="31" t="s">
        <v>54</v>
      </c>
      <c r="H44" s="33" t="n">
        <f>H43</f>
        <v>99973.80952380953</v>
      </c>
      <c r="I44" s="33" t="n">
        <f>I43+E44</f>
        <v>29.7541</v>
      </c>
      <c r="S44" s="3">
        <v>44601</v>
      </c>
      <c r="T44" s="3" t="n">
        <f>B23</f>
        <v>44595.0</v>
      </c>
      <c r="U44" s="48" t="n">
        <f>E23</f>
        <v>-200.0</v>
      </c>
      <c r="V44" t="s" s="0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 t="n">
        <f>E17</f>
        <v>350.0</v>
      </c>
      <c r="F45" s="31" t="s">
        <v>54</v>
      </c>
      <c r="H45" s="33"/>
      <c r="I45" s="33"/>
      <c r="S45" s="3">
        <v>44601</v>
      </c>
      <c r="T45" s="3" t="n">
        <f>B29</f>
        <v>44597.0</v>
      </c>
      <c r="U45" s="48" t="n">
        <f>E29</f>
        <v>-275.0</v>
      </c>
      <c r="V45" t="s" s="0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 t="n">
        <f>-E45-E47</f>
        <v>-320.2459</v>
      </c>
      <c r="F46" s="31" t="s">
        <v>54</v>
      </c>
      <c r="H46" s="33" t="n">
        <f>H44+E46</f>
        <v>99653.56362380953</v>
      </c>
      <c r="I46" s="33"/>
      <c r="S46" s="3">
        <v>44601</v>
      </c>
      <c r="T46" s="3" t="n">
        <f>B33</f>
        <v>44598.0</v>
      </c>
      <c r="U46" s="48" t="n">
        <f>E33</f>
        <v>-350.0</v>
      </c>
      <c r="V46" t="s" s="0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 t="n">
        <f>-I44</f>
        <v>-29.7541</v>
      </c>
      <c r="F47" s="31" t="s">
        <v>54</v>
      </c>
      <c r="H47" s="33" t="n">
        <f>H46</f>
        <v>99653.56362380953</v>
      </c>
      <c r="I47" s="33" t="n">
        <f>I44+E47</f>
        <v>0.0</v>
      </c>
      <c r="S47" s="3">
        <v>44601</v>
      </c>
      <c r="T47" s="3" t="n">
        <f>B51</f>
        <v>44601.0</v>
      </c>
      <c r="U47" s="48" t="n">
        <f>E51</f>
        <v>100.0</v>
      </c>
      <c r="V47" t="s" s="0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 t="n">
        <f>H48*N2</f>
        <v>29.65879869756229</v>
      </c>
      <c r="F48" s="31" t="s">
        <v>54</v>
      </c>
      <c r="H48" s="33" t="n">
        <f>H47</f>
        <v>99653.56362380953</v>
      </c>
      <c r="I48" s="33" t="n">
        <f>I47+E48</f>
        <v>29.65879869756229</v>
      </c>
      <c r="K48" s="30">
        <v>44601</v>
      </c>
      <c r="L48" s="30" t="n">
        <f>B40</f>
        <v>44597.0</v>
      </c>
      <c r="M48" s="35" t="s">
        <v>66</v>
      </c>
      <c r="N48" s="36" t="n">
        <f>SUM(E38:E40)</f>
        <v>89.28571428571409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 t="n">
        <f>E48</f>
        <v>29.65879869756229</v>
      </c>
      <c r="F49" s="31" t="s">
        <v>54</v>
      </c>
      <c r="H49" s="33" t="n">
        <f>H48</f>
        <v>99653.56362380953</v>
      </c>
      <c r="I49" s="33" t="n">
        <f>I48+E49</f>
        <v>59.31759739512458</v>
      </c>
      <c r="K49" s="30">
        <v>44601</v>
      </c>
      <c r="L49" s="30" t="n">
        <f>B44</f>
        <v>44598.0</v>
      </c>
      <c r="M49" s="35" t="s">
        <v>66</v>
      </c>
      <c r="N49" s="48" t="n">
        <f>SUM(E44)</f>
        <v>29.7541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 t="n">
        <f>E49</f>
        <v>29.65879869756229</v>
      </c>
      <c r="F50" s="31" t="s">
        <v>54</v>
      </c>
      <c r="H50" s="33" t="n">
        <f>H49</f>
        <v>99653.56362380953</v>
      </c>
      <c r="I50" s="33" t="n">
        <f>I49+E50</f>
        <v>88.97639609268687</v>
      </c>
      <c r="K50" s="30">
        <v>44601</v>
      </c>
      <c r="L50" s="3" t="n">
        <f>B50</f>
        <v>44601.0</v>
      </c>
      <c r="M50" s="35" t="s">
        <v>66</v>
      </c>
      <c r="N50" s="48" t="n">
        <f>SUM(E48:E50)</f>
        <v>88.97639609268687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 t="n">
        <f>B43</f>
        <v>44597.0</v>
      </c>
      <c r="M51" s="35" t="s">
        <v>67</v>
      </c>
      <c r="N51" s="48" t="n">
        <f>E43</f>
        <v>-248.8095238095235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 t="n">
        <f>-E51-E53</f>
        <v>-11.023600000000002</v>
      </c>
      <c r="F52" s="38" t="s">
        <v>50</v>
      </c>
      <c r="H52" s="33" t="n">
        <f>H50+E52</f>
        <v>99642.54002380953</v>
      </c>
      <c r="I52" s="33" t="n">
        <f>I50</f>
        <v>88.97639609268687</v>
      </c>
      <c r="K52" s="30">
        <v>44601</v>
      </c>
      <c r="L52" s="3" t="n">
        <f>B47</f>
        <v>44598.0</v>
      </c>
      <c r="M52" s="35" t="s">
        <v>67</v>
      </c>
      <c r="N52" s="48" t="n">
        <f>E47</f>
        <v>-29.7541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 t="n">
        <f>-ROUND(I50,4)</f>
        <v>-88.9764</v>
      </c>
      <c r="F53" s="38" t="s">
        <v>50</v>
      </c>
      <c r="H53" s="33" t="n">
        <f>H52</f>
        <v>99642.54002380953</v>
      </c>
      <c r="I53" s="33" t="n">
        <f>I52+E53</f>
        <v>-3.907313129047907E-6</v>
      </c>
      <c r="K53" s="30">
        <v>44601</v>
      </c>
      <c r="L53" s="30">
        <v>44601</v>
      </c>
      <c r="M53" s="35" t="s">
        <v>67</v>
      </c>
      <c r="N53" s="36" t="n">
        <f>E53</f>
        <v>-88.9764</v>
      </c>
    </row>
    <row r="54" spans="1:14" x14ac:dyDescent="0.25">
      <c r="K54" s="30">
        <v>44601</v>
      </c>
      <c r="L54" s="3" t="n">
        <f>L51</f>
        <v>44597.0</v>
      </c>
      <c r="M54" s="35" t="s">
        <v>68</v>
      </c>
      <c r="N54" s="48" t="n">
        <f>E42</f>
        <v>-26.19047619047649</v>
      </c>
    </row>
    <row r="55" spans="1:14" x14ac:dyDescent="0.25">
      <c r="H55" s="48"/>
      <c r="K55" s="30">
        <v>44601</v>
      </c>
      <c r="L55" s="3" t="n">
        <f>L52</f>
        <v>44598.0</v>
      </c>
      <c r="M55" s="35" t="s">
        <v>68</v>
      </c>
      <c r="N55" s="48" t="n">
        <f>E46</f>
        <v>-320.2459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 t="n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C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customWidth="true" style="2" width="55.5703125"/>
    <col min="2" max="2" customWidth="true" style="2" width="32.140625"/>
    <col min="3" max="3" customWidth="true" style="2" width="41.42578125"/>
    <col min="4" max="16384" style="2" width="8.7109375"/>
  </cols>
  <sheetData>
    <row r="1" spans="1:5" x14ac:dyDescent="0.25">
      <c r="A1" s="1" t="s">
        <v>4</v>
      </c>
      <c r="B1" s="10" t="s">
        <v>72</v>
      </c>
      <c r="C1" s="10" t="s">
        <v>41</v>
      </c>
    </row>
    <row r="2">
      <c r="A2" t="n" s="71">
        <v>44601.0</v>
      </c>
      <c r="B2" t="n" s="70">
        <v>44600.0</v>
      </c>
      <c r="C2" t="n" s="69">
        <v>44595.0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customWidth="true" style="2" width="35.0"/>
    <col min="2" max="2" customWidth="true" style="2" width="18.140625"/>
    <col min="3" max="3" customWidth="true" style="2" width="17.0"/>
    <col min="4" max="4" customWidth="true" style="2" width="14.28515625"/>
    <col min="5" max="5" customWidth="true" style="2" width="12.42578125"/>
    <col min="6" max="16384" style="2" width="8.7109375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>
      <c r="A2" t="s" s="2">
        <v>78</v>
      </c>
      <c r="B2" t="n">
        <v>2.0220209E7</v>
      </c>
      <c r="C2" t="n" s="63">
        <v>44601.0</v>
      </c>
      <c r="D2" t="s">
        <v>77</v>
      </c>
      <c r="E2" t="s">
        <v>79</v>
      </c>
      <c r="F2" t="n">
        <v>100.0</v>
      </c>
    </row>
    <row r="3">
      <c r="A3" t="s" s="2">
        <v>78</v>
      </c>
      <c r="B3" t="n">
        <v>2.0220209E7</v>
      </c>
      <c r="C3" t="n" s="64">
        <v>44598.0</v>
      </c>
      <c r="D3" t="s">
        <v>77</v>
      </c>
      <c r="E3" t="s">
        <v>79</v>
      </c>
      <c r="F3" t="n">
        <v>-350.0</v>
      </c>
    </row>
    <row r="4">
      <c r="A4" t="s" s="2">
        <v>78</v>
      </c>
      <c r="B4" t="n">
        <v>2.0220209E7</v>
      </c>
      <c r="C4" t="n" s="65">
        <v>44597.0</v>
      </c>
      <c r="D4" t="s">
        <v>77</v>
      </c>
      <c r="E4" t="s">
        <v>79</v>
      </c>
      <c r="F4" t="n">
        <v>-275.0</v>
      </c>
    </row>
    <row r="5">
      <c r="A5" t="s" s="2">
        <v>78</v>
      </c>
      <c r="B5" t="n">
        <v>2.0220209E7</v>
      </c>
      <c r="C5" t="n" s="66">
        <v>44595.0</v>
      </c>
      <c r="D5" t="s">
        <v>77</v>
      </c>
      <c r="E5" t="s">
        <v>79</v>
      </c>
      <c r="F5" t="n">
        <v>-200.0</v>
      </c>
    </row>
    <row r="6">
      <c r="A6" t="s" s="2">
        <v>80</v>
      </c>
      <c r="B6" t="n">
        <v>2.0220209E7</v>
      </c>
      <c r="C6" t="n" s="67">
        <v>44595.0</v>
      </c>
      <c r="D6" t="s">
        <v>77</v>
      </c>
      <c r="E6" t="s">
        <v>79</v>
      </c>
      <c r="F6" t="n">
        <v>200.0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bestFit="true" customWidth="true" style="2" width="24.42578125"/>
    <col min="2" max="2" bestFit="true" customWidth="true" style="2" width="11.7109375"/>
    <col min="3" max="3" bestFit="true" customWidth="true" style="2" width="13.140625"/>
    <col min="4" max="4" bestFit="true" customWidth="true" style="2" width="12.5703125"/>
    <col min="5" max="5" bestFit="true" customWidth="true" style="2" width="11.0"/>
    <col min="6" max="6" bestFit="true" customWidth="true" style="2" width="26.140625"/>
    <col min="7" max="7" bestFit="true" customWidth="true" style="2" width="30.0"/>
    <col min="8" max="8" bestFit="true" customWidth="true" style="2" width="27.7109375"/>
    <col min="9" max="9" bestFit="true" customWidth="true" style="2" width="26.42578125"/>
    <col min="10" max="10" bestFit="true" customWidth="true" style="2" width="38.5703125"/>
    <col min="11" max="12" bestFit="true" customWidth="true" style="2" width="12.0"/>
    <col min="13" max="16384" style="2" width="8.7109375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>
      <c r="B2" t="n" s="2">
        <v>2.0220131E7</v>
      </c>
      <c r="C2" t="n" s="68">
        <v>44592.020833333336</v>
      </c>
      <c r="D2" t="s">
        <v>77</v>
      </c>
      <c r="E2" t="s">
        <v>79</v>
      </c>
      <c r="F2" t="s">
        <v>85</v>
      </c>
      <c r="G2" t="s">
        <v>83</v>
      </c>
      <c r="H2" t="s">
        <v>84</v>
      </c>
      <c r="I2" t="s">
        <v>86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bestFit="true" customWidth="true" style="2" width="11.7109375"/>
    <col min="2" max="2" bestFit="true" customWidth="true" style="2" width="15.42578125"/>
    <col min="3" max="3" bestFit="true" customWidth="true" style="2" width="12.7109375"/>
    <col min="4" max="4" customWidth="true" style="2" width="25.0"/>
    <col min="5" max="5" bestFit="true" customWidth="true" style="2" width="15.140625"/>
    <col min="6" max="6" bestFit="true" customWidth="true" style="2" width="19.42578125"/>
    <col min="7" max="7" bestFit="true" customWidth="true" style="2" width="24.0"/>
    <col min="8" max="8" bestFit="true" customWidth="true" style="2" width="22.7109375"/>
    <col min="9" max="9" bestFit="true" customWidth="true" style="2" width="19.85546875"/>
    <col min="10" max="10" bestFit="true" customWidth="true" style="2" width="22.42578125"/>
    <col min="11" max="12" bestFit="true" customWidth="true" style="2" width="14.7109375"/>
    <col min="13" max="13" bestFit="true" customWidth="true" style="2" width="23.7109375"/>
    <col min="14" max="16384" style="2" width="8.7109375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 t="n">
        <f>i_InstrumentAttribute!C2</f>
        <v>44592.020833333336</v>
      </c>
      <c r="H3" s="60" t="s">
        <v>69</v>
      </c>
      <c r="I3" s="61"/>
      <c r="J3" s="62"/>
      <c r="K3" s="8"/>
    </row>
    <row r="4" spans="1:14" x14ac:dyDescent="0.25">
      <c r="A4" s="24" t="n">
        <f>B21</f>
        <v>44601.0</v>
      </c>
      <c r="B4" s="45" t="n">
        <f>IFERROR(B5-H21,B5)</f>
        <v>99624.69129999999</v>
      </c>
      <c r="C4" s="45" t="n">
        <f>IF(IFERROR(E21-G21,"")="",C5,E21-G21)</f>
        <v>0.0</v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n">
        <f>B22</f>
        <v>44598.0</v>
      </c>
      <c r="B5" s="45" t="n">
        <f>IFERROR(B6-H22,B6)</f>
        <v>99641.65669999999</v>
      </c>
      <c r="C5" s="45" t="n">
        <f>IF(IFERROR(E22-G22,"")="",C6,E22-G22)</f>
        <v>0.0</v>
      </c>
      <c r="F5" s="8"/>
      <c r="H5" s="4" t="n">
        <f>SUM(F21:F24)</f>
        <v>725.0</v>
      </c>
      <c r="I5" s="47" t="n">
        <f>SUM(E34:E41)</f>
        <v>-725.0</v>
      </c>
      <c r="J5" s="4" t="n">
        <f>H5+I5</f>
        <v>0.0</v>
      </c>
    </row>
    <row r="6" spans="1:14" x14ac:dyDescent="0.25">
      <c r="A6" s="9" t="n">
        <f>B23</f>
        <v>44597.0</v>
      </c>
      <c r="B6" s="45" t="n">
        <f>IFERROR(B7-H23,B7)</f>
        <v>99963.889</v>
      </c>
      <c r="C6" s="45" t="n">
        <f>IF(IFERROR(E23-G23,"")="",C7,E23-G23)</f>
        <v>0.0</v>
      </c>
      <c r="G6" s="8"/>
      <c r="H6" s="8"/>
      <c r="I6" s="8"/>
      <c r="J6" s="8"/>
    </row>
    <row r="7" spans="1:14" x14ac:dyDescent="0.25">
      <c r="A7" s="9" t="n">
        <f>IF(i_ExecutionDate!C2="",i_ExecutionDate!B2,i_ExecutionDate!C2)</f>
        <v>44595.0</v>
      </c>
      <c r="B7" s="45" t="n">
        <f>IFERROR(B8-H24,B8)</f>
        <v>100000.0</v>
      </c>
      <c r="C7" s="45" t="n">
        <f>IF(IFERROR(E24-G24,"")="",C8,E24-G24)</f>
        <v>155.5556</v>
      </c>
      <c r="H7" s="8"/>
      <c r="I7" s="8"/>
      <c r="J7" s="8"/>
    </row>
    <row r="8" spans="1:14" ht="45" x14ac:dyDescent="0.25">
      <c r="A8" s="42" t="s">
        <v>75</v>
      </c>
      <c r="B8" s="45" t="n">
        <f>IF(i_Metric!G2="","",i_Metric!G2)</f>
        <v>100000.0</v>
      </c>
      <c r="C8" s="45" t="n">
        <f>IF(i_Metric!G3="","",i_Metric!G3)</f>
        <v>155.5556</v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n">
        <f>IF(i_ExecutionDate!A2="","",i_ExecutionDate!A2)</f>
        <v>44601.0</v>
      </c>
      <c r="B12" s="40" t="n">
        <f>A12</f>
        <v>44601.0</v>
      </c>
      <c r="C12" s="4" t="str">
        <f t="shared" ref="C12:F12" si="0">C13</f>
        <v>IDHJ-EGNY</v>
      </c>
      <c r="D12" s="17" t="str">
        <f t="shared" si="0"/>
        <v>1.0</v>
      </c>
      <c r="E12" s="4" t="str">
        <f t="shared" si="0"/>
        <v>ACTUAL_360</v>
      </c>
      <c r="F12" s="4" t="str">
        <f t="shared" si="0"/>
        <v>10.0</v>
      </c>
      <c r="G12" s="4" t="n">
        <f>IFERROR(IF(EDATE($F$3,INT(YEARFRAC($F$3,B12)*12))&gt;=B12,EDATE($F$3,INT(YEARFRAC($F$3,B12)*12))-EDATE($F$3,INT(YEARFRAC($F$3,B12)*12)-1),EDATE($F$3,INT(YEARFRAC($F$3,B12)*12)+1)-EDATE($F$3,INT(YEARFRAC($F$3,B12)*12))),"")</f>
        <v>28.0</v>
      </c>
      <c r="H12" s="4" t="n">
        <f t="shared" ref="H12" si="1">IFERROR(IF(E12="Actual_360",F12*G12/36000,IF(E12="Actual_365",F12*G12/36500,F12*30/36000)),"")</f>
        <v>0.0077777777777777776</v>
      </c>
      <c r="I12" s="4" t="n">
        <f>IFERROR(H12/G12,"")</f>
        <v>2.7777777777777783E-4</v>
      </c>
      <c r="J12" s="51" t="n">
        <f>IFERROR(ROUND(I12*B4,4),"")</f>
        <v>27.6735</v>
      </c>
      <c r="K12" s="9" t="n">
        <f>IF(J12="","",B12)</f>
        <v>44601.0</v>
      </c>
      <c r="L12" s="4" t="n">
        <f>IFERROR(B12-B13,1)</f>
        <v>0.0</v>
      </c>
      <c r="M12" s="45" t="n">
        <f t="shared" ref="M12" si="2">IFERROR(J12*L12,0)</f>
        <v>0.0</v>
      </c>
      <c r="N12" s="2" t="s">
        <v>73</v>
      </c>
    </row>
    <row r="13" spans="1:14" x14ac:dyDescent="0.25">
      <c r="A13" s="9" t="n">
        <f>IF(i_ExecutionDate!A2="","",i_ExecutionDate!A2)</f>
        <v>44601.0</v>
      </c>
      <c r="B13" s="9" t="n">
        <f>IF(i_Transaction!C2="",B14,i_Transaction!C2)</f>
        <v>44601.0</v>
      </c>
      <c r="C13" s="4" t="str">
        <f>C14</f>
        <v>IDHJ-EGNY</v>
      </c>
      <c r="D13" s="17" t="str">
        <f>D14</f>
        <v>1.0</v>
      </c>
      <c r="E13" s="4" t="str">
        <f>E14</f>
        <v>ACTUAL_360</v>
      </c>
      <c r="F13" s="4" t="str">
        <f>F14</f>
        <v>10.0</v>
      </c>
      <c r="G13" s="4" t="n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>28.0</v>
      </c>
      <c r="H13" s="4" t="n">
        <f t="shared" ref="H13:H15" si="4">IFERROR(IF(E13="Actual_360",F13*G13/36000,IF(E13="Actual_365",F13*G13/36500,F13*30/36000)),"")</f>
        <v>0.0077777777777777776</v>
      </c>
      <c r="I13" s="4" t="n">
        <f>IFERROR(H13/G13,"")</f>
        <v>2.7777777777777783E-4</v>
      </c>
      <c r="J13" s="51" t="n">
        <f>IFERROR(ROUND(I13*B5,4),"")</f>
        <v>27.6782</v>
      </c>
      <c r="K13" s="9" t="n">
        <f>IF(J13="","",B13)</f>
        <v>44601.0</v>
      </c>
      <c r="L13" s="4" t="n">
        <f>IFERROR(B13-B14,1)</f>
        <v>3.0</v>
      </c>
      <c r="M13" s="45" t="n">
        <f t="shared" ref="M13:M15" si="5">IFERROR(J13*L13,0)</f>
        <v>83.0346</v>
      </c>
    </row>
    <row r="14" spans="1:14" x14ac:dyDescent="0.25">
      <c r="A14" s="9" t="n">
        <f>IF(B14="","",$A$13)</f>
        <v>44601.0</v>
      </c>
      <c r="B14" s="9" t="n">
        <f>IF(i_Transaction!C3="",B15,i_Transaction!C3)</f>
        <v>44598.0</v>
      </c>
      <c r="C14" s="18" t="str">
        <f t="shared" ref="C14:F15" si="6">C15</f>
        <v>IDHJ-EGNY</v>
      </c>
      <c r="D14" s="17" t="str">
        <f t="shared" si="6"/>
        <v>1.0</v>
      </c>
      <c r="E14" s="4" t="str">
        <f t="shared" si="6"/>
        <v>ACTUAL_360</v>
      </c>
      <c r="F14" s="4" t="str">
        <f t="shared" si="6"/>
        <v>10.0</v>
      </c>
      <c r="G14" s="4" t="n">
        <f t="shared" si="3"/>
        <v>28.0</v>
      </c>
      <c r="H14" s="4" t="n">
        <f t="shared" si="4"/>
        <v>0.0077777777777777776</v>
      </c>
      <c r="I14" s="4" t="n">
        <f>IFERROR(H14/G14,"")</f>
        <v>2.7777777777777783E-4</v>
      </c>
      <c r="J14" s="51" t="n">
        <f>IFERROR(ROUND(I14*B6,4),"")</f>
        <v>27.7677</v>
      </c>
      <c r="K14" s="9" t="n">
        <f>IF(J14="","",B14)</f>
        <v>44598.0</v>
      </c>
      <c r="L14" s="4" t="n">
        <f>IFERROR(B14-B15,1)</f>
        <v>1.0</v>
      </c>
      <c r="M14" s="45" t="n">
        <f t="shared" si="5"/>
        <v>27.7677</v>
      </c>
    </row>
    <row r="15" spans="1:14" x14ac:dyDescent="0.25">
      <c r="A15" s="9" t="n">
        <f>IF(B15="","",$A$13)</f>
        <v>44601.0</v>
      </c>
      <c r="B15" s="9" t="n">
        <f>IF(i_Transaction!C4="",B16,i_Transaction!C4)</f>
        <v>44597.0</v>
      </c>
      <c r="C15" s="18" t="str">
        <f t="shared" si="6"/>
        <v>IDHJ-EGNY</v>
      </c>
      <c r="D15" s="17" t="str">
        <f t="shared" si="6"/>
        <v>1.0</v>
      </c>
      <c r="E15" s="4" t="str">
        <f t="shared" si="6"/>
        <v>ACTUAL_360</v>
      </c>
      <c r="F15" s="4" t="str">
        <f t="shared" si="6"/>
        <v>10.0</v>
      </c>
      <c r="G15" s="4" t="n">
        <f t="shared" si="3"/>
        <v>28.0</v>
      </c>
      <c r="H15" s="4" t="n">
        <f t="shared" si="4"/>
        <v>0.0077777777777777776</v>
      </c>
      <c r="I15" s="4" t="n">
        <f>IFERROR(H15/G15,"")</f>
        <v>2.7777777777777783E-4</v>
      </c>
      <c r="J15" s="51" t="n">
        <f>IFERROR(ROUND(I15*B7,4),"")</f>
        <v>27.7778</v>
      </c>
      <c r="K15" s="9" t="n">
        <f>IF(J15="","",B15)</f>
        <v>44597.0</v>
      </c>
      <c r="L15" s="4" t="n">
        <f>IFERROR(B15-B16,1)</f>
        <v>2.0</v>
      </c>
      <c r="M15" s="45" t="n">
        <f t="shared" si="5"/>
        <v>55.5556</v>
      </c>
      <c r="N15" s="54"/>
    </row>
    <row r="16" spans="1:14" x14ac:dyDescent="0.25">
      <c r="A16" s="9" t="n">
        <f>IF(B16="","",$A$13)</f>
        <v>44601.0</v>
      </c>
      <c r="B16" s="9" t="n">
        <f>IF(i_ExecutionDate!A2=CALC!F3,CALC!F3,IF(i_ExecutionDate!B2="",i_ExecutionDate!A2-1,MIN(i_ExecutionDate!B2,i_ExecutionDate!C2)))</f>
        <v>44595.0</v>
      </c>
      <c r="C16" s="18" t="str">
        <f>IF(i_InstrumentAttribute!D2="","",i_InstrumentAttribute!D2)</f>
        <v>IDHJ-EGNY</v>
      </c>
      <c r="D16" s="17" t="str">
        <f>IF(i_InstrumentAttribute!E2="","",i_InstrumentAttribute!E2)</f>
        <v>1.0</v>
      </c>
      <c r="E16" s="4" t="str">
        <f>IF(i_InstrumentAttribute!G2="","",i_InstrumentAttribute!G2)</f>
        <v>ACTUAL_360</v>
      </c>
      <c r="F16" s="4" t="str">
        <f>IF(i_InstrumentAttribute!F2="","",i_InstrumentAttribute!F2)</f>
        <v>10.0</v>
      </c>
      <c r="G16" s="4" t="n">
        <f t="shared" si="3"/>
        <v>28.0</v>
      </c>
      <c r="H16" s="4" t="n">
        <f>IFERROR(IF(E16="Actual_360",F16*G16/36000,IF(E16="Actual_365",F16*G16/36500,F16*30/36000)),"")</f>
        <v>0.0077777777777777776</v>
      </c>
      <c r="I16" s="4" t="n">
        <f>IFERROR(H16/G16,"")</f>
        <v>2.7777777777777783E-4</v>
      </c>
      <c r="J16" s="51" t="n">
        <f>IFERROR(ROUND(I16*B7,4),"")</f>
        <v>27.7778</v>
      </c>
      <c r="K16" s="9" t="n">
        <f>IF(J16="","",B16)</f>
        <v>44595.0</v>
      </c>
      <c r="L16" s="4" t="n">
        <f>IF(L15=0,0,1)</f>
        <v>1.0</v>
      </c>
      <c r="M16" s="45" t="n">
        <f>IFERROR(J16*L16,0)</f>
        <v>27.7778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n">
        <f>IF(i_Transaction!B2="","",i_Transaction!B2)</f>
        <v>2.0220209E7</v>
      </c>
      <c r="B21" s="9" t="n">
        <f>IF(i_Transaction!C2="","",i_Transaction!C2)</f>
        <v>44601.0</v>
      </c>
      <c r="C21" s="18" t="str">
        <f>IF(i_Transaction!D2="","",i_Transaction!D2)</f>
        <v>IDHJ-EGNY</v>
      </c>
      <c r="D21" s="17" t="str">
        <f>IF(i_Transaction!E2="","",i_Transaction!E2)</f>
        <v>1.0</v>
      </c>
      <c r="E21" s="46" t="n">
        <f>C5+M13</f>
        <v>83.0346</v>
      </c>
      <c r="F21" s="45" t="n">
        <f>IF(B21&lt;&gt;$B$16,IF(i_Transaction!F2="",0,ABS(i_Transaction!F2)),IF(i_Transaction!F2="",0,ABS(i_Transaction!F2)-i_Transaction!$F$6))</f>
        <v>100.0</v>
      </c>
      <c r="G21" s="45" t="n">
        <f>IFERROR(IF(F21="",0,(ROUND(IF(E21&gt;F21,F21,E21),4))),0)</f>
        <v>83.0346</v>
      </c>
      <c r="H21" s="45" t="n">
        <f>IFERROR(IF(F21-G21=0,0,ROUND(F21-G21,4)),0)</f>
        <v>16.9654</v>
      </c>
      <c r="I21" s="45" t="str">
        <f>IF(i_Transaction!F2="","",IF(AND(i_Transaction!F2&lt;=0,F21&lt;&gt;0),"Reversal","New"))</f>
        <v>New</v>
      </c>
    </row>
    <row r="22" spans="1:11" x14ac:dyDescent="0.25">
      <c r="A22" s="9" t="n">
        <f>IF(i_Transaction!B3="","",i_Transaction!B3)</f>
        <v>2.0220209E7</v>
      </c>
      <c r="B22" s="9" t="n">
        <f>IF(i_Transaction!C3="","",i_Transaction!C3)</f>
        <v>44598.0</v>
      </c>
      <c r="C22" s="18" t="str">
        <f>IF(i_Transaction!D3="","",i_Transaction!D3)</f>
        <v>IDHJ-EGNY</v>
      </c>
      <c r="D22" s="17" t="str">
        <f>IF(i_Transaction!E3="","",i_Transaction!E3)</f>
        <v>1.0</v>
      </c>
      <c r="E22" s="46" t="n">
        <f>C6+M14</f>
        <v>27.7677</v>
      </c>
      <c r="F22" s="45" t="n">
        <f>IF(B22&lt;&gt;$B$16,IF(i_Transaction!F3="",0,ABS(i_Transaction!F3)),IF(i_Transaction!F3="",0,ABS(i_Transaction!F3)-i_Transaction!$F$6))</f>
        <v>350.0</v>
      </c>
      <c r="G22" s="45" t="n">
        <f>IFERROR(IF(F22="",0,(ROUND(IF(E22&gt;F22,F22,E22),4))),0)</f>
        <v>27.7677</v>
      </c>
      <c r="H22" s="45" t="n">
        <f>IFERROR(IF(F22-G22=0,0,ROUND(F22-G22,4)),0)</f>
        <v>322.2323</v>
      </c>
      <c r="I22" s="45" t="str">
        <f>IF(i_Transaction!F3="","",IF(AND(i_Transaction!F3&lt;=0,F22&lt;&gt;0),"Reversal","New"))</f>
        <v>Reversal</v>
      </c>
    </row>
    <row r="23" spans="1:11" x14ac:dyDescent="0.25">
      <c r="A23" s="9" t="n">
        <f>IF(i_Transaction!B4="","",i_Transaction!B4)</f>
        <v>2.0220209E7</v>
      </c>
      <c r="B23" s="9" t="n">
        <f>IF(i_Transaction!C4="","",i_Transaction!C4)</f>
        <v>44597.0</v>
      </c>
      <c r="C23" s="18" t="str">
        <f>IF(i_Transaction!D4="","",i_Transaction!D4)</f>
        <v>IDHJ-EGNY</v>
      </c>
      <c r="D23" s="17" t="str">
        <f>IF(i_Transaction!E4="","",i_Transaction!E4)</f>
        <v>1.0</v>
      </c>
      <c r="E23" s="46" t="n">
        <f>C7+M15+M16</f>
        <v>238.889</v>
      </c>
      <c r="F23" s="45" t="n">
        <f>IF(B23&lt;&gt;$B$16,IF(i_Transaction!F4="",0,ABS(i_Transaction!F4)),IF(i_Transaction!F4="",0,ABS(i_Transaction!F4)-i_Transaction!$F$6))</f>
        <v>275.0</v>
      </c>
      <c r="G23" s="45" t="n">
        <f>IFERROR(IF(F23="",0,(ROUND(IF(E23&gt;F23,F23,E23),4))),0)</f>
        <v>238.889</v>
      </c>
      <c r="H23" s="45" t="n">
        <f>IFERROR(IF(F23-G23=0,0,ROUND(F23-G23,4)),0)</f>
        <v>36.111</v>
      </c>
      <c r="I23" s="45" t="str">
        <f>IF(i_Transaction!F4="","",IF(AND(i_Transaction!F4&lt;=0,F23&lt;&gt;0),"Reversal","New"))</f>
        <v>Reversal</v>
      </c>
    </row>
    <row r="24" spans="1:11" x14ac:dyDescent="0.25">
      <c r="A24" s="9" t="n">
        <f>IF(i_Transaction!B5="","",i_Transaction!B5)</f>
        <v>2.0220209E7</v>
      </c>
      <c r="B24" s="9" t="n">
        <f>IF(i_Transaction!C5="","",i_Transaction!C5)</f>
        <v>44595.0</v>
      </c>
      <c r="C24" s="18" t="str">
        <f>IF(i_Transaction!D5="","",i_Transaction!D5)</f>
        <v>IDHJ-EGNY</v>
      </c>
      <c r="D24" s="17" t="str">
        <f>IF(i_Transaction!E5="","",i_Transaction!E5)</f>
        <v>1.0</v>
      </c>
      <c r="E24" s="46" t="n">
        <f>C8</f>
        <v>155.5556</v>
      </c>
      <c r="F24" s="45" t="n">
        <f>IF(B24&lt;&gt;$B$16,IF(i_Transaction!F5="",0,ABS(i_Transaction!F5)),IF(i_Transaction!F5="",0,ABS(i_Transaction!F5)-i_Transaction!$F$6))</f>
        <v>0.0</v>
      </c>
      <c r="G24" s="45" t="n">
        <f>IFERROR(IF(F24="",0,(ROUND(IF(E24&gt;F24,F24,E24),4))),0)</f>
        <v>0.0</v>
      </c>
      <c r="H24" s="45" t="n">
        <f>IFERROR(IF(F24-G24=0,0,ROUND(F24-G24,4)),0)</f>
        <v>0.0</v>
      </c>
      <c r="I24" s="45" t="str">
        <f>IF(i_Transaction!F5="","",IF(AND(i_Transaction!F5&lt;=0,F24&lt;&gt;0),"Reversal","New"))</f>
        <v>New</v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n">
        <f>IF(E30="","",A13)</f>
        <v>44601.0</v>
      </c>
      <c r="B30" s="9" t="n">
        <f>IF(E30="","",B13)</f>
        <v>44601.0</v>
      </c>
      <c r="C30" s="4" t="str">
        <f>IF(A30="","",C13)</f>
        <v>IDHJ-EGNY</v>
      </c>
      <c r="D30" s="13" t="str">
        <f>IF(A30="","","Servicing Interest Accrual")</f>
        <v>Servicing Interest Accrual</v>
      </c>
      <c r="E30" s="47" t="n">
        <f>IFERROR(IF(M13=0,"",M13),0)</f>
        <v>83.0346</v>
      </c>
      <c r="F30" s="4" t="str">
        <f>IF(A30="","",D13)</f>
        <v>1.0</v>
      </c>
    </row>
    <row r="31" spans="1:11" x14ac:dyDescent="0.25">
      <c r="A31" s="9" t="n">
        <f>IF(E31="","",A14)</f>
        <v>44601.0</v>
      </c>
      <c r="B31" s="9" t="n">
        <f>IF(E31="","",B14)</f>
        <v>44598.0</v>
      </c>
      <c r="C31" s="4" t="str">
        <f>IF(A31="","",C14)</f>
        <v>IDHJ-EGNY</v>
      </c>
      <c r="D31" s="13" t="str">
        <f>IF(A31="","","Servicing Interest Accrual")</f>
        <v>Servicing Interest Accrual</v>
      </c>
      <c r="E31" s="47" t="n">
        <f>IFERROR(IF(M14=0,"",M14),0)</f>
        <v>27.7677</v>
      </c>
      <c r="F31" s="4" t="str">
        <f>IF(A31="","",D14)</f>
        <v>1.0</v>
      </c>
    </row>
    <row r="32" spans="1:11" x14ac:dyDescent="0.25">
      <c r="A32" s="9" t="n">
        <f>IF(E32="","",A15)</f>
        <v>44601.0</v>
      </c>
      <c r="B32" s="9" t="n">
        <f>IF(E32="","",B15)</f>
        <v>44597.0</v>
      </c>
      <c r="C32" s="4" t="str">
        <f>IF(A32="","",C15)</f>
        <v>IDHJ-EGNY</v>
      </c>
      <c r="D32" s="13" t="str">
        <f>IF(A32="","","Servicing Interest Accrual")</f>
        <v>Servicing Interest Accrual</v>
      </c>
      <c r="E32" s="47" t="n">
        <f>IFERROR(IF(M15=0,"",M15),0)</f>
        <v>55.5556</v>
      </c>
      <c r="F32" s="4" t="str">
        <f>IF(A32="","",D15)</f>
        <v>1.0</v>
      </c>
    </row>
    <row r="33" spans="1:6" x14ac:dyDescent="0.25">
      <c r="A33" s="9" t="n">
        <f>IF(E33="","",A16)</f>
        <v>44601.0</v>
      </c>
      <c r="B33" s="9" t="n">
        <f>IF(E33="","",B16)</f>
        <v>44595.0</v>
      </c>
      <c r="C33" s="4" t="str">
        <f>IF(A33="","",C16)</f>
        <v>IDHJ-EGNY</v>
      </c>
      <c r="D33" s="13" t="str">
        <f>IF(A33="","","Servicing Interest Accrual")</f>
        <v>Servicing Interest Accrual</v>
      </c>
      <c r="E33" s="47" t="n">
        <f>IFERROR(IF(M16=0,"",M16),0)</f>
        <v>27.7778</v>
      </c>
      <c r="F33" s="4" t="str">
        <f>IF(A33="","",D16)</f>
        <v>1.0</v>
      </c>
    </row>
    <row r="34" spans="1:6" x14ac:dyDescent="0.25">
      <c r="A34" s="9" t="n">
        <f>IF(E34="","",A21)</f>
        <v>2.0220209E7</v>
      </c>
      <c r="B34" s="9" t="n">
        <f>IF(A34="","",B21)</f>
        <v>44601.0</v>
      </c>
      <c r="C34" s="4" t="str">
        <f>IF(A34="","",C21)</f>
        <v>IDHJ-EGNY</v>
      </c>
      <c r="D34" s="13" t="str">
        <f>IF(A34="","","Payment - Interest")</f>
        <v>Payment - Interest</v>
      </c>
      <c r="E34" s="47" t="n">
        <f>IFERROR(IF(G21=0,"",-G21),0)</f>
        <v>-83.0346</v>
      </c>
      <c r="F34" s="4" t="str">
        <f>IF(A34="","",D21)</f>
        <v>1.0</v>
      </c>
    </row>
    <row r="35" spans="1:6" x14ac:dyDescent="0.25">
      <c r="A35" s="9" t="n">
        <f>IF(E35="","",A22)</f>
        <v>2.0220209E7</v>
      </c>
      <c r="B35" s="9" t="n">
        <f>IF(A35="","",B22)</f>
        <v>44598.0</v>
      </c>
      <c r="C35" s="4" t="str">
        <f>IF(A35="","",C22)</f>
        <v>IDHJ-EGNY</v>
      </c>
      <c r="D35" s="13" t="str">
        <f>IF(A35="","","Payment - Interest")</f>
        <v>Payment - Interest</v>
      </c>
      <c r="E35" s="47" t="n">
        <f>IFERROR(IF(G22=0,"",-G22),0)</f>
        <v>-27.7677</v>
      </c>
      <c r="F35" s="4" t="str">
        <f>IF(A35="","",D22)</f>
        <v>1.0</v>
      </c>
    </row>
    <row r="36" spans="1:6" x14ac:dyDescent="0.25">
      <c r="A36" s="9" t="n">
        <f>IF(E36="","",A23)</f>
        <v>2.0220209E7</v>
      </c>
      <c r="B36" s="9" t="n">
        <f>IF(A36="","",B23)</f>
        <v>44597.0</v>
      </c>
      <c r="C36" s="4" t="str">
        <f>IF(A36="","",C23)</f>
        <v>IDHJ-EGNY</v>
      </c>
      <c r="D36" s="13" t="str">
        <f>IF(A36="","","Payment - Interest")</f>
        <v>Payment - Interest</v>
      </c>
      <c r="E36" s="47" t="n">
        <f>IFERROR(IF(G23=0,"",-G23),0)</f>
        <v>-238.889</v>
      </c>
      <c r="F36" s="4" t="str">
        <f>IF(A36="","",D23)</f>
        <v>1.0</v>
      </c>
    </row>
    <row r="37" spans="1:6" x14ac:dyDescent="0.25">
      <c r="A37" s="9" t="str">
        <f>IF(E37="","",A24)</f>
        <v/>
      </c>
      <c r="B37" s="9" t="str">
        <f>IF(A37="","",B24)</f>
        <v/>
      </c>
      <c r="C37" s="4" t="str">
        <f>IF(A37="","",C24)</f>
        <v/>
      </c>
      <c r="D37" s="13" t="str">
        <f>IF(A37="","","Payment - Interest")</f>
        <v/>
      </c>
      <c r="E37" s="47" t="str">
        <f>IFERROR(IF(G24=0,"",-G24),0)</f>
        <v/>
      </c>
      <c r="F37" s="4" t="str">
        <f>IF(A37="","",D24)</f>
        <v/>
      </c>
    </row>
    <row r="38" spans="1:6" x14ac:dyDescent="0.25">
      <c r="A38" s="9" t="n">
        <f>IF(E38="","",A21)</f>
        <v>2.0220209E7</v>
      </c>
      <c r="B38" s="9" t="n">
        <f>IF(A38="","",B21)</f>
        <v>44601.0</v>
      </c>
      <c r="C38" s="4" t="str">
        <f>IF(A38="","",C21)</f>
        <v>IDHJ-EGNY</v>
      </c>
      <c r="D38" s="13" t="str">
        <f>IF(A38="","","Payment - UPB")</f>
        <v>Payment - UPB</v>
      </c>
      <c r="E38" s="47" t="n">
        <f>IFERROR(IF(H21=0,"",-H21),0)</f>
        <v>-16.9654</v>
      </c>
      <c r="F38" s="4" t="str">
        <f>IF(A38="","",D21)</f>
        <v>1.0</v>
      </c>
    </row>
    <row r="39" spans="1:6" x14ac:dyDescent="0.25">
      <c r="A39" s="9" t="n">
        <f>IF(E39="","",A22)</f>
        <v>2.0220209E7</v>
      </c>
      <c r="B39" s="9" t="n">
        <f>IF(A39="","",B22)</f>
        <v>44598.0</v>
      </c>
      <c r="C39" s="4" t="str">
        <f>IF(A39="","",C22)</f>
        <v>IDHJ-EGNY</v>
      </c>
      <c r="D39" s="13" t="str">
        <f>IF(A39="","","Payment - UPB")</f>
        <v>Payment - UPB</v>
      </c>
      <c r="E39" s="47" t="n">
        <f>IFERROR(IF(H22=0,"",-H22),0)</f>
        <v>-322.2323</v>
      </c>
      <c r="F39" s="4" t="str">
        <f>IF(A39="","",D22)</f>
        <v>1.0</v>
      </c>
    </row>
    <row r="40" spans="1:6" x14ac:dyDescent="0.25">
      <c r="A40" s="9" t="n">
        <f>IF(E40="","",A23)</f>
        <v>2.0220209E7</v>
      </c>
      <c r="B40" s="9" t="n">
        <f>IF(A40="","",B23)</f>
        <v>44597.0</v>
      </c>
      <c r="C40" s="4" t="str">
        <f>IF(A40="","",C23)</f>
        <v>IDHJ-EGNY</v>
      </c>
      <c r="D40" s="13" t="str">
        <f>IF(A40="","","Payment - UPB")</f>
        <v>Payment - UPB</v>
      </c>
      <c r="E40" s="47" t="n">
        <f>IFERROR(IF(H23=0,"",-H23),0)</f>
        <v>-36.111</v>
      </c>
      <c r="F40" s="4" t="str">
        <f>IF(A40="","",D23)</f>
        <v>1.0</v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n">
        <f>IF(E43="","",A22)</f>
        <v>2.0220209E7</v>
      </c>
      <c r="B43" s="9" t="n">
        <f>IF(A43="","",B22)</f>
        <v>44598.0</v>
      </c>
      <c r="C43" s="4" t="str">
        <f>IF(A43="","",C22)</f>
        <v>IDHJ-EGNY</v>
      </c>
      <c r="D43" s="13" t="str">
        <f>IF(A43="","","Remit")</f>
        <v>Remit</v>
      </c>
      <c r="E43" s="47" t="n">
        <f t="shared" ref="E43:E45" si="7">IFERROR(IF(OR(F22=0,I22="New"),"",F22),0)</f>
        <v>350.0</v>
      </c>
      <c r="F43" s="4" t="str">
        <f>IF(A43="","",D22)</f>
        <v>1.0</v>
      </c>
    </row>
    <row r="44" spans="1:6" x14ac:dyDescent="0.25">
      <c r="A44" s="9" t="n">
        <f>IF(E44="","",A23)</f>
        <v>2.0220209E7</v>
      </c>
      <c r="B44" s="9" t="n">
        <f>IF(A44="","",B23)</f>
        <v>44597.0</v>
      </c>
      <c r="C44" s="4" t="str">
        <f>IF(A44="","",C23)</f>
        <v>IDHJ-EGNY</v>
      </c>
      <c r="D44" s="13" t="str">
        <f>IF(A44="","","Remit")</f>
        <v>Remit</v>
      </c>
      <c r="E44" s="47" t="n">
        <f t="shared" si="7"/>
        <v>275.0</v>
      </c>
      <c r="F44" s="4" t="str">
        <f>IF(A44="","",D23)</f>
        <v>1.0</v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 t="n">
        <f>i_ExecutionDate!A2</f>
        <v>44601.0</v>
      </c>
      <c r="B50" s="4" t="str">
        <f>C16</f>
        <v>IDHJ-EGNY</v>
      </c>
      <c r="C50" s="17" t="str">
        <f>D16</f>
        <v>1.0</v>
      </c>
      <c r="D50" s="9" t="str">
        <f>IF(i_InstrumentAttribute!H2="","",i_InstrumentAttribute!H2)</f>
        <v>2023-01-31</v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customWidth="true" style="2" width="31.28515625"/>
    <col min="2" max="2" customWidth="true" style="2" width="23.42578125"/>
    <col min="3" max="3" customWidth="true" style="2" width="14.28515625"/>
    <col min="4" max="4" customWidth="true" style="2" width="18.5703125"/>
    <col min="5" max="5" customWidth="true" style="2" width="26.28515625"/>
    <col min="6" max="6" customWidth="true" style="2" width="16.85546875"/>
    <col min="7" max="7" customWidth="true" style="2" width="23.28515625"/>
    <col min="8" max="16384" style="2" width="8.7109375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t="s" s="2">
        <v>81</v>
      </c>
      <c r="C2" t="s">
        <v>77</v>
      </c>
      <c r="D2" t="n">
        <v>202202.0</v>
      </c>
      <c r="E2" t="n">
        <v>99441.5918</v>
      </c>
      <c r="F2" t="n">
        <v>558.4082</v>
      </c>
      <c r="G2" t="n">
        <v>100000.0</v>
      </c>
    </row>
    <row r="3">
      <c r="A3" t="s" s="2">
        <v>82</v>
      </c>
      <c r="C3" t="s">
        <v>77</v>
      </c>
      <c r="D3" t="n">
        <v>202202.0</v>
      </c>
      <c r="E3" t="n">
        <v>55.2454</v>
      </c>
      <c r="F3" t="n">
        <v>100.3102</v>
      </c>
      <c r="G3" t="n">
        <v>155.5556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customWidth="true" style="2" width="33.0"/>
    <col min="2" max="2" customWidth="true" style="2" width="15.42578125"/>
    <col min="3" max="3" customWidth="true" style="2" width="12.5703125"/>
    <col min="4" max="4" bestFit="true" customWidth="true" style="2" width="23.7109375"/>
    <col min="5" max="5" customWidth="true" style="2" width="22.0"/>
    <col min="6" max="6" customWidth="true" style="2" width="10.85546875"/>
    <col min="7" max="16384" style="2" width="8.7109375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>Servicing Interest Accrual</v>
      </c>
      <c r="B3" s="8" t="n">
        <f>IF(CALC!A30="","",CALC!A30)</f>
        <v>44601.0</v>
      </c>
      <c r="C3" s="8" t="n">
        <f>IF(B3="","",CALC!B30)</f>
        <v>44601.0</v>
      </c>
      <c r="D3" s="8" t="str">
        <f>IF(C3="","",CALC!C30)</f>
        <v>IDHJ-EGNY</v>
      </c>
      <c r="E3" s="14" t="n">
        <f>IF(A3="","",CALC!E30)</f>
        <v>83.0346</v>
      </c>
      <c r="F3" s="15" t="str">
        <f>IF(E3="","",CALC!F30)</f>
        <v>1.0</v>
      </c>
    </row>
    <row r="4" spans="1:6" x14ac:dyDescent="0.25">
      <c r="A4" s="8" t="str">
        <f>IF(D4="","",CALC!D31)</f>
        <v>Servicing Interest Accrual</v>
      </c>
      <c r="B4" s="8" t="n">
        <f>IF(CALC!A31="","",CALC!A31)</f>
        <v>44601.0</v>
      </c>
      <c r="C4" s="8" t="n">
        <f>IF(B4="","",CALC!B31)</f>
        <v>44598.0</v>
      </c>
      <c r="D4" s="8" t="str">
        <f>IF(C4="","",CALC!C31)</f>
        <v>IDHJ-EGNY</v>
      </c>
      <c r="E4" s="14" t="n">
        <f>IF(A4="","",CALC!E31)</f>
        <v>27.7677</v>
      </c>
      <c r="F4" s="15" t="str">
        <f>IF(E4="","",CALC!F31)</f>
        <v>1.0</v>
      </c>
    </row>
    <row r="5" spans="1:6" x14ac:dyDescent="0.25">
      <c r="A5" s="8" t="str">
        <f>IF(D5="","",CALC!D32)</f>
        <v>Servicing Interest Accrual</v>
      </c>
      <c r="B5" s="8" t="n">
        <f>IF(CALC!A32="","",CALC!A32)</f>
        <v>44601.0</v>
      </c>
      <c r="C5" s="8" t="n">
        <f>IF(B5="","",CALC!B32)</f>
        <v>44597.0</v>
      </c>
      <c r="D5" s="8" t="str">
        <f>IF(C5="","",CALC!C32)</f>
        <v>IDHJ-EGNY</v>
      </c>
      <c r="E5" s="14" t="n">
        <f>IF(A5="","",CALC!E32)</f>
        <v>55.5556</v>
      </c>
      <c r="F5" s="15" t="str">
        <f>IF(E5="","",CALC!F32)</f>
        <v>1.0</v>
      </c>
    </row>
    <row r="6" spans="1:6" x14ac:dyDescent="0.25">
      <c r="A6" s="8" t="str">
        <f>IF(D6="","",CALC!D33)</f>
        <v>Servicing Interest Accrual</v>
      </c>
      <c r="B6" s="8" t="n">
        <f>IF(CALC!A33="","",CALC!A33)</f>
        <v>44601.0</v>
      </c>
      <c r="C6" s="8" t="n">
        <f>IF(B6="","",CALC!B33)</f>
        <v>44595.0</v>
      </c>
      <c r="D6" s="8" t="str">
        <f>IF(C6="","",CALC!C33)</f>
        <v>IDHJ-EGNY</v>
      </c>
      <c r="E6" s="14" t="n">
        <f>IF(A6="","",CALC!E33)</f>
        <v>27.7778</v>
      </c>
      <c r="F6" s="15" t="str">
        <f>IF(E6="","",CALC!F33)</f>
        <v>1.0</v>
      </c>
    </row>
    <row r="7" spans="1:6" x14ac:dyDescent="0.25">
      <c r="A7" s="8" t="str">
        <f>IF(D7="","",CALC!D34)</f>
        <v>Payment - Interest</v>
      </c>
      <c r="B7" s="8" t="n">
        <f>IF(CALC!A34="","",CALC!A34)</f>
        <v>2.0220209E7</v>
      </c>
      <c r="C7" s="8" t="n">
        <f>IF(B7="","",CALC!B34)</f>
        <v>44601.0</v>
      </c>
      <c r="D7" s="8" t="str">
        <f>IF(C7="","",CALC!C34)</f>
        <v>IDHJ-EGNY</v>
      </c>
      <c r="E7" s="14" t="n">
        <f>IF(A7="","",CALC!E34)</f>
        <v>-83.0346</v>
      </c>
      <c r="F7" s="15" t="str">
        <f>IF(E7="","",CALC!F34)</f>
        <v>1.0</v>
      </c>
    </row>
    <row r="8" spans="1:6" x14ac:dyDescent="0.25">
      <c r="A8" s="8" t="str">
        <f>IF(D8="","",CALC!D35)</f>
        <v>Payment - Interest</v>
      </c>
      <c r="B8" s="8" t="n">
        <f>IF(CALC!A35="","",CALC!A35)</f>
        <v>2.0220209E7</v>
      </c>
      <c r="C8" s="8" t="n">
        <f>IF(B8="","",CALC!B35)</f>
        <v>44598.0</v>
      </c>
      <c r="D8" s="8" t="str">
        <f>IF(C8="","",CALC!C35)</f>
        <v>IDHJ-EGNY</v>
      </c>
      <c r="E8" s="14" t="n">
        <f>IF(A8="","",CALC!E35)</f>
        <v>-27.7677</v>
      </c>
      <c r="F8" s="15" t="str">
        <f>IF(E8="","",CALC!F35)</f>
        <v>1.0</v>
      </c>
    </row>
    <row r="9" spans="1:6" x14ac:dyDescent="0.25">
      <c r="A9" s="8" t="str">
        <f>IF(D9="","",CALC!D36)</f>
        <v>Payment - Interest</v>
      </c>
      <c r="B9" s="8" t="n">
        <f>IF(CALC!A36="","",CALC!A36)</f>
        <v>2.0220209E7</v>
      </c>
      <c r="C9" s="8" t="n">
        <f>IF(B9="","",CALC!B36)</f>
        <v>44597.0</v>
      </c>
      <c r="D9" s="8" t="str">
        <f>IF(C9="","",CALC!C36)</f>
        <v>IDHJ-EGNY</v>
      </c>
      <c r="E9" s="14" t="n">
        <f>IF(A9="","",CALC!E36)</f>
        <v>-238.889</v>
      </c>
      <c r="F9" s="15" t="str">
        <f>IF(E9="","",CALC!F36)</f>
        <v>1.0</v>
      </c>
    </row>
    <row r="10" spans="1:6" x14ac:dyDescent="0.25">
      <c r="A10" s="8" t="str">
        <f>IF(D10="","",CALC!D37)</f>
        <v/>
      </c>
      <c r="B10" s="8" t="str">
        <f>IF(CALC!A37="","",CALC!A37)</f>
        <v/>
      </c>
      <c r="C10" s="8" t="str">
        <f>IF(B10="","",CALC!B37)</f>
        <v/>
      </c>
      <c r="D10" s="8" t="str">
        <f>IF(C10="","",CALC!C37)</f>
        <v/>
      </c>
      <c r="E10" s="14" t="str">
        <f>IF(A10="","",CALC!E37)</f>
        <v/>
      </c>
      <c r="F10" s="15" t="str">
        <f>IF(E10="","",CALC!F37)</f>
        <v/>
      </c>
    </row>
    <row r="11" spans="1:6" x14ac:dyDescent="0.25">
      <c r="A11" s="8" t="str">
        <f>IF(D11="","",CALC!D38)</f>
        <v>Payment - UPB</v>
      </c>
      <c r="B11" s="8" t="n">
        <f>IF(CALC!A38="","",CALC!A38)</f>
        <v>2.0220209E7</v>
      </c>
      <c r="C11" s="8" t="n">
        <f>IF(B11="","",CALC!B38)</f>
        <v>44601.0</v>
      </c>
      <c r="D11" s="8" t="str">
        <f>IF(C11="","",CALC!C38)</f>
        <v>IDHJ-EGNY</v>
      </c>
      <c r="E11" s="14" t="n">
        <f>IF(A11="","",CALC!E38)</f>
        <v>-16.9654</v>
      </c>
      <c r="F11" s="15" t="str">
        <f>IF(E11="","",CALC!F38)</f>
        <v>1.0</v>
      </c>
    </row>
    <row r="12" spans="1:6" x14ac:dyDescent="0.25">
      <c r="A12" s="8" t="str">
        <f>IF(D12="","",CALC!D39)</f>
        <v>Payment - UPB</v>
      </c>
      <c r="B12" s="8" t="n">
        <f>IF(CALC!A39="","",CALC!A39)</f>
        <v>2.0220209E7</v>
      </c>
      <c r="C12" s="8" t="n">
        <f>IF(B12="","",CALC!B39)</f>
        <v>44598.0</v>
      </c>
      <c r="D12" s="8" t="str">
        <f>IF(C12="","",CALC!C39)</f>
        <v>IDHJ-EGNY</v>
      </c>
      <c r="E12" s="14" t="n">
        <f>IF(A12="","",CALC!E39)</f>
        <v>-322.2323</v>
      </c>
      <c r="F12" s="15" t="str">
        <f>IF(E12="","",CALC!F39)</f>
        <v>1.0</v>
      </c>
    </row>
    <row r="13" spans="1:6" x14ac:dyDescent="0.25">
      <c r="A13" s="8" t="str">
        <f>IF(D13="","",CALC!D40)</f>
        <v>Payment - UPB</v>
      </c>
      <c r="B13" s="8" t="n">
        <f>IF(CALC!A40="","",CALC!A40)</f>
        <v>2.0220209E7</v>
      </c>
      <c r="C13" s="8" t="n">
        <f>IF(B13="","",CALC!B40)</f>
        <v>44597.0</v>
      </c>
      <c r="D13" s="8" t="str">
        <f>IF(C13="","",CALC!C40)</f>
        <v>IDHJ-EGNY</v>
      </c>
      <c r="E13" s="14" t="n">
        <f>IF(A13="","",CALC!E40)</f>
        <v>-36.111</v>
      </c>
      <c r="F13" s="15" t="str">
        <f>IF(E13="","",CALC!F40)</f>
        <v>1.0</v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>Remit</v>
      </c>
      <c r="B16" s="8" t="n">
        <f>IF(CALC!A43="","",CALC!A43)</f>
        <v>2.0220209E7</v>
      </c>
      <c r="C16" s="8" t="n">
        <f>IF(B16="","",CALC!B43)</f>
        <v>44598.0</v>
      </c>
      <c r="D16" s="8" t="str">
        <f>IF(C16="","",CALC!C43)</f>
        <v>IDHJ-EGNY</v>
      </c>
      <c r="E16" s="14" t="n">
        <f>IF(A16="","",CALC!E43)</f>
        <v>350.0</v>
      </c>
      <c r="F16" s="15" t="str">
        <f>IF(E16="","",CALC!F43)</f>
        <v>1.0</v>
      </c>
    </row>
    <row r="17" spans="1:6" x14ac:dyDescent="0.25">
      <c r="A17" s="8" t="str">
        <f>IF(D17="","",CALC!D44)</f>
        <v>Remit</v>
      </c>
      <c r="B17" s="8" t="n">
        <f>IF(CALC!A44="","",CALC!A44)</f>
        <v>2.0220209E7</v>
      </c>
      <c r="C17" s="8" t="n">
        <f>IF(B17="","",CALC!B44)</f>
        <v>44597.0</v>
      </c>
      <c r="D17" s="8" t="str">
        <f>IF(C17="","",CALC!C44)</f>
        <v>IDHJ-EGNY</v>
      </c>
      <c r="E17" s="14" t="n">
        <f>IF(A17="","",CALC!E44)</f>
        <v>275.0</v>
      </c>
      <c r="F17" s="15" t="str">
        <f>IF(E17="","",CALC!F44)</f>
        <v>1.0</v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cp:lastModifiedBy>Rafay Ahmed</cp:lastModifiedBy>
  <dcterms:modified xsi:type="dcterms:W3CDTF">2025-05-28T14:44:39Z</dcterms:modified>
</cp:coreProperties>
</file>