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 activeTab="2"/>
  </bookViews>
  <sheets>
    <sheet name="Planilha1" sheetId="1" r:id="rId1"/>
    <sheet name="Planilha2" sheetId="2" r:id="rId2"/>
    <sheet name="Custos" sheetId="3" r:id="rId3"/>
  </sheets>
  <calcPr calcId="144525"/>
</workbook>
</file>

<file path=xl/sharedStrings.xml><?xml version="1.0" encoding="utf-8"?>
<sst xmlns="http://schemas.openxmlformats.org/spreadsheetml/2006/main" count="92" uniqueCount="86">
  <si>
    <t>Dimensionamento Biodigestor Tubular</t>
  </si>
  <si>
    <t>Tipo de animal:</t>
  </si>
  <si>
    <t xml:space="preserve">Aves </t>
  </si>
  <si>
    <t>Dejetos por animal - B (l/dia):</t>
  </si>
  <si>
    <t>Colocar antes do dimensionamento uma conferência da quantidade mínima de animais que deverá ter disponível para produção da energia</t>
  </si>
  <si>
    <t>Número de animais - A:</t>
  </si>
  <si>
    <t>Fator relação dejeto/água - C:</t>
  </si>
  <si>
    <t xml:space="preserve">Consumo Médio da Residência (kWh/mês): </t>
  </si>
  <si>
    <t>Tempo de retenção hidráulica     TRH (dias):</t>
  </si>
  <si>
    <t xml:space="preserve">VD = A x B </t>
  </si>
  <si>
    <t>Quantidade mínima de animais</t>
  </si>
  <si>
    <t>&lt;- Alertar que essa é a quantidade mínima de animais necessária na propriedade, caso não tenha o sistema não será viável financeiramente</t>
  </si>
  <si>
    <t xml:space="preserve">Dejetos totais por dia (l/dia): </t>
  </si>
  <si>
    <t xml:space="preserve">VA = VD x C </t>
  </si>
  <si>
    <t xml:space="preserve">Dejetos totais por dia: </t>
  </si>
  <si>
    <t xml:space="preserve">VC = VD + VA </t>
  </si>
  <si>
    <t>Carga diaria total (l):</t>
  </si>
  <si>
    <r>
      <rPr>
        <sz val="11"/>
        <color theme="1"/>
        <rFont val="Calibri"/>
        <charset val="134"/>
        <scheme val="minor"/>
      </rPr>
      <t>V</t>
    </r>
    <r>
      <rPr>
        <sz val="8"/>
        <color theme="1"/>
        <rFont val="Calibri"/>
        <charset val="134"/>
        <scheme val="minor"/>
      </rPr>
      <t>FB</t>
    </r>
    <r>
      <rPr>
        <sz val="11"/>
        <color theme="1"/>
        <rFont val="Calibri"/>
        <charset val="134"/>
        <scheme val="minor"/>
      </rPr>
      <t xml:space="preserve">= VC x TRH/1000 </t>
    </r>
  </si>
  <si>
    <t>Volume da fossa (m³):</t>
  </si>
  <si>
    <t>VF = (a+b)/2 x h x L</t>
  </si>
  <si>
    <t>Volume geométrico:</t>
  </si>
  <si>
    <t>a=0,7279h+b</t>
  </si>
  <si>
    <t>Base maior - a (m):</t>
  </si>
  <si>
    <t>Base menor - b (m):</t>
  </si>
  <si>
    <t>L=3,6395h+5b</t>
  </si>
  <si>
    <t>Comprimento fossa - L (m):</t>
  </si>
  <si>
    <t>Altura fossa - h (m):</t>
  </si>
  <si>
    <t>&lt;- Determinar Valor</t>
  </si>
  <si>
    <t>Li=(Lxb)+(2xLxh)+(2xL)+(4xh)+(2xaxh)+(2xa)+4</t>
  </si>
  <si>
    <t xml:space="preserve"> lona de impermeabilização da fossa</t>
  </si>
  <si>
    <t>LV= (2,5xaxb)+(2,5xa)+(2,5b)+2,5</t>
  </si>
  <si>
    <t>Lona de vedação</t>
  </si>
  <si>
    <t xml:space="preserve">VCE = VC x 1,20 = PE x LCE² </t>
  </si>
  <si>
    <t xml:space="preserve">Vol caixa de entrada (m³/dia): </t>
  </si>
  <si>
    <t>PE=profundidade sempre 1,00m</t>
  </si>
  <si>
    <t xml:space="preserve">LCE = √𝑉𝐶𝐸 </t>
  </si>
  <si>
    <t>Lateral da Cx de entrada (m):</t>
  </si>
  <si>
    <t>Lateral da Caixa de Entrada</t>
  </si>
  <si>
    <t>VCS = VEx3</t>
  </si>
  <si>
    <t xml:space="preserve">Vol caixa de saída (m³/dia): </t>
  </si>
  <si>
    <t>Lateral da Cx de saída (m):</t>
  </si>
  <si>
    <t>PB = (quantidade de animais) x (Fator biogás)</t>
  </si>
  <si>
    <t>Potencial mensal de geração de biogás (m³):</t>
  </si>
  <si>
    <t>como sendo para cada m³ de biogás energeticamente equivalente a 1,42kWh</t>
  </si>
  <si>
    <t>energia elétrica</t>
  </si>
  <si>
    <t>Potencial mensal de geração (Kwh):</t>
  </si>
  <si>
    <t xml:space="preserve">TIPOS DE ANIMAIS </t>
  </si>
  <si>
    <t xml:space="preserve">FATOR RELAÇÃO DEJETO/ÁGUA </t>
  </si>
  <si>
    <t>TRH (dias)</t>
  </si>
  <si>
    <t>DEJETOS (L/DIA)</t>
  </si>
  <si>
    <t xml:space="preserve">BIOGÁS: M³/ANIMAL  PARA 1 MÊS </t>
  </si>
  <si>
    <t>Caprinos</t>
  </si>
  <si>
    <t>Bovinos</t>
  </si>
  <si>
    <t>Equinos</t>
  </si>
  <si>
    <t xml:space="preserve">Suínos machos </t>
  </si>
  <si>
    <t>Suínos fêmeas em lactação</t>
  </si>
  <si>
    <t>Leitões na creche</t>
  </si>
  <si>
    <t>Bovinos em lactação</t>
  </si>
  <si>
    <t>Bezerros</t>
  </si>
  <si>
    <t>Bois de corte</t>
  </si>
  <si>
    <t>Os custos com manutenções e operação 11,08% a.a.</t>
  </si>
  <si>
    <t>ANO</t>
  </si>
  <si>
    <t>GERAÇÃO DE ENERGIA</t>
  </si>
  <si>
    <t>O valor da implatção será em função do volume da fossa vezes o preço unitário em 2024, o valor unitário dependerá do volume</t>
  </si>
  <si>
    <t>IMPLANTAÇÃO</t>
  </si>
  <si>
    <t>MANUTENÇÃO</t>
  </si>
  <si>
    <t>O custo de manutenção quinquenal 10% do investimento</t>
  </si>
  <si>
    <t>CINV -&gt; Custo investimento</t>
  </si>
  <si>
    <t>biodigestor</t>
  </si>
  <si>
    <t xml:space="preserve">Custo motor para geração </t>
  </si>
  <si>
    <t>/kVa</t>
  </si>
  <si>
    <t>motor</t>
  </si>
  <si>
    <t>Custo da produção de energia</t>
  </si>
  <si>
    <t>1kW = 0,80kVa</t>
  </si>
  <si>
    <t>LCOE</t>
  </si>
  <si>
    <r>
      <t>Custo de implantação representa o custo do biodigestor que é dado pela multiplicação do valor por m vezes o volume do  biodigestor mais o custo do motor/kVa vezes o 0,80 vezes o p</t>
    </r>
    <r>
      <rPr>
        <b/>
        <sz val="11"/>
        <color rgb="FFFF0000"/>
        <rFont val="Calibri"/>
        <charset val="134"/>
        <scheme val="minor"/>
      </rPr>
      <t>otencial mensal de geração</t>
    </r>
  </si>
  <si>
    <t>Volume em m³</t>
  </si>
  <si>
    <t>Fator Inv. - Valor por m³</t>
  </si>
  <si>
    <t>TAXA SELIC</t>
  </si>
  <si>
    <t>0 &lt; VF &lt; 99</t>
  </si>
  <si>
    <t>100&lt;VF &lt;500</t>
  </si>
  <si>
    <t>501 &lt; VF &lt; 3.000</t>
  </si>
  <si>
    <t>3.001 &lt; VF &lt; 6.000</t>
  </si>
  <si>
    <t>6.001 &lt; VF &lt; 20.000</t>
  </si>
  <si>
    <t>20.001 &lt; VF &lt; 200.000</t>
  </si>
  <si>
    <t>200.000 ≤ VF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</si>
</sst>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.00_ "/>
    <numFmt numFmtId="181" formatCode="&quot;R$&quot;#,##0.00;[Red]\-&quot;R$&quot;#,##0.00"/>
    <numFmt numFmtId="182" formatCode="#,##0.00_);[Red]\(#,##0.00\)"/>
    <numFmt numFmtId="183" formatCode="#\ ?/?"/>
    <numFmt numFmtId="184" formatCode="0_ 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0000"/>
      <name val="Calibri"/>
      <charset val="134"/>
      <scheme val="minor"/>
    </font>
    <font>
      <sz val="8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58">
    <xf numFmtId="0" fontId="0" fillId="0" borderId="0" xfId="0"/>
    <xf numFmtId="0" fontId="0" fillId="0" borderId="0" xfId="0" applyAlignment="1">
      <alignment horizontal="center"/>
    </xf>
    <xf numFmtId="177" fontId="0" fillId="0" borderId="0" xfId="2" applyFont="1" applyAlignment="1">
      <alignment horizontal="center"/>
    </xf>
    <xf numFmtId="2" fontId="0" fillId="0" borderId="0" xfId="0" applyNumberFormat="1"/>
    <xf numFmtId="180" fontId="1" fillId="0" borderId="0" xfId="0" applyNumberFormat="1" applyFont="1" applyAlignment="1">
      <alignment horizontal="center"/>
    </xf>
    <xf numFmtId="181" fontId="0" fillId="0" borderId="0" xfId="0" applyNumberFormat="1" applyAlignment="1">
      <alignment horizontal="center"/>
    </xf>
    <xf numFmtId="177" fontId="0" fillId="0" borderId="0" xfId="2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82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77" fontId="0" fillId="0" borderId="0" xfId="2" applyFont="1" applyAlignment="1"/>
    <xf numFmtId="177" fontId="0" fillId="0" borderId="0" xfId="2" applyFont="1" applyAlignment="1"/>
    <xf numFmtId="0" fontId="0" fillId="0" borderId="0" xfId="0" applyAlignment="1">
      <alignment horizontal="center"/>
    </xf>
    <xf numFmtId="177" fontId="0" fillId="0" borderId="0" xfId="0" applyNumberFormat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0" xfId="0" applyFont="1"/>
    <xf numFmtId="182" fontId="3" fillId="0" borderId="0" xfId="2" applyNumberFormat="1" applyFont="1" applyAlignment="1">
      <alignment horizontal="center"/>
    </xf>
    <xf numFmtId="177" fontId="3" fillId="0" borderId="0" xfId="2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18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77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77" fontId="0" fillId="0" borderId="1" xfId="2" applyNumberFormat="1" applyFont="1" applyBorder="1" applyAlignment="1">
      <alignment horizontal="center"/>
    </xf>
    <xf numFmtId="177" fontId="0" fillId="0" borderId="1" xfId="2" applyFont="1" applyBorder="1" applyAlignment="1"/>
    <xf numFmtId="177" fontId="0" fillId="0" borderId="4" xfId="2" applyFont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2" fontId="0" fillId="0" borderId="1" xfId="3" applyNumberFormat="1" applyFont="1" applyBorder="1" applyAlignment="1">
      <alignment horizontal="center" vertical="center" wrapText="1"/>
    </xf>
    <xf numFmtId="1" fontId="0" fillId="0" borderId="1" xfId="3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183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184" fontId="0" fillId="0" borderId="1" xfId="0" applyNumberFormat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4" fillId="0" borderId="0" xfId="0" applyFont="1"/>
    <xf numFmtId="0" fontId="0" fillId="4" borderId="8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171450</xdr:colOff>
      <xdr:row>26</xdr:row>
      <xdr:rowOff>19050</xdr:rowOff>
    </xdr:from>
    <xdr:to>
      <xdr:col>2</xdr:col>
      <xdr:colOff>673100</xdr:colOff>
      <xdr:row>35</xdr:row>
      <xdr:rowOff>104140</xdr:rowOff>
    </xdr:to>
    <xdr:pic>
      <xdr:nvPicPr>
        <xdr:cNvPr id="2" name="Imagem 1"/>
        <xdr:cNvPicPr/>
      </xdr:nvPicPr>
      <xdr:blipFill>
        <a:blip r:embed="rId1"/>
        <a:stretch>
          <a:fillRect/>
        </a:stretch>
      </xdr:blipFill>
      <xdr:spPr>
        <a:xfrm>
          <a:off x="171450" y="5543550"/>
          <a:ext cx="2324100" cy="1799590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609600</xdr:colOff>
      <xdr:row>43</xdr:row>
      <xdr:rowOff>0</xdr:rowOff>
    </xdr:from>
    <xdr:to>
      <xdr:col>9</xdr:col>
      <xdr:colOff>181982</xdr:colOff>
      <xdr:row>46</xdr:row>
      <xdr:rowOff>148500</xdr:rowOff>
    </xdr:to>
    <xdr:pic>
      <xdr:nvPicPr>
        <xdr:cNvPr id="4" name="Imagem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43275" y="8763000"/>
          <a:ext cx="5039360" cy="71945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39</xdr:row>
      <xdr:rowOff>161925</xdr:rowOff>
    </xdr:from>
    <xdr:to>
      <xdr:col>2</xdr:col>
      <xdr:colOff>896040</xdr:colOff>
      <xdr:row>42</xdr:row>
      <xdr:rowOff>58425</xdr:rowOff>
    </xdr:to>
    <xdr:pic>
      <xdr:nvPicPr>
        <xdr:cNvPr id="5" name="Imagem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050" y="8162925"/>
          <a:ext cx="2699385" cy="467995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60</xdr:row>
      <xdr:rowOff>161925</xdr:rowOff>
    </xdr:from>
    <xdr:to>
      <xdr:col>3</xdr:col>
      <xdr:colOff>60781</xdr:colOff>
      <xdr:row>68</xdr:row>
      <xdr:rowOff>77925</xdr:rowOff>
    </xdr:to>
    <xdr:pic>
      <xdr:nvPicPr>
        <xdr:cNvPr id="6" name="Imagem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8175" y="12163425"/>
          <a:ext cx="2155825" cy="14395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3</xdr:col>
      <xdr:colOff>609600</xdr:colOff>
      <xdr:row>19</xdr:row>
      <xdr:rowOff>133350</xdr:rowOff>
    </xdr:to>
    <xdr:pic>
      <xdr:nvPicPr>
        <xdr:cNvPr id="2" name="Imagem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33550"/>
          <a:ext cx="4552950" cy="2038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89"/>
  <sheetViews>
    <sheetView zoomScale="130" zoomScaleNormal="130" topLeftCell="A62" workbookViewId="0">
      <selection activeCell="B88" sqref="B88"/>
    </sheetView>
  </sheetViews>
  <sheetFormatPr defaultColWidth="9" defaultRowHeight="15"/>
  <cols>
    <col min="1" max="2" width="13.6666666666667" customWidth="1"/>
    <col min="3" max="3" width="13.6666666666667" style="28" customWidth="1"/>
    <col min="4" max="9" width="13.6666666666667" customWidth="1"/>
    <col min="10" max="10" width="20.6666666666667" customWidth="1"/>
    <col min="11" max="11" width="13.6666666666667" customWidth="1"/>
    <col min="13" max="13" width="12.8571428571429"/>
  </cols>
  <sheetData>
    <row r="2" spans="2:9">
      <c r="B2" s="37" t="s">
        <v>0</v>
      </c>
      <c r="C2" s="37"/>
      <c r="D2" s="37"/>
      <c r="E2" s="37"/>
      <c r="F2" s="37"/>
      <c r="G2" s="37"/>
      <c r="H2" s="37"/>
      <c r="I2" s="37"/>
    </row>
    <row r="3" spans="2:9">
      <c r="B3" s="37"/>
      <c r="C3" s="37"/>
      <c r="D3" s="37"/>
      <c r="E3" s="37"/>
      <c r="F3" s="37"/>
      <c r="G3" s="37"/>
      <c r="H3" s="37"/>
      <c r="I3" s="37"/>
    </row>
    <row r="4" spans="2:9">
      <c r="B4" s="37"/>
      <c r="C4" s="37"/>
      <c r="D4" s="37"/>
      <c r="E4" s="37"/>
      <c r="F4" s="37"/>
      <c r="G4" s="37"/>
      <c r="H4" s="37"/>
      <c r="I4" s="37"/>
    </row>
    <row r="6" s="36" customFormat="1" ht="30" customHeight="1" spans="1:9">
      <c r="A6" s="38" t="s">
        <v>1</v>
      </c>
      <c r="B6" s="39"/>
      <c r="C6" s="35" t="s">
        <v>2</v>
      </c>
      <c r="E6" s="38" t="s">
        <v>3</v>
      </c>
      <c r="F6" s="39"/>
      <c r="G6" s="40">
        <f>VLOOKUP(C6,Planilha2!A2:E11,4)</f>
        <v>0.18</v>
      </c>
      <c r="I6" s="36" t="s">
        <v>4</v>
      </c>
    </row>
    <row r="7" spans="7:7">
      <c r="G7" s="28"/>
    </row>
    <row r="8" s="36" customFormat="1" ht="30" customHeight="1" spans="1:12">
      <c r="A8" s="38" t="s">
        <v>5</v>
      </c>
      <c r="B8" s="39"/>
      <c r="C8" s="41">
        <v>666</v>
      </c>
      <c r="E8" s="42" t="s">
        <v>6</v>
      </c>
      <c r="F8" s="43"/>
      <c r="G8" s="44">
        <f>VLOOKUP(C6,Planilha2!A2:E11,2)</f>
        <v>0.333333333333333</v>
      </c>
      <c r="I8" s="36" t="s">
        <v>7</v>
      </c>
      <c r="L8" s="36">
        <v>400</v>
      </c>
    </row>
    <row r="9" spans="3:3">
      <c r="C9" s="45"/>
    </row>
    <row r="10" ht="30" customHeight="1" spans="3:11">
      <c r="C10" s="45"/>
      <c r="E10" s="46" t="s">
        <v>8</v>
      </c>
      <c r="F10" s="47"/>
      <c r="G10" s="40">
        <f>VLOOKUP(C6,Planilha2!A2:E11,3)</f>
        <v>60</v>
      </c>
      <c r="I10" s="38" t="s">
        <v>1</v>
      </c>
      <c r="J10" s="39"/>
      <c r="K10" s="35" t="s">
        <v>2</v>
      </c>
    </row>
    <row r="11" spans="3:3">
      <c r="C11" s="45"/>
    </row>
    <row r="12" spans="1:12">
      <c r="A12" s="48" t="s">
        <v>9</v>
      </c>
      <c r="B12" s="48"/>
      <c r="C12" s="45"/>
      <c r="I12" s="38" t="s">
        <v>10</v>
      </c>
      <c r="J12" s="39"/>
      <c r="K12" s="54">
        <f>ROUND(((L8/1.42)/VLOOKUP(K10,Planilha2!A2:E11,5)),0)</f>
        <v>671</v>
      </c>
      <c r="L12" s="16" t="s">
        <v>11</v>
      </c>
    </row>
    <row r="13" spans="1:3">
      <c r="A13" s="49" t="s">
        <v>12</v>
      </c>
      <c r="B13" s="50"/>
      <c r="C13" s="41">
        <f>C8*G6</f>
        <v>119.88</v>
      </c>
    </row>
    <row r="14" spans="3:3">
      <c r="C14" s="45"/>
    </row>
    <row r="15" spans="1:3">
      <c r="A15" s="48" t="s">
        <v>13</v>
      </c>
      <c r="B15" s="48"/>
      <c r="C15" s="45"/>
    </row>
    <row r="16" spans="1:3">
      <c r="A16" s="49" t="s">
        <v>14</v>
      </c>
      <c r="B16" s="50"/>
      <c r="C16" s="41">
        <f>C13*G8</f>
        <v>39.96</v>
      </c>
    </row>
    <row r="18" spans="1:3">
      <c r="A18" s="48" t="s">
        <v>15</v>
      </c>
      <c r="B18" s="48"/>
      <c r="C18" s="45"/>
    </row>
    <row r="19" spans="1:3">
      <c r="A19" s="49" t="s">
        <v>16</v>
      </c>
      <c r="B19" s="50"/>
      <c r="C19" s="41">
        <f>C13+C16</f>
        <v>159.84</v>
      </c>
    </row>
    <row r="21" spans="1:3">
      <c r="A21" s="51" t="s">
        <v>17</v>
      </c>
      <c r="B21" s="48"/>
      <c r="C21" s="45"/>
    </row>
    <row r="22" spans="1:3">
      <c r="A22" s="49" t="s">
        <v>18</v>
      </c>
      <c r="B22" s="50"/>
      <c r="C22" s="41">
        <f>C19*G10/1000</f>
        <v>9.5904</v>
      </c>
    </row>
    <row r="24" spans="1:3">
      <c r="A24" s="48" t="s">
        <v>19</v>
      </c>
      <c r="B24" s="48"/>
      <c r="C24" s="48"/>
    </row>
    <row r="25" spans="1:3">
      <c r="A25" s="49" t="s">
        <v>20</v>
      </c>
      <c r="B25" s="50"/>
      <c r="C25" s="41">
        <f>((C39+C44)/2)*C47*C50</f>
        <v>6.72776548037461</v>
      </c>
    </row>
    <row r="38" spans="1:3">
      <c r="A38" s="52" t="s">
        <v>21</v>
      </c>
      <c r="B38" s="52"/>
      <c r="C38" s="52"/>
    </row>
    <row r="39" spans="1:9">
      <c r="A39" s="49" t="s">
        <v>22</v>
      </c>
      <c r="B39" s="50"/>
      <c r="C39" s="41">
        <f>0.7279*C50+C44</f>
        <v>1.25863177708513</v>
      </c>
      <c r="I39" s="41"/>
    </row>
    <row r="44" spans="1:3">
      <c r="A44" s="49" t="s">
        <v>23</v>
      </c>
      <c r="B44" s="50"/>
      <c r="C44" s="41">
        <f>(-5.459*(POWER(C50,2))+SQRT(29.8*(POWER(C50,2))-4*(5*C50*(1.345*(POWER(C50,3))-C22))))/(10*C50)</f>
        <v>0.166781777085134</v>
      </c>
    </row>
    <row r="46" spans="1:3">
      <c r="A46" s="1" t="s">
        <v>24</v>
      </c>
      <c r="B46" s="1"/>
      <c r="C46" s="1"/>
    </row>
    <row r="47" spans="1:3">
      <c r="A47" s="49" t="s">
        <v>25</v>
      </c>
      <c r="B47" s="50"/>
      <c r="C47" s="41">
        <f>3.6395*C50+5*C44</f>
        <v>6.29315888542567</v>
      </c>
    </row>
    <row r="50" spans="1:4">
      <c r="A50" s="49" t="s">
        <v>26</v>
      </c>
      <c r="B50" s="50"/>
      <c r="C50" s="41">
        <f>IF(C22&lt;=100,1.5,IF(AND(C22&gt;100,C22&lt;=500),2.5,IF(AND(C22&gt;500,C22&lt;=2000),3.5,4.5)))</f>
        <v>1.5</v>
      </c>
      <c r="D50" t="s">
        <v>27</v>
      </c>
    </row>
    <row r="55" spans="1:4">
      <c r="A55" s="48" t="s">
        <v>28</v>
      </c>
      <c r="B55" s="48"/>
      <c r="C55" s="48"/>
      <c r="D55" s="48"/>
    </row>
    <row r="56" spans="1:4">
      <c r="A56" s="53" t="s">
        <v>29</v>
      </c>
      <c r="B56" s="53"/>
      <c r="C56" s="53"/>
      <c r="D56" s="21">
        <f>(C47*C44)+(2*C47*C50)+(2*C47)+(4*C50)+(2*C39*C50)+(2*C39)+4</f>
        <v>48.8085375349444</v>
      </c>
    </row>
    <row r="58" spans="1:4">
      <c r="A58" s="48" t="s">
        <v>30</v>
      </c>
      <c r="B58" s="48"/>
      <c r="C58" s="48"/>
      <c r="D58" s="48"/>
    </row>
    <row r="59" spans="1:4">
      <c r="A59" s="53" t="s">
        <v>31</v>
      </c>
      <c r="B59" s="53"/>
      <c r="C59" s="53"/>
      <c r="D59" s="21">
        <f>(2.5*C39*C44)+(2.5*C39)+(2.5*C44)+2.5</f>
        <v>6.58832599662087</v>
      </c>
    </row>
    <row r="71" spans="1:3">
      <c r="A71" s="1" t="s">
        <v>32</v>
      </c>
      <c r="B71" s="1"/>
      <c r="C71" s="1"/>
    </row>
    <row r="72" spans="1:5">
      <c r="A72" s="49" t="s">
        <v>33</v>
      </c>
      <c r="B72" s="50"/>
      <c r="C72" s="41">
        <f>(C19/1000)*1.2</f>
        <v>0.191808</v>
      </c>
      <c r="E72" t="s">
        <v>34</v>
      </c>
    </row>
    <row r="74" spans="2:2">
      <c r="B74" t="s">
        <v>35</v>
      </c>
    </row>
    <row r="75" spans="1:3">
      <c r="A75" s="49" t="s">
        <v>36</v>
      </c>
      <c r="B75" s="50" t="s">
        <v>37</v>
      </c>
      <c r="C75" s="41">
        <f>SQRT(C72)</f>
        <v>0.437958902181472</v>
      </c>
    </row>
    <row r="77" spans="1:3">
      <c r="A77" s="1" t="s">
        <v>38</v>
      </c>
      <c r="B77" s="1"/>
      <c r="C77" s="1"/>
    </row>
    <row r="78" spans="1:3">
      <c r="A78" s="49" t="s">
        <v>39</v>
      </c>
      <c r="B78" s="50"/>
      <c r="C78" s="41">
        <f>C72*3</f>
        <v>0.575424</v>
      </c>
    </row>
    <row r="80" spans="2:2">
      <c r="B80" t="s">
        <v>35</v>
      </c>
    </row>
    <row r="81" spans="1:3">
      <c r="A81" s="49" t="s">
        <v>40</v>
      </c>
      <c r="B81" s="50" t="s">
        <v>37</v>
      </c>
      <c r="C81" s="41">
        <f>SQRT(C78)</f>
        <v>0.758567070205397</v>
      </c>
    </row>
    <row r="84" spans="1:3">
      <c r="A84" s="48" t="s">
        <v>41</v>
      </c>
      <c r="B84" s="48"/>
      <c r="C84" s="48"/>
    </row>
    <row r="85" spans="1:11">
      <c r="A85" s="49" t="s">
        <v>42</v>
      </c>
      <c r="B85" s="55"/>
      <c r="C85" s="50"/>
      <c r="D85" s="41">
        <f>C8*VLOOKUP(C6,Planilha2!A2:E11,5)</f>
        <v>279.72</v>
      </c>
      <c r="F85" t="s">
        <v>43</v>
      </c>
      <c r="K85" t="s">
        <v>44</v>
      </c>
    </row>
    <row r="86" ht="23.25" spans="6:7">
      <c r="F86" s="56"/>
      <c r="G86" s="56"/>
    </row>
    <row r="87" ht="23.25" spans="1:7">
      <c r="A87" s="38" t="s">
        <v>45</v>
      </c>
      <c r="B87" s="57"/>
      <c r="C87" s="39"/>
      <c r="D87" s="41">
        <f>D85*1.42</f>
        <v>397.2024</v>
      </c>
      <c r="F87" s="56"/>
      <c r="G87" s="56"/>
    </row>
    <row r="88" ht="23.25" spans="6:7">
      <c r="F88" s="56"/>
      <c r="G88" s="56"/>
    </row>
    <row r="89" ht="23.25" spans="6:8">
      <c r="F89" s="56"/>
      <c r="G89" s="56"/>
      <c r="H89" s="56"/>
    </row>
  </sheetData>
  <mergeCells count="36">
    <mergeCell ref="A6:B6"/>
    <mergeCell ref="E6:F6"/>
    <mergeCell ref="A8:B8"/>
    <mergeCell ref="E10:F10"/>
    <mergeCell ref="I10:J10"/>
    <mergeCell ref="A12:B12"/>
    <mergeCell ref="I12:J12"/>
    <mergeCell ref="A13:B13"/>
    <mergeCell ref="A15:B15"/>
    <mergeCell ref="A16:B16"/>
    <mergeCell ref="A18:B18"/>
    <mergeCell ref="A19:B19"/>
    <mergeCell ref="A21:B21"/>
    <mergeCell ref="A22:B22"/>
    <mergeCell ref="A24:C24"/>
    <mergeCell ref="A25:B25"/>
    <mergeCell ref="A38:C38"/>
    <mergeCell ref="A39:B39"/>
    <mergeCell ref="A44:B44"/>
    <mergeCell ref="A46:C46"/>
    <mergeCell ref="A47:B47"/>
    <mergeCell ref="A50:B50"/>
    <mergeCell ref="A55:D55"/>
    <mergeCell ref="A56:C56"/>
    <mergeCell ref="A58:D58"/>
    <mergeCell ref="A59:C59"/>
    <mergeCell ref="A71:C71"/>
    <mergeCell ref="A72:B72"/>
    <mergeCell ref="A75:B75"/>
    <mergeCell ref="A77:C77"/>
    <mergeCell ref="A78:B78"/>
    <mergeCell ref="A81:B81"/>
    <mergeCell ref="A84:C84"/>
    <mergeCell ref="A85:C85"/>
    <mergeCell ref="A87:C87"/>
    <mergeCell ref="B2:I4"/>
  </mergeCells>
  <conditionalFormatting sqref="I10:K10">
    <cfRule type="containsErrors" dxfId="0" priority="2">
      <formula>ISERROR(I10)</formula>
    </cfRule>
  </conditionalFormatting>
  <conditionalFormatting sqref="I12:J12">
    <cfRule type="containsErrors" dxfId="0" priority="1">
      <formula>ISERROR(I12)</formula>
    </cfRule>
  </conditionalFormatting>
  <conditionalFormatting sqref="I39">
    <cfRule type="containsErrors" dxfId="0" priority="3">
      <formula>ISERROR(I39)</formula>
    </cfRule>
  </conditionalFormatting>
  <conditionalFormatting sqref="A1:G100">
    <cfRule type="containsErrors" dxfId="0" priority="6">
      <formula>ISERROR(A1)</formula>
    </cfRule>
  </conditionalFormatting>
  <dataValidations count="1">
    <dataValidation type="list" allowBlank="1" showInputMessage="1" showErrorMessage="1" sqref="C6;K10">
      <formula1>Planilha2!$A$2:$A$11</formula1>
    </dataValidation>
  </dataValidations>
  <pageMargins left="0.511811024" right="0.511811024" top="0.787401575" bottom="0.787401575" header="0.31496062" footer="0.31496062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160" zoomScaleNormal="160" workbookViewId="0">
      <selection activeCell="E13" sqref="E13"/>
    </sheetView>
  </sheetViews>
  <sheetFormatPr defaultColWidth="9" defaultRowHeight="15" outlineLevelCol="5"/>
  <cols>
    <col min="1" max="1" width="25.6666666666667" style="29" customWidth="1"/>
    <col min="2" max="6" width="15.6666666666667" style="29" customWidth="1"/>
  </cols>
  <sheetData>
    <row r="1" s="28" customFormat="1" ht="45" customHeight="1" spans="1:6">
      <c r="A1" s="30" t="s">
        <v>46</v>
      </c>
      <c r="B1" s="30" t="s">
        <v>47</v>
      </c>
      <c r="C1" s="30" t="s">
        <v>48</v>
      </c>
      <c r="D1" s="30" t="s">
        <v>49</v>
      </c>
      <c r="E1" s="30" t="s">
        <v>50</v>
      </c>
      <c r="F1" s="31"/>
    </row>
    <row r="2" customHeight="1" spans="1:5">
      <c r="A2" s="32" t="s">
        <v>2</v>
      </c>
      <c r="B2" s="33">
        <v>0.333333333333333</v>
      </c>
      <c r="C2" s="34">
        <v>60</v>
      </c>
      <c r="D2" s="35">
        <v>0.18</v>
      </c>
      <c r="E2" s="35">
        <v>0.42</v>
      </c>
    </row>
    <row r="3" customHeight="1" spans="1:5">
      <c r="A3" s="32" t="s">
        <v>51</v>
      </c>
      <c r="B3" s="33">
        <v>0.2</v>
      </c>
      <c r="C3" s="34">
        <v>45</v>
      </c>
      <c r="D3" s="35">
        <v>5</v>
      </c>
      <c r="E3" s="35">
        <v>2.1</v>
      </c>
    </row>
    <row r="4" customHeight="1" spans="1:5">
      <c r="A4" s="32" t="s">
        <v>52</v>
      </c>
      <c r="B4" s="33">
        <v>1</v>
      </c>
      <c r="C4" s="34">
        <v>30</v>
      </c>
      <c r="D4" s="35">
        <v>10</v>
      </c>
      <c r="E4" s="35">
        <v>16.2</v>
      </c>
    </row>
    <row r="5" customHeight="1" spans="1:5">
      <c r="A5" s="32" t="s">
        <v>53</v>
      </c>
      <c r="B5" s="33">
        <v>1</v>
      </c>
      <c r="C5" s="34">
        <v>45</v>
      </c>
      <c r="D5" s="35">
        <v>10</v>
      </c>
      <c r="E5" s="35">
        <v>10.8</v>
      </c>
    </row>
    <row r="6" customHeight="1" spans="1:5">
      <c r="A6" s="32" t="s">
        <v>54</v>
      </c>
      <c r="B6" s="33">
        <v>0.5</v>
      </c>
      <c r="C6" s="34">
        <v>30</v>
      </c>
      <c r="D6" s="35">
        <v>9</v>
      </c>
      <c r="E6" s="35">
        <v>7.2</v>
      </c>
    </row>
    <row r="7" customHeight="1" spans="1:5">
      <c r="A7" s="32" t="s">
        <v>55</v>
      </c>
      <c r="B7" s="33">
        <v>0.5</v>
      </c>
      <c r="C7" s="34">
        <v>30</v>
      </c>
      <c r="D7" s="35">
        <v>27</v>
      </c>
      <c r="E7" s="35">
        <v>7.2</v>
      </c>
    </row>
    <row r="8" customHeight="1" spans="1:5">
      <c r="A8" s="32" t="s">
        <v>56</v>
      </c>
      <c r="B8" s="33">
        <v>0.5</v>
      </c>
      <c r="C8" s="34">
        <v>30</v>
      </c>
      <c r="D8" s="35">
        <v>1.4</v>
      </c>
      <c r="E8" s="35">
        <v>7.2</v>
      </c>
    </row>
    <row r="9" customHeight="1" spans="1:5">
      <c r="A9" s="32" t="s">
        <v>57</v>
      </c>
      <c r="B9" s="33">
        <v>1</v>
      </c>
      <c r="C9" s="34">
        <v>30</v>
      </c>
      <c r="D9" s="35">
        <v>30</v>
      </c>
      <c r="E9" s="35">
        <v>28.5</v>
      </c>
    </row>
    <row r="10" customHeight="1" spans="1:5">
      <c r="A10" s="32" t="s">
        <v>58</v>
      </c>
      <c r="B10" s="33">
        <v>1</v>
      </c>
      <c r="C10" s="34">
        <v>30</v>
      </c>
      <c r="D10" s="35">
        <v>2</v>
      </c>
      <c r="E10" s="35">
        <v>16.2</v>
      </c>
    </row>
    <row r="11" customHeight="1" spans="1:5">
      <c r="A11" s="32" t="s">
        <v>59</v>
      </c>
      <c r="B11" s="33">
        <v>1</v>
      </c>
      <c r="C11" s="34">
        <v>30</v>
      </c>
      <c r="D11" s="35">
        <v>15</v>
      </c>
      <c r="E11" s="35">
        <v>16.2</v>
      </c>
    </row>
  </sheetData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4"/>
  <sheetViews>
    <sheetView tabSelected="1" topLeftCell="M1" workbookViewId="0">
      <selection activeCell="R5" sqref="R5"/>
    </sheetView>
  </sheetViews>
  <sheetFormatPr defaultColWidth="9.14285714285714" defaultRowHeight="15"/>
  <cols>
    <col min="1" max="1" width="25.7142857142857" customWidth="1"/>
    <col min="2" max="2" width="20.7142857142857" customWidth="1"/>
    <col min="3" max="9" width="12.7142857142857" customWidth="1"/>
    <col min="11" max="11" width="15.4285714285714"/>
    <col min="15" max="16" width="12.7142857142857" customWidth="1"/>
    <col min="17" max="17" width="14.7142857142857" customWidth="1"/>
    <col min="18" max="49" width="12.7142857142857" customWidth="1"/>
  </cols>
  <sheetData>
    <row r="1" spans="1:42">
      <c r="A1" t="s">
        <v>60</v>
      </c>
      <c r="O1" s="7" t="s">
        <v>61</v>
      </c>
      <c r="P1" s="7"/>
      <c r="Q1" s="19">
        <v>0</v>
      </c>
      <c r="R1" s="19">
        <v>1</v>
      </c>
      <c r="S1" s="19">
        <v>2</v>
      </c>
      <c r="T1" s="19">
        <v>3</v>
      </c>
      <c r="U1" s="19">
        <v>4</v>
      </c>
      <c r="V1" s="19">
        <v>5</v>
      </c>
      <c r="W1" s="19">
        <v>6</v>
      </c>
      <c r="X1" s="19">
        <v>7</v>
      </c>
      <c r="Y1" s="19">
        <v>8</v>
      </c>
      <c r="Z1" s="19">
        <v>9</v>
      </c>
      <c r="AA1" s="19">
        <v>10</v>
      </c>
      <c r="AB1" s="19">
        <v>11</v>
      </c>
      <c r="AC1" s="19">
        <v>12</v>
      </c>
      <c r="AD1" s="19">
        <v>13</v>
      </c>
      <c r="AE1" s="19">
        <v>14</v>
      </c>
      <c r="AF1" s="19">
        <v>15</v>
      </c>
      <c r="AG1" s="19">
        <v>16</v>
      </c>
      <c r="AH1" s="19">
        <v>17</v>
      </c>
      <c r="AI1" s="19">
        <v>18</v>
      </c>
      <c r="AJ1" s="19">
        <v>19</v>
      </c>
      <c r="AK1" s="19">
        <v>20</v>
      </c>
      <c r="AL1" s="19">
        <v>21</v>
      </c>
      <c r="AM1" s="19">
        <v>22</v>
      </c>
      <c r="AN1" s="19">
        <v>23</v>
      </c>
      <c r="AO1" s="19">
        <v>24</v>
      </c>
      <c r="AP1" s="19">
        <v>25</v>
      </c>
    </row>
    <row r="2" spans="15:42">
      <c r="O2" s="8" t="s">
        <v>62</v>
      </c>
      <c r="P2" s="8"/>
      <c r="Q2" s="20">
        <f>NPV(11.15%,R2:AP2)</f>
        <v>3308.84031297981</v>
      </c>
      <c r="R2" s="21">
        <f>Planilha1!D87</f>
        <v>397.2024</v>
      </c>
      <c r="S2" s="21">
        <f t="shared" ref="S2:AP2" si="0">R2</f>
        <v>397.2024</v>
      </c>
      <c r="T2" s="21">
        <f t="shared" si="0"/>
        <v>397.2024</v>
      </c>
      <c r="U2" s="21">
        <f t="shared" si="0"/>
        <v>397.2024</v>
      </c>
      <c r="V2" s="21">
        <f t="shared" si="0"/>
        <v>397.2024</v>
      </c>
      <c r="W2" s="21">
        <f t="shared" si="0"/>
        <v>397.2024</v>
      </c>
      <c r="X2" s="21">
        <f t="shared" si="0"/>
        <v>397.2024</v>
      </c>
      <c r="Y2" s="21">
        <f t="shared" si="0"/>
        <v>397.2024</v>
      </c>
      <c r="Z2" s="21">
        <f t="shared" si="0"/>
        <v>397.2024</v>
      </c>
      <c r="AA2" s="21">
        <f t="shared" si="0"/>
        <v>397.2024</v>
      </c>
      <c r="AB2" s="21">
        <f t="shared" si="0"/>
        <v>397.2024</v>
      </c>
      <c r="AC2" s="21">
        <f t="shared" si="0"/>
        <v>397.2024</v>
      </c>
      <c r="AD2" s="21">
        <f t="shared" si="0"/>
        <v>397.2024</v>
      </c>
      <c r="AE2" s="21">
        <f t="shared" si="0"/>
        <v>397.2024</v>
      </c>
      <c r="AF2" s="21">
        <f t="shared" si="0"/>
        <v>397.2024</v>
      </c>
      <c r="AG2" s="21">
        <f t="shared" si="0"/>
        <v>397.2024</v>
      </c>
      <c r="AH2" s="21">
        <f t="shared" si="0"/>
        <v>397.2024</v>
      </c>
      <c r="AI2" s="21">
        <f t="shared" si="0"/>
        <v>397.2024</v>
      </c>
      <c r="AJ2" s="21">
        <f t="shared" si="0"/>
        <v>397.2024</v>
      </c>
      <c r="AK2" s="21">
        <f t="shared" si="0"/>
        <v>397.2024</v>
      </c>
      <c r="AL2" s="21">
        <f t="shared" si="0"/>
        <v>397.2024</v>
      </c>
      <c r="AM2" s="21">
        <f t="shared" si="0"/>
        <v>397.2024</v>
      </c>
      <c r="AN2" s="21">
        <f t="shared" si="0"/>
        <v>397.2024</v>
      </c>
      <c r="AO2" s="21">
        <f t="shared" si="0"/>
        <v>397.2024</v>
      </c>
      <c r="AP2" s="21">
        <f t="shared" si="0"/>
        <v>397.2024</v>
      </c>
    </row>
    <row r="3" spans="14:42">
      <c r="N3" s="9" t="s">
        <v>63</v>
      </c>
      <c r="O3" s="8" t="s">
        <v>64</v>
      </c>
      <c r="P3" s="8"/>
      <c r="Q3" s="22">
        <f>K8</f>
        <v>534274.113430562</v>
      </c>
      <c r="R3" s="23"/>
      <c r="S3" s="23"/>
      <c r="T3" s="23"/>
      <c r="U3" s="23"/>
      <c r="V3" s="24"/>
      <c r="W3" s="23"/>
      <c r="X3" s="23"/>
      <c r="Y3" s="23"/>
      <c r="Z3" s="23"/>
      <c r="AA3" s="22"/>
      <c r="AB3" s="23"/>
      <c r="AC3" s="23"/>
      <c r="AD3" s="23"/>
      <c r="AE3" s="23"/>
      <c r="AF3" s="23"/>
      <c r="AG3" s="23"/>
      <c r="AH3" s="23"/>
      <c r="AI3" s="23"/>
      <c r="AJ3" s="23"/>
      <c r="AK3" s="22"/>
      <c r="AL3" s="23"/>
      <c r="AM3" s="23"/>
      <c r="AN3" s="23"/>
      <c r="AO3" s="23"/>
      <c r="AP3" s="23"/>
    </row>
    <row r="4" spans="15:42">
      <c r="O4" s="7" t="s">
        <v>65</v>
      </c>
      <c r="P4" s="7"/>
      <c r="Q4" s="25">
        <f>NPV(11.15%,R4:AP4)</f>
        <v>23864.3133435651</v>
      </c>
      <c r="R4" s="26">
        <f>$K$6*0.1108</f>
        <v>2864.73859050626</v>
      </c>
      <c r="S4" s="26">
        <f t="shared" ref="S4:AB4" si="1">$K$6*0.1108</f>
        <v>2864.73859050626</v>
      </c>
      <c r="T4" s="26">
        <f t="shared" si="1"/>
        <v>2864.73859050626</v>
      </c>
      <c r="U4" s="26">
        <f t="shared" si="1"/>
        <v>2864.73859050626</v>
      </c>
      <c r="V4" s="26">
        <f t="shared" si="1"/>
        <v>2864.73859050626</v>
      </c>
      <c r="W4" s="26">
        <f t="shared" si="1"/>
        <v>2864.73859050626</v>
      </c>
      <c r="X4" s="26">
        <f t="shared" si="1"/>
        <v>2864.73859050626</v>
      </c>
      <c r="Y4" s="26">
        <f t="shared" si="1"/>
        <v>2864.73859050626</v>
      </c>
      <c r="Z4" s="26">
        <f t="shared" si="1"/>
        <v>2864.73859050626</v>
      </c>
      <c r="AA4" s="26">
        <f t="shared" si="1"/>
        <v>2864.73859050626</v>
      </c>
      <c r="AB4" s="26">
        <f t="shared" si="1"/>
        <v>2864.73859050626</v>
      </c>
      <c r="AC4" s="26">
        <f t="shared" ref="AC4:AP4" si="2">$K$6*0.1108</f>
        <v>2864.73859050626</v>
      </c>
      <c r="AD4" s="26">
        <f t="shared" si="2"/>
        <v>2864.73859050626</v>
      </c>
      <c r="AE4" s="26">
        <f t="shared" si="2"/>
        <v>2864.73859050626</v>
      </c>
      <c r="AF4" s="26">
        <f t="shared" si="2"/>
        <v>2864.73859050626</v>
      </c>
      <c r="AG4" s="26">
        <f t="shared" si="2"/>
        <v>2864.73859050626</v>
      </c>
      <c r="AH4" s="26">
        <f t="shared" si="2"/>
        <v>2864.73859050626</v>
      </c>
      <c r="AI4" s="26">
        <f t="shared" si="2"/>
        <v>2864.73859050626</v>
      </c>
      <c r="AJ4" s="26">
        <f t="shared" si="2"/>
        <v>2864.73859050626</v>
      </c>
      <c r="AK4" s="26">
        <f t="shared" si="2"/>
        <v>2864.73859050626</v>
      </c>
      <c r="AL4" s="26">
        <f t="shared" si="2"/>
        <v>2864.73859050626</v>
      </c>
      <c r="AM4" s="26">
        <f t="shared" si="2"/>
        <v>2864.73859050626</v>
      </c>
      <c r="AN4" s="26">
        <f t="shared" si="2"/>
        <v>2864.73859050626</v>
      </c>
      <c r="AO4" s="26">
        <f t="shared" si="2"/>
        <v>2864.73859050626</v>
      </c>
      <c r="AP4" s="26">
        <f t="shared" si="2"/>
        <v>2864.73859050626</v>
      </c>
    </row>
    <row r="5" spans="1:22">
      <c r="A5" t="s">
        <v>66</v>
      </c>
      <c r="K5" t="s">
        <v>67</v>
      </c>
      <c r="Q5" s="13"/>
      <c r="V5" s="1"/>
    </row>
    <row r="6" spans="11:22">
      <c r="K6" s="10">
        <f>I28*Planilha1!C22</f>
        <v>25855.0414305619</v>
      </c>
      <c r="L6" t="s">
        <v>68</v>
      </c>
      <c r="Q6" s="13"/>
      <c r="V6" s="1"/>
    </row>
    <row r="7" ht="15.75" spans="1:22">
      <c r="A7" s="1" t="s">
        <v>69</v>
      </c>
      <c r="B7" s="2">
        <v>1600</v>
      </c>
      <c r="C7" s="1" t="s">
        <v>70</v>
      </c>
      <c r="D7" s="3">
        <f>Planilha1!D87*0.8</f>
        <v>317.76192</v>
      </c>
      <c r="K7" s="11">
        <f>Planilha1!D87*0.8*B7</f>
        <v>508419.072</v>
      </c>
      <c r="L7" t="s">
        <v>71</v>
      </c>
      <c r="O7" s="12"/>
      <c r="P7" s="12" t="s">
        <v>72</v>
      </c>
      <c r="Q7" s="12"/>
      <c r="V7" s="1"/>
    </row>
    <row r="8" ht="15.75" spans="2:22">
      <c r="B8" s="1" t="s">
        <v>73</v>
      </c>
      <c r="K8" s="13">
        <f>K6+K7</f>
        <v>534274.113430562</v>
      </c>
      <c r="O8" s="14" t="s">
        <v>74</v>
      </c>
      <c r="P8" s="15"/>
      <c r="Q8" s="27">
        <f>Q2/(Q3+Q4)</f>
        <v>0.00592835066401701</v>
      </c>
      <c r="V8" s="1"/>
    </row>
    <row r="10" spans="11:11">
      <c r="K10" s="16" t="s">
        <v>75</v>
      </c>
    </row>
    <row r="19" spans="11:36"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5.75" spans="11:36">
      <c r="K20" s="1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5.75" spans="11:11">
      <c r="K21" s="18"/>
    </row>
    <row r="22" ht="15.75" spans="11:11">
      <c r="K22" s="18"/>
    </row>
    <row r="23" spans="11:11">
      <c r="K23" s="13"/>
    </row>
    <row r="24" spans="11:11">
      <c r="K24" s="13"/>
    </row>
    <row r="26" spans="1:9">
      <c r="A26" s="1" t="s">
        <v>61</v>
      </c>
      <c r="B26" s="1"/>
      <c r="C26" s="1">
        <v>2018</v>
      </c>
      <c r="D26" s="1">
        <v>2019</v>
      </c>
      <c r="E26" s="1">
        <v>2020</v>
      </c>
      <c r="F26" s="1">
        <v>2021</v>
      </c>
      <c r="G26" s="1">
        <v>2022</v>
      </c>
      <c r="H26" s="1">
        <v>2023</v>
      </c>
      <c r="I26" s="1">
        <v>2024</v>
      </c>
    </row>
    <row r="27" spans="1:10">
      <c r="A27" s="1" t="s">
        <v>76</v>
      </c>
      <c r="B27" s="1" t="s">
        <v>77</v>
      </c>
      <c r="C27" s="4">
        <f>AVERAGE(6.9,6.65,6.4,6.4,6.4,6.4,6.4,6.4,6.4)</f>
        <v>6.48333333333333</v>
      </c>
      <c r="D27" s="4">
        <f>AVERAGE(6.4,6.4,6.4,6.4,5.9,5.4,4.9,4.4)</f>
        <v>5.775</v>
      </c>
      <c r="E27" s="4">
        <f>AVERAGE(4.15,3.65,2.9,2.15,1.9,1.9,1.9,1.9)</f>
        <v>2.55625</v>
      </c>
      <c r="F27" s="4">
        <f>AVERAGE(1.9,2.65,3.4,4.15,5.15,6.15,7.65)</f>
        <v>4.43571428571429</v>
      </c>
      <c r="G27" s="4">
        <f>AVERAGE(9.15,10.65,11.65,12.65,13.15,13.65,13.65,13.65)</f>
        <v>12.275</v>
      </c>
      <c r="H27" s="4">
        <f>AVERAGE(13.65,13.65,13.65,13.65,13.65,13.15,12.65,12.15,11.65)</f>
        <v>13.0944444444444</v>
      </c>
      <c r="I27" s="4">
        <v>11.15</v>
      </c>
      <c r="J27" s="16" t="s">
        <v>78</v>
      </c>
    </row>
    <row r="28" spans="1:9">
      <c r="A28" s="1" t="s">
        <v>79</v>
      </c>
      <c r="B28" s="5">
        <v>1583.43</v>
      </c>
      <c r="C28" s="6">
        <f>B28*(1+C$27/100)</f>
        <v>1686.089045</v>
      </c>
      <c r="D28" s="6">
        <f t="shared" ref="D28:I28" si="3">C28*(1+D$27/100)</f>
        <v>1783.46068734875</v>
      </c>
      <c r="E28" s="6">
        <f t="shared" si="3"/>
        <v>1829.0504011691</v>
      </c>
      <c r="F28" s="6">
        <f t="shared" si="3"/>
        <v>1910.18185110667</v>
      </c>
      <c r="G28" s="6">
        <f t="shared" si="3"/>
        <v>2144.65667333002</v>
      </c>
      <c r="H28" s="6">
        <f t="shared" si="3"/>
        <v>2425.48754994329</v>
      </c>
      <c r="I28" s="6">
        <f t="shared" si="3"/>
        <v>2695.92941176196</v>
      </c>
    </row>
    <row r="29" spans="1:9">
      <c r="A29" s="1" t="s">
        <v>80</v>
      </c>
      <c r="B29" s="5">
        <v>457.82</v>
      </c>
      <c r="C29" s="6">
        <f t="shared" ref="C29:I29" si="4">B29*(1+C$27/100)</f>
        <v>487.501996666667</v>
      </c>
      <c r="D29" s="6">
        <f t="shared" si="4"/>
        <v>515.655236974167</v>
      </c>
      <c r="E29" s="6">
        <f t="shared" si="4"/>
        <v>528.836673969319</v>
      </c>
      <c r="F29" s="6">
        <f t="shared" si="4"/>
        <v>552.294357864672</v>
      </c>
      <c r="G29" s="6">
        <f t="shared" si="4"/>
        <v>620.088490292561</v>
      </c>
      <c r="H29" s="6">
        <f t="shared" si="4"/>
        <v>701.285633160314</v>
      </c>
      <c r="I29" s="6">
        <f t="shared" si="4"/>
        <v>779.478981257689</v>
      </c>
    </row>
    <row r="30" spans="1:9">
      <c r="A30" s="1" t="s">
        <v>81</v>
      </c>
      <c r="B30" s="5">
        <v>171.57</v>
      </c>
      <c r="C30" s="6">
        <f t="shared" ref="C30:I30" si="5">B30*(1+C$27/100)</f>
        <v>182.693455</v>
      </c>
      <c r="D30" s="6">
        <f t="shared" si="5"/>
        <v>193.24400202625</v>
      </c>
      <c r="E30" s="6">
        <f t="shared" si="5"/>
        <v>198.183801828046</v>
      </c>
      <c r="F30" s="6">
        <f t="shared" si="5"/>
        <v>206.974669037704</v>
      </c>
      <c r="G30" s="6">
        <f t="shared" si="5"/>
        <v>232.380809662082</v>
      </c>
      <c r="H30" s="6">
        <f t="shared" si="5"/>
        <v>262.809785682834</v>
      </c>
      <c r="I30" s="6">
        <f t="shared" si="5"/>
        <v>292.11307678647</v>
      </c>
    </row>
    <row r="31" spans="1:9">
      <c r="A31" s="1" t="s">
        <v>82</v>
      </c>
      <c r="B31" s="5">
        <v>119.67</v>
      </c>
      <c r="C31" s="6">
        <f t="shared" ref="C31:I31" si="6">B31*(1+C$27/100)</f>
        <v>127.428605</v>
      </c>
      <c r="D31" s="6">
        <f t="shared" si="6"/>
        <v>134.78760693875</v>
      </c>
      <c r="E31" s="6">
        <f t="shared" si="6"/>
        <v>138.233115141122</v>
      </c>
      <c r="F31" s="6">
        <f t="shared" si="6"/>
        <v>144.364741177024</v>
      </c>
      <c r="G31" s="6">
        <f t="shared" si="6"/>
        <v>162.085513156504</v>
      </c>
      <c r="H31" s="6">
        <f t="shared" si="6"/>
        <v>183.309710629275</v>
      </c>
      <c r="I31" s="6">
        <f t="shared" si="6"/>
        <v>203.748743364439</v>
      </c>
    </row>
    <row r="32" spans="1:9">
      <c r="A32" s="1" t="s">
        <v>83</v>
      </c>
      <c r="B32" s="5">
        <v>99.08</v>
      </c>
      <c r="C32" s="6">
        <f t="shared" ref="C32:I32" si="7">B32*(1+C$27/100)</f>
        <v>105.503686666667</v>
      </c>
      <c r="D32" s="6">
        <f t="shared" si="7"/>
        <v>111.596524571667</v>
      </c>
      <c r="E32" s="6">
        <f t="shared" si="7"/>
        <v>114.44921073103</v>
      </c>
      <c r="F32" s="6">
        <f t="shared" si="7"/>
        <v>119.525850721313</v>
      </c>
      <c r="G32" s="6">
        <f t="shared" si="7"/>
        <v>134.197648897355</v>
      </c>
      <c r="H32" s="6">
        <f t="shared" si="7"/>
        <v>151.770085477969</v>
      </c>
      <c r="I32" s="6">
        <f t="shared" si="7"/>
        <v>168.692450008763</v>
      </c>
    </row>
    <row r="33" spans="1:9">
      <c r="A33" s="1" t="s">
        <v>84</v>
      </c>
      <c r="B33" s="5">
        <v>81.32</v>
      </c>
      <c r="C33" s="6">
        <f t="shared" ref="C33:I33" si="8">B33*(1+C$27/100)</f>
        <v>86.5922466666667</v>
      </c>
      <c r="D33" s="6">
        <f t="shared" si="8"/>
        <v>91.5929489116667</v>
      </c>
      <c r="E33" s="6">
        <f t="shared" si="8"/>
        <v>93.9342936682211</v>
      </c>
      <c r="F33" s="6">
        <f t="shared" si="8"/>
        <v>98.1009505516472</v>
      </c>
      <c r="G33" s="6">
        <f t="shared" si="8"/>
        <v>110.142842231862</v>
      </c>
      <c r="H33" s="6">
        <f t="shared" si="8"/>
        <v>124.565435517445</v>
      </c>
      <c r="I33" s="6">
        <f t="shared" si="8"/>
        <v>138.45448157764</v>
      </c>
    </row>
    <row r="34" spans="1:9">
      <c r="A34" s="1" t="s">
        <v>85</v>
      </c>
      <c r="B34" s="5">
        <v>73.31</v>
      </c>
      <c r="C34" s="6">
        <f t="shared" ref="C34:I34" si="9">B34*(1+C$27/100)</f>
        <v>78.0629316666667</v>
      </c>
      <c r="D34" s="6">
        <f t="shared" si="9"/>
        <v>82.5710659704167</v>
      </c>
      <c r="E34" s="6">
        <f t="shared" si="9"/>
        <v>84.6817888442854</v>
      </c>
      <c r="F34" s="6">
        <f t="shared" si="9"/>
        <v>88.4380310494498</v>
      </c>
      <c r="G34" s="6">
        <f t="shared" si="9"/>
        <v>99.2937993607698</v>
      </c>
      <c r="H34" s="6">
        <f t="shared" si="9"/>
        <v>112.295770754844</v>
      </c>
      <c r="I34" s="6">
        <f t="shared" si="9"/>
        <v>124.816749194009</v>
      </c>
    </row>
  </sheetData>
  <mergeCells count="6">
    <mergeCell ref="O1:P1"/>
    <mergeCell ref="O2:P2"/>
    <mergeCell ref="O3:P3"/>
    <mergeCell ref="O4:P4"/>
    <mergeCell ref="O8:P8"/>
    <mergeCell ref="A26:B2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Custos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Adrielle Cristina Ozanski</dc:creator>
  <cp:lastModifiedBy>Adrielle.Ozanski</cp:lastModifiedBy>
  <dcterms:created xsi:type="dcterms:W3CDTF">2023-11-15T16:29:00Z</dcterms:created>
  <dcterms:modified xsi:type="dcterms:W3CDTF">2024-05-17T13:01:21Z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C453AA6009124700AB637A34FBC15977_12</vt:lpwstr>
  </property>
  <property fmtid="{D5CDD505-2E9C-101B-9397-08002B2CF9AE}" pid="3" name="KSOProductBuildVer">
    <vt:lpwstr>1046-12.2.0.13489</vt:lpwstr>
  </property>
</Properties>
</file>