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Freelance\ControleEnergetico\Source\"/>
    </mc:Choice>
  </mc:AlternateContent>
  <xr:revisionPtr revIDLastSave="0" documentId="13_ncr:1_{B51869BF-B163-495F-8581-50D39A370F2D}" xr6:coauthVersionLast="47" xr6:coauthVersionMax="47" xr10:uidLastSave="{00000000-0000-0000-0000-000000000000}"/>
  <bookViews>
    <workbookView xWindow="-120" yWindow="-120" windowWidth="38640" windowHeight="15720" tabRatio="603" activeTab="4" xr2:uid="{00000000-000D-0000-FFFF-FFFF00000000}"/>
  </bookViews>
  <sheets>
    <sheet name="Cascavel" sheetId="11" r:id="rId1"/>
    <sheet name="Equipamentos" sheetId="12" state="hidden" r:id="rId2"/>
    <sheet name="PAINEL SOLAR" sheetId="13" r:id="rId3"/>
    <sheet name="INVERSOR SOLAR" sheetId="14" r:id="rId4"/>
    <sheet name="Custos" sheetId="1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5" l="1"/>
  <c r="L25" i="11"/>
  <c r="E27" i="11" s="1"/>
  <c r="B21" i="11"/>
  <c r="M13" i="11"/>
  <c r="M14" i="11"/>
  <c r="F18" i="11" s="1"/>
  <c r="B20" i="11" s="1"/>
  <c r="K25" i="11"/>
  <c r="I25" i="11"/>
  <c r="J25" i="11"/>
  <c r="F3" i="15"/>
  <c r="G3" i="15" s="1"/>
  <c r="F2" i="15"/>
  <c r="G2" i="15" s="1"/>
  <c r="B83" i="11"/>
  <c r="F88" i="11" s="1"/>
  <c r="B91" i="11" s="1"/>
  <c r="B70" i="11"/>
  <c r="H55" i="11"/>
  <c r="J55" i="11" s="1"/>
  <c r="J54" i="11"/>
  <c r="H54" i="11"/>
  <c r="H53" i="11"/>
  <c r="J53" i="11" s="1"/>
  <c r="E28" i="11"/>
  <c r="H25" i="11"/>
  <c r="G25" i="11"/>
  <c r="F25" i="11"/>
  <c r="E25" i="11"/>
  <c r="D25" i="11"/>
  <c r="C25" i="11"/>
  <c r="B25" i="11"/>
  <c r="A25" i="11"/>
  <c r="F17" i="11"/>
  <c r="M9" i="11"/>
  <c r="E30" i="11" l="1"/>
  <c r="G4" i="15"/>
  <c r="L39" i="11"/>
  <c r="L31" i="11"/>
  <c r="L37" i="11"/>
  <c r="L44" i="11"/>
  <c r="L36" i="11"/>
  <c r="L29" i="11"/>
  <c r="L38" i="11"/>
  <c r="L30" i="11"/>
  <c r="L42" i="11"/>
  <c r="L34" i="11"/>
  <c r="L40" i="11"/>
  <c r="L32" i="11"/>
  <c r="L43" i="11"/>
  <c r="L35" i="11"/>
  <c r="L41" i="11"/>
  <c r="L33" i="11"/>
  <c r="B78" i="11"/>
  <c r="AJ3" i="15"/>
  <c r="Z3" i="15"/>
  <c r="M25" i="11"/>
  <c r="Q2" i="15" s="1"/>
  <c r="F75" i="11"/>
  <c r="G5" i="15" l="1"/>
  <c r="G7" i="15" s="1"/>
  <c r="P3" i="15" s="1"/>
  <c r="G6" i="15"/>
  <c r="R2" i="15"/>
  <c r="S2" i="15" s="1"/>
  <c r="T2" i="15" s="1"/>
  <c r="U2" i="15" s="1"/>
  <c r="V2" i="15" s="1"/>
  <c r="W2" i="15" s="1"/>
  <c r="X2" i="15" s="1"/>
  <c r="Y2" i="15" s="1"/>
  <c r="Z2" i="15" s="1"/>
  <c r="AA2" i="15" s="1"/>
  <c r="AB2" i="15" s="1"/>
  <c r="AC2" i="15" s="1"/>
  <c r="AD2" i="15" s="1"/>
  <c r="AE2" i="15" s="1"/>
  <c r="AF2" i="15" s="1"/>
  <c r="AG2" i="15" s="1"/>
  <c r="AH2" i="15" s="1"/>
  <c r="AI2" i="15" s="1"/>
  <c r="AJ2" i="15" s="1"/>
  <c r="AK2" i="15" s="1"/>
  <c r="AL2" i="15" s="1"/>
  <c r="AM2" i="15" s="1"/>
  <c r="AN2" i="15" s="1"/>
  <c r="AO2" i="15" s="1"/>
  <c r="P2" i="15" l="1"/>
  <c r="AJ4" i="15"/>
  <c r="AB4" i="15"/>
  <c r="T4" i="15"/>
  <c r="AG4" i="15"/>
  <c r="Y4" i="15"/>
  <c r="Q4" i="15"/>
  <c r="P4" i="15" s="1"/>
  <c r="AI4" i="15"/>
  <c r="AA4" i="15"/>
  <c r="S4" i="15"/>
  <c r="AH4" i="15"/>
  <c r="Z4" i="15"/>
  <c r="R4" i="15"/>
  <c r="AO4" i="15"/>
  <c r="AN4" i="15"/>
  <c r="AF4" i="15"/>
  <c r="X4" i="15"/>
  <c r="AM4" i="15"/>
  <c r="AE4" i="15"/>
  <c r="W4" i="15"/>
  <c r="AD4" i="15"/>
  <c r="V4" i="15"/>
  <c r="AL4" i="15"/>
  <c r="AK4" i="15"/>
  <c r="AC4" i="15"/>
  <c r="U4" i="15"/>
</calcChain>
</file>

<file path=xl/sharedStrings.xml><?xml version="1.0" encoding="utf-8"?>
<sst xmlns="http://schemas.openxmlformats.org/spreadsheetml/2006/main" count="436" uniqueCount="293">
  <si>
    <t>O Município de Cascavel localiza-se na região Oeste do estado do Paraná, entre as latitude sul 24º57'21” e longitude oeste 53º,27' 19“.</t>
  </si>
  <si>
    <t>Dimensionamento Sistema Fotovoltaico Conectado à Rede</t>
  </si>
  <si>
    <t>Dados de Consumo da UC (kWh/mês) - Tensão de fornecimento - 220 V</t>
  </si>
  <si>
    <t>Jan</t>
  </si>
  <si>
    <t>Fev</t>
  </si>
  <si>
    <t>Mar</t>
  </si>
  <si>
    <t>Abr</t>
  </si>
  <si>
    <t>Mai</t>
  </si>
  <si>
    <t>Jun</t>
  </si>
  <si>
    <t>Jul</t>
  </si>
  <si>
    <t xml:space="preserve">Ago </t>
  </si>
  <si>
    <t>Set</t>
  </si>
  <si>
    <t>Out</t>
  </si>
  <si>
    <t>Nov</t>
  </si>
  <si>
    <t>Dez</t>
  </si>
  <si>
    <t>Média</t>
  </si>
  <si>
    <t>&lt;- Dados de entrada do usuário</t>
  </si>
  <si>
    <t xml:space="preserve">Irradiação solar diária média mensal em Cascavel (kWh/m2/dia)                                                                                                                                                                                           (Plano inclinado no valor da latitude do local e voltado para o norte verdadeiro) </t>
  </si>
  <si>
    <t xml:space="preserve">Consumo Médio da Residência (kWh/mês): </t>
  </si>
  <si>
    <t>Taxa de Desempenho (%):</t>
  </si>
  <si>
    <t>Irradiação solar diária média mensal (kWh/m2/dia):</t>
  </si>
  <si>
    <t>PFV</t>
  </si>
  <si>
    <t>kWp</t>
  </si>
  <si>
    <t>*Será adotado 01 Inversor SunGrow On Grid 3,0kWp</t>
  </si>
  <si>
    <t>Os valores de FDI ideais situam-se entre 0,75 a 0,85, não podendo ultrapassar o limite máximo de 1,05.</t>
  </si>
  <si>
    <t>FDI</t>
  </si>
  <si>
    <t>Geração do Sistema Fotovoltaico (kWh/mês)</t>
  </si>
  <si>
    <t>Capacidade de Geração Anual (kWh/ano):</t>
  </si>
  <si>
    <t>Número de Módulos Fotovoltaicos</t>
  </si>
  <si>
    <t>Consumo de Energia Anual (kWh/Ano):</t>
  </si>
  <si>
    <t>P.M. (Wp)</t>
  </si>
  <si>
    <t>N (Un.)</t>
  </si>
  <si>
    <t>Saldo de Energia Anual (kWh/ano):</t>
  </si>
  <si>
    <t>Selecionado =&gt;</t>
  </si>
  <si>
    <t xml:space="preserve">*Serão adotados 07 módulos fotovoltaicos Jinko 470W </t>
  </si>
  <si>
    <t xml:space="preserve">Nº de módulos </t>
  </si>
  <si>
    <t>Nº de módulos/string</t>
  </si>
  <si>
    <t>Dados do Inversor</t>
  </si>
  <si>
    <t>Dados do Painel</t>
  </si>
  <si>
    <t>Potência</t>
  </si>
  <si>
    <t>Vmp</t>
  </si>
  <si>
    <t>Faixa de Tensão CC de Carga Total no MPPT (V)</t>
  </si>
  <si>
    <t>&lt;- Dados referentes ao equipamento</t>
  </si>
  <si>
    <t xml:space="preserve">Voc </t>
  </si>
  <si>
    <t>Tensão Máxima de Entrada (V)</t>
  </si>
  <si>
    <t xml:space="preserve">Imp </t>
  </si>
  <si>
    <t>Corrente de Entrada Máxima do Inversor (A)</t>
  </si>
  <si>
    <t>Verificações do Sistema Fotovoltaico Dimensionado:</t>
  </si>
  <si>
    <t>Vmp do Painel:</t>
  </si>
  <si>
    <t>Vmp do módulo x Número de módulos fotovoltaicos</t>
  </si>
  <si>
    <t>V</t>
  </si>
  <si>
    <t xml:space="preserve">Voc do Painel: </t>
  </si>
  <si>
    <t>Voc do módulo X Número de módulos fotovoltaicos</t>
  </si>
  <si>
    <t xml:space="preserve"> Dados referentes ao equipamento</t>
  </si>
  <si>
    <t xml:space="preserve">Imp do Painel: </t>
  </si>
  <si>
    <t xml:space="preserve">Ligações em série (string), Imp do Painel = Imp do módulo </t>
  </si>
  <si>
    <t>A</t>
  </si>
  <si>
    <t xml:space="preserve">Variação da Tensão com a Temperatura </t>
  </si>
  <si>
    <t>Considerando as condições climáticas de Cascavel (A temperatura varia de 12 °C a 29 °C)</t>
  </si>
  <si>
    <t>Condições de temperatura relativa a localidade escolhida</t>
  </si>
  <si>
    <t>Para ir a favor da segurança, serão considerados os valores de temperatura mínima de 2°C e temperatura máxima de 79 °C, na superfície do painel em condições extremas.</t>
  </si>
  <si>
    <t>Coeficientes de temperatura do módulo selecionado</t>
  </si>
  <si>
    <t>Potência Máxima (Pmax)=</t>
  </si>
  <si>
    <t xml:space="preserve"> %/ °C</t>
  </si>
  <si>
    <t>Tensão de Circuito Aberto (Voc) = -</t>
  </si>
  <si>
    <t>Corrente de Curto Circuito (Isc)</t>
  </si>
  <si>
    <t>Verificação da Elevação de Tensão com a queda da temperatura na superfície do painel fotovoltaico (T=2°C)</t>
  </si>
  <si>
    <t>Na queda da temperatura, a máxima tensão no painel ocorre na tensão de circuito aberto (Voc)</t>
  </si>
  <si>
    <t xml:space="preserve">Voc (V): </t>
  </si>
  <si>
    <t>T (ºC):</t>
  </si>
  <si>
    <t>Nesta condição a elevação da tensão do módulo será dada por</t>
  </si>
  <si>
    <t>=</t>
  </si>
  <si>
    <t>para cada módulo.</t>
  </si>
  <si>
    <r>
      <rPr>
        <sz val="11"/>
        <color theme="1"/>
        <rFont val="Calibri"/>
        <charset val="134"/>
        <scheme val="minor"/>
      </rPr>
      <t xml:space="preserve">Como no dimensionamento considerou-se </t>
    </r>
    <r>
      <rPr>
        <b/>
        <sz val="11"/>
        <color theme="1"/>
        <rFont val="Calibri"/>
        <charset val="134"/>
        <scheme val="minor"/>
      </rPr>
      <t xml:space="preserve">7 </t>
    </r>
    <r>
      <rPr>
        <sz val="11"/>
        <color theme="1"/>
        <rFont val="Calibri"/>
        <charset val="134"/>
        <scheme val="minor"/>
      </rPr>
      <t>módulos em série, a tensão máxima total do painel (Vmax) na temperatura de 2°C   será:</t>
    </r>
  </si>
  <si>
    <t>Vmax (V)</t>
  </si>
  <si>
    <t>Como a Tensão Máxima de Entrada do inversor é de 600V =&gt; 314,90V &lt; 600V =&gt;OK!</t>
  </si>
  <si>
    <t>Verificação da Queda de Tensão com a elevação da temperatura na superfície do painel fotovoltaico (T=79°C)</t>
  </si>
  <si>
    <t>Na elevação da temperatura, a menor tensão no painel ocorre na condição de potência máxima, ou seja, considera-se a tensão de potência máxima (Vmp) para o cálculo.</t>
  </si>
  <si>
    <t xml:space="preserve">Vmp (V): </t>
  </si>
  <si>
    <t>Nesta condição a queda da tensão do módulo será dada por:</t>
  </si>
  <si>
    <r>
      <rPr>
        <sz val="11"/>
        <color theme="1"/>
        <rFont val="Calibri"/>
        <charset val="134"/>
        <scheme val="minor"/>
      </rPr>
      <t xml:space="preserve">Como no dimensionamento considerou-se </t>
    </r>
    <r>
      <rPr>
        <b/>
        <sz val="11"/>
        <color theme="1"/>
        <rFont val="Calibri"/>
        <charset val="134"/>
        <scheme val="minor"/>
      </rPr>
      <t xml:space="preserve">7 </t>
    </r>
    <r>
      <rPr>
        <sz val="11"/>
        <color theme="1"/>
        <rFont val="Calibri"/>
        <charset val="134"/>
        <scheme val="minor"/>
      </rPr>
      <t>módulos em série, a tensão mínima total do painel (Vmin) na temperatura de 79°C será:</t>
    </r>
  </si>
  <si>
    <t xml:space="preserve">Vmin (V): </t>
  </si>
  <si>
    <t>Como a Tensão  de trabalho do inversor é de 40 V =&gt; 206,54V &gt; 50V =&gt;OK!</t>
  </si>
  <si>
    <t>https://www.aldo.com.br/loja/produto/68210-5/inversor-solar-fotovoltaico-on-grid-growatt-mic2500tl-x-25kw-monofasico-220v-1mppt-monitoramento</t>
  </si>
  <si>
    <t>https://www.aldo.com.br/produto/238511-3/painel-solar-fotovoltaico-jinko-jkm475n-60hl4-v-tiger-neo-475w-120-cel-n-type-mono-2201-eficiencia</t>
  </si>
  <si>
    <t>PAINEL SOLAR FOTOVOLTAICO</t>
  </si>
  <si>
    <t>Painel Solar 150W Resun Policristalino - RS6E-150P</t>
  </si>
  <si>
    <t>https://www.minhacasasolar.com.br/produto/painel-solar-150w-resun-policristalino-rs6e-150p-79848</t>
  </si>
  <si>
    <t>Painel Solar Fotovoltaico 210W - Resun RS7E-210M</t>
  </si>
  <si>
    <t>https://www.neosolar.com.br/loja/painel-solar-fotovoltaico-210w-resun-rs7e-210m.html</t>
  </si>
  <si>
    <t>Painel Solar Fotovoltaico 280W - OSDA - ODA280-30-P</t>
  </si>
  <si>
    <t>https://www.neosolar.com.br/loja/painel-solar-fotovoltaico-280w-osda-oda280-30-p.html</t>
  </si>
  <si>
    <t>Painel Solar Fotovoltaico 330W - OSDA - ODA330-36-P</t>
  </si>
  <si>
    <t>https://www.neosolar.com.br/loja/painel-solar-fotovoltaico-330w-osda-oda330-36-p.html</t>
  </si>
  <si>
    <t>Painel Solar Fotovoltaico 410W - Resun RS8V-M</t>
  </si>
  <si>
    <t>https://www.neosolar.com.br/loja/painel-solar-fotovoltaico-410w-resun-rs8v-m.html</t>
  </si>
  <si>
    <t>Painel Solar Fotovoltaico 460W - Sunova SS-460-60-MDH</t>
  </si>
  <si>
    <t>https://www.neosolar.com.br/loja/painel-solar-fotovoltaico-460w-sunova-ss-460-60-mdh.html</t>
  </si>
  <si>
    <t>Placa Solar Fotovoltaica 540W Monocristalina Znshine ZXM7-SH144</t>
  </si>
  <si>
    <t>https://www.leveros.com.br/placa-solar-fotovoltaica-540w-monocristalina-znshine-zxm7-sh144-2028070/p</t>
  </si>
  <si>
    <t>Painel Solar Fotovoltaico 555W - ReneSolar RS6-555M-E3</t>
  </si>
  <si>
    <t>https://www.neosolar.com.br/loja/painel-solar-fotovoltaico-555w-renesola-rs6-555m-e3.html</t>
  </si>
  <si>
    <t>Painel Solar 670W Monocristalino Half-Cell Sunova - SS 670 66MDH</t>
  </si>
  <si>
    <t>https://www.minhacasasolar.com.br/produto/painel-solar-670w-monocristalino-half-cell-sunova-ss-670-66mdh-82158</t>
  </si>
  <si>
    <t>INVERSOR SOLAR</t>
  </si>
  <si>
    <t>Inversor Solar Monofásico 1,5kW 220V 1 MPPT Growatt - MIC1500TL X</t>
  </si>
  <si>
    <t>https://www.minhacasasolar.com.br/produto/inversor-solar-monofasico-1-5kw-220v-1-mppt-growatt-mic1500tl-x-81995</t>
  </si>
  <si>
    <t>Inversor Solar Monofásico 2kW 220V 1 MPPT Growatt - MIC2000TL X</t>
  </si>
  <si>
    <t>https://www.minhacasasolar.com.br/produto/inversor-solar-monofasico-2kw-220v-1-mppt-growatt-mic2000tl-x-81996</t>
  </si>
  <si>
    <t>Inversor Solar Monofásico 2,5kW 220V 1 MPPT Growatt - MIC2500TL X</t>
  </si>
  <si>
    <t>https://www.minhacasasolar.com.br/produto/inversor-solar-monofasico-2-5kw-220v-1-mppt-growatt-mic2500tl-x-81997</t>
  </si>
  <si>
    <t>Inversor Solar Monofásico 3kW 220V 1 MPPT Growatt - MIC3000TL X</t>
  </si>
  <si>
    <t>https://www.minhacasasolar.com.br/produto/inversor-solar-monofasico-3kw-220v-1-mppt-growatt-mic3000tl-x-81998</t>
  </si>
  <si>
    <t>Inversor Solar Monofásico 5kW 220V 2 MPPT Growatt - MIN5000TL X</t>
  </si>
  <si>
    <t>https://www.minhacasasolar.com.br/produto/inversor-solar-monofasico-5kw-220v-2-mppt-growatt-min5000tl-x-81999</t>
  </si>
  <si>
    <t>Inversor Solar Monofásico 6kW 220V 2 MPPT Growatt - MIN6000TL X</t>
  </si>
  <si>
    <t>https://www.minhacasasolar.com.br/produto/inversor-solar-monofasico-6kw-220v-2-mppt-growatt-min6000tl-x-82000</t>
  </si>
  <si>
    <t>Inversor Solar Monofásico 8kW 220V 2 MPPT Growatt - MIN8000TL X(E)</t>
  </si>
  <si>
    <t>https://www.minhacasasolar.com.br/produto/inversor-solar-monofasico-8kw-220v-2-mppt-growatt-min8000tl-x-e-82001</t>
  </si>
  <si>
    <t>INVERSOR/GERADOR SOLAR ON-GRID 9KW MONOF. 220V SG9.0RS C/ PROTEÇÃO E MONITORAMENTO WI-FI - SUNGROW</t>
  </si>
  <si>
    <t>https://www.eletrotrafo.com.br/inversor-gerador-solar-9kw-monofasico-220v-sg9-0rs---sungrow/p</t>
  </si>
  <si>
    <t>Inversor Solar Monofásico 10kW 220V 3 MPPT Growatt - MIN10000TL-X</t>
  </si>
  <si>
    <t>https://www.minhacasasolar.com.br/produto/inversor-solar-monofasico-10kw-220v-3-mppt-growatt-min10000tl-x-82002</t>
  </si>
  <si>
    <t>INVERSOR/GERADOR SOLAR ON-GRID 15KW TRIF. 380V CSI-15K-T400GL01-E C/ MONITORAMENTO WI-FI - CANADIAN</t>
  </si>
  <si>
    <t>https://www.minhacasasolar.com.br/produto/inversor-solar-foxess-25kw-trifasico-380v-t25-g3-compativel-weg-81858</t>
  </si>
  <si>
    <t>Inversor Solar Canadian 20.0 kW T380V 02MPPT CSI-20K-T400GL01-E</t>
  </si>
  <si>
    <t>https://www.eletrotrafo.com.br/inversor-gerador-solar-15kw-trifasico-380v-csi-15k-t400gl01-e-com-wifi---canadian/p</t>
  </si>
  <si>
    <t>Inversor Solar FoxEss 25kW Trifásico 380V - T25-G3 (compatível WEG)</t>
  </si>
  <si>
    <t>https://www.eletrotrafo.com.br/inversor-solar-30kw-trifas--380v-csi-30k-t400gl03-e-c-wifi-canadian-03820542/p</t>
  </si>
  <si>
    <t>INVERSOR/GERADOR SOLAR ON-GRID 30KW TRIF. 380V CSI-30K-T400GL03-E C/ MONITORAMENTO WI-FI- CANADIAN</t>
  </si>
  <si>
    <t>https://www.leveros.com.br/inversor-solar-canadian-20-0-kw-t380v-02mppt-csi-20k-t400gl01-e-2029679/p?idsku=2028068&amp;gad_source=1&amp;gclid=EAIaIQobChMIytmS9-XVgwMVOFZIAB2L8ATvEAQYASABEgJo3fD_BwE</t>
  </si>
  <si>
    <t>INVERSOR/GERADOR SOLAR ON-GRID 40KW TRIF. 380V SG40CX-P2 C/ PROTEÇÃO E MONITORAMENTO WI-FI - SUNGROW</t>
  </si>
  <si>
    <t>https://www.eletrotrafo.com.br/inversor-solar-40kw-trifas--380v-sg40cx-p2-1000vcc-4mppt-sungrow-03820555/p?idsku=15363&amp;gclid=EAIaIQobChMI94uFp-fVgwMVT1lIAB2VSgGbEAQYBSABEgL6VfD_BwE</t>
  </si>
  <si>
    <t>Painel Fotovoltaico</t>
  </si>
  <si>
    <t>Marca</t>
  </si>
  <si>
    <t>Modelo</t>
  </si>
  <si>
    <t>Potência (W)</t>
  </si>
  <si>
    <t>Vmp (V)</t>
  </si>
  <si>
    <t>Imp (A)</t>
  </si>
  <si>
    <t>Voc (V)</t>
  </si>
  <si>
    <t>Coeficiente de Temperatura da Potência (Pmax) %/ °C</t>
  </si>
  <si>
    <t>Coeficiente de Temperatura da Tensão (Voc) %/ °C</t>
  </si>
  <si>
    <t>Coeficiente de Temperatura da Corrente (Isc) %/ °C</t>
  </si>
  <si>
    <t>Valor (R$)</t>
  </si>
  <si>
    <t>LINK</t>
  </si>
  <si>
    <t>RESUN</t>
  </si>
  <si>
    <t>RS6E-155M</t>
  </si>
  <si>
    <t>https://www.neosolar.com.br/loja/painel-solar-fotovoltaico-155w-resun-rs6e-155m.html</t>
  </si>
  <si>
    <t>ZTROON</t>
  </si>
  <si>
    <t xml:space="preserve"> ZTP-160M</t>
  </si>
  <si>
    <t>https://www.neosolar.com.br/loja/placa-solar-fotovoltaica-160w-monocristalina-ztroon-ztp-160m.html</t>
  </si>
  <si>
    <t>RS7E-210M</t>
  </si>
  <si>
    <t>OSDA</t>
  </si>
  <si>
    <t>ODA280-30-P</t>
  </si>
  <si>
    <t>ODA330-36-P</t>
  </si>
  <si>
    <t>ZTP-340P</t>
  </si>
  <si>
    <t>https://www.neosolar.com.br/loja/placa-solar-fotovoltaica-340w-policristalina-ztroon-ztp-340p.html</t>
  </si>
  <si>
    <t>SUNOVA</t>
  </si>
  <si>
    <t>SS-405-54MDH</t>
  </si>
  <si>
    <t>https://www.minhacasasolar.com.br/produto/painel-solar-405w-monocristalino-half-cell-sunova-ss-405-54mdh-81960</t>
  </si>
  <si>
    <t>RS8V-M</t>
  </si>
  <si>
    <t>CANADIAN</t>
  </si>
  <si>
    <t>CS6R 435T</t>
  </si>
  <si>
    <t>https://www.minhacasasolar.com.br/produto/painel-solar-canadian-monocristalino-435w-half-cell-cs6r-435t-82327</t>
  </si>
  <si>
    <t>SS-460-60-MDH</t>
  </si>
  <si>
    <t>JINKO</t>
  </si>
  <si>
    <t>JKM470N-60HL4-V</t>
  </si>
  <si>
    <t>https://www.aldo.com.br/loja/produto/206030-3/painel-solar-fotovoltaico-jinko-jkm470n-60hl4-v-tiger-neo-470w-120-cel-n-type-mono-2178-eficiencia</t>
  </si>
  <si>
    <t xml:space="preserve"> CS6W 550MS</t>
  </si>
  <si>
    <t>https://www.minhacasasolar.com.br/produto/painel-solar-canadian-monocristalino-550w-half-cell-cs6w-550ms-82352</t>
  </si>
  <si>
    <t>JA SOLAR</t>
  </si>
  <si>
    <t>JAM72D40-565/MB</t>
  </si>
  <si>
    <t>https://www.aldo.com.br/loja/produto/252186-0/painel-solar-fotovoltaico-ja-solar-jam72d40-565mb-565w-deep-blue-144-bifacial-219-eficiencia</t>
  </si>
  <si>
    <t xml:space="preserve">JKM575N-72HL4-V </t>
  </si>
  <si>
    <t>https://www.aldo.com.br/loja/produto/236863-0/painel-solar-fotovoltaico-jinko-jkm575n-72hl4-v-tiger-neo-575w-144-cel-n-type-mono-2226-eficiencia</t>
  </si>
  <si>
    <t>LUXEN SOLAR</t>
  </si>
  <si>
    <t>LNVH-595M</t>
  </si>
  <si>
    <t>https://www.neosolar.com.br/loja/placa-solar-fotovoltaica-595w-luxen-solar-series-5.html</t>
  </si>
  <si>
    <t>Login</t>
  </si>
  <si>
    <t>36.226.679/0001-89</t>
  </si>
  <si>
    <t>Senha</t>
  </si>
  <si>
    <t>Ozanski1</t>
  </si>
  <si>
    <t>Nª MPPT</t>
  </si>
  <si>
    <t>Nª Strings / MPPT</t>
  </si>
  <si>
    <t>Máxima corrente de entrada por trackers MPP (A)</t>
  </si>
  <si>
    <t>Máxima corrente curto-circuito por trackers MPP (A)</t>
  </si>
  <si>
    <t>GROWATT</t>
  </si>
  <si>
    <t xml:space="preserve">MIC1500TL-X </t>
  </si>
  <si>
    <t>Monofásico</t>
  </si>
  <si>
    <t>1</t>
  </si>
  <si>
    <t>https://www.aldo.com.br/loja/produto/68207-0/inversor-solar-fotovoltaico-on-grid-growatt-mic1500tl-x-15kw-monofasico-220v-1mppt-monitoramento</t>
  </si>
  <si>
    <t>MIC2000TL-X</t>
  </si>
  <si>
    <t>https://www.aldo.com.br/loja/produto/68208-4/inversor-solar-fotovoltaico-on-grid-growatt-mic2000tl-x-2kw-monofasico-220v-1mppt-monitoramento</t>
  </si>
  <si>
    <t>MIC2500TL-X</t>
  </si>
  <si>
    <t>MIC3000TL-X</t>
  </si>
  <si>
    <t>https://www.aldo.com.br/loja/produto/68211-9/inversor-solar-fotovoltaico-on-grid-growatt-mic3000tl-x-3kw-monofasico-220v-1mppt-monitoramento</t>
  </si>
  <si>
    <t>MIN3000TL-X</t>
  </si>
  <si>
    <t>13,5/13,5</t>
  </si>
  <si>
    <t>16/16</t>
  </si>
  <si>
    <t>https://www.aldo.com.br/loja/produto/68202-0/inversor-solar-fotovoltaico-on-grid-growatt-min3000tl-x-3kw-monofasico-220v-2mppt-monitoramento</t>
  </si>
  <si>
    <t>MIN5000TL-X </t>
  </si>
  <si>
    <t>https://www.aldo.com.br/loja/produto/57555-2/inversor-solar-fotovoltaico-on-grid-growatt-min5000tl-x-5kw-monofasico-220v-2mppt-monitoramento</t>
  </si>
  <si>
    <t>MIN6000TL-X</t>
  </si>
  <si>
    <t>https://www.aldo.com.br/loja/produto/57561-9/inversor-solar-fotovoltaico-on-grid-growatt-min6000tl-x-6kw-monofasico-220v-2mppt-monitoramento</t>
  </si>
  <si>
    <t>MIN8000TL-X </t>
  </si>
  <si>
    <t>1/2</t>
  </si>
  <si>
    <t>13,5/27</t>
  </si>
  <si>
    <t>16,9/33,8</t>
  </si>
  <si>
    <t>https://www.aldo.com.br/loja/produto/116873-4/inversor-solar-fotovoltaico-on-grid-growatt-min8000tl-x-e-8kw-monofasico-220v-2mppt-monitoramento</t>
  </si>
  <si>
    <t>MIN10000TL-X</t>
  </si>
  <si>
    <t>1/1/2</t>
  </si>
  <si>
    <t>13,5/13,5/27</t>
  </si>
  <si>
    <t>16,9/16,9/33,8</t>
  </si>
  <si>
    <t>https://www.aldo.com.br/loja/produto/97058-4/inversor-solar-fotovoltaico-on-grid-growatt-min10000tl-x-10kw-monofasico-220v-3mppt-monitoramento</t>
  </si>
  <si>
    <t>MID15KTL3-X</t>
  </si>
  <si>
    <t>Trifásico</t>
  </si>
  <si>
    <t>2+2</t>
  </si>
  <si>
    <t>https://www.aldo.com.br/loja/produto/73046-9/inversor-solar-fotovoltaico-on-grid-growatt-mid15ktl3-x-15kw-trifasico-380v-2mppt-monitoramento</t>
  </si>
  <si>
    <t>MID15KTL3-XL</t>
  </si>
  <si>
    <t>2/2/2/2</t>
  </si>
  <si>
    <t>26/26/26/26</t>
  </si>
  <si>
    <t>32/32/32/32</t>
  </si>
  <si>
    <t>https://www.aldo.com.br/loja/produto/117716-7/inversor-solar-fotovoltaico-on-grid-growatt-mid15ktl3-xl-15kw-trifasico-220v-4mppt-monitoramento</t>
  </si>
  <si>
    <t>MID20KTL3-X </t>
  </si>
  <si>
    <t>https://www.aldo.com.br/loja/produto/63283-3/inversor-solar-fotovoltaico-on-grid-growatt-mid20ktl3-x-20kw-trifasico-380v-2mppt-monitoramento</t>
  </si>
  <si>
    <t>MID20KTL3-XL</t>
  </si>
  <si>
    <t>https://www.aldo.com.br/loja/produto/117717-1/inversor-solar-fotovoltaico-on-grid-growatt-mid20ktl3-xl-20kw-trifasico-220v-4mppt-monitoramento</t>
  </si>
  <si>
    <t>MID25KTL3-X</t>
  </si>
  <si>
    <t>2+3</t>
  </si>
  <si>
    <t>25/37,5</t>
  </si>
  <si>
    <t>32/48</t>
  </si>
  <si>
    <t>https://www.aldo.com.br/loja/produto/68201-6/inversor-solar-fotovoltaico-on-grid-growatt-mid25ktl3-x-25kw-trifasico-380v-2mppt-monitoramento</t>
  </si>
  <si>
    <t>MAC25KTL3-XL</t>
  </si>
  <si>
    <t>4/4/4</t>
  </si>
  <si>
    <t>52/52/52</t>
  </si>
  <si>
    <t>55/55/55</t>
  </si>
  <si>
    <t>https://www.aldo.com.br/loja/produto/117718-5/inversor-solar-fotovoltaico-on-grid-growatt-mac25ktl3-xl-25kw-trifasico-220v-3mppt-monitoramento</t>
  </si>
  <si>
    <t>MID30KTL3-X </t>
  </si>
  <si>
    <t>2</t>
  </si>
  <si>
    <t>https://www.aldo.com.br/loja/produto/160156-0/inversor-solar-fotovoltaico-on-grid-growatt-mid30ktl3-x-30kw-trifasico-380v-3mppt-monitoramento</t>
  </si>
  <si>
    <t xml:space="preserve">MAC30KTL3-XL </t>
  </si>
  <si>
    <t>https://www.aldo.com.br/loja/produto/117719-9/inversor-solar-fotovoltaico-on-grid-growatt-mac30ktl3-xl-30kw-trifasico-220v-3mppt-monitoramento</t>
  </si>
  <si>
    <t>MID36KTL3-X</t>
  </si>
  <si>
    <t>https://www.aldo.com.br/loja/produto/150642-1/inversor-solar-fotovoltaico-on-grid-growatt-mid36ktl3-x-36kw-trifasico-380v-4mppt-monitoramento</t>
  </si>
  <si>
    <t xml:space="preserve">MAC36KTL3-XL </t>
  </si>
  <si>
    <t>https://www.aldo.com.br/loja/produto/117720-6/inversor-solar-fotovoltaico-on-grid-growatt-mac36ktl3-xl-36kw-trifasico-220v-3mppt-monitoramento</t>
  </si>
  <si>
    <t>MAC50KTL3-X</t>
  </si>
  <si>
    <t>4+3+3</t>
  </si>
  <si>
    <t>50/37,5/37,5</t>
  </si>
  <si>
    <t>https://www.aldo.com.br/loja/produto/160159-2/inversor-solar-fotovoltaico-on-grid-growatt-mac50ktl3-x-lv-50kw-trifasico-380v-3mppt-10-entradas-monitoramento</t>
  </si>
  <si>
    <t>MAX50KTL3-XL2</t>
  </si>
  <si>
    <t>https://www.aldo.com.br/loja/produto/174614-4/inversor-solar-fotovoltaico-on-grid-growatt-max50ktl3-xl2-50kw-trifasico-220v-8mppt-monitoramento</t>
  </si>
  <si>
    <t xml:space="preserve">MAC60KTL3-X </t>
  </si>
  <si>
    <t>50/50/50</t>
  </si>
  <si>
    <t>https://www.aldo.com.br/loja/produto/63282-9/inversor-solar-fotovoltaico-on-grid-growatt-mac60ktl3-x-lv-60kw-trifasico-380v-3mppt-12-entradas-monitoramento</t>
  </si>
  <si>
    <t>MAX60KTL3-XL2</t>
  </si>
  <si>
    <t>https://www.aldo.com.br/loja/produto/174616-2/inversor-solar-fotovoltaico-on-grid-growatt-max60ktl3-xl2-60kw-trifasico-220v-8mppt-monitoramento</t>
  </si>
  <si>
    <t>MAX75KTL3-LV</t>
  </si>
  <si>
    <t>https://www.aldo.com.br/loja/produto/73047-3/inversor-solar-fotovoltaico-on-grid-growatt-max75ktl3-lv-75kw-trifasico-380v-7mppt-14-entradas-monitoramento</t>
  </si>
  <si>
    <t>MAX75KTL3-XL2</t>
  </si>
  <si>
    <t>https://www.aldo.com.br/loja/produto/174615-8/inversor-solar-fotovoltaico-on-grid-growatt-max75ktl3-xl2-75kw-trifasico-220v-8mppt-16-entradas-monitoramento</t>
  </si>
  <si>
    <t>MAX100KTL3-X LV</t>
  </si>
  <si>
    <t>https://www.aldo.com.br/loja/produto/116874-8/inversor-solar-fotovoltaico-on-grid-growatt-max100ktl3-x-lv-100kw-trifasico-380v-10mppt-20-entradas-monitoramento</t>
  </si>
  <si>
    <t>MAX125KTL3-X</t>
  </si>
  <si>
    <t>https://www.aldo.com.br/loja/produto/116875-2/inversor-solar-fotovoltaico-on-grid-growatt-max125ktl3-x-lv-125kw-trifasico-380v-10mppt-20-entradas-monitoramento</t>
  </si>
  <si>
    <t>Qantidade</t>
  </si>
  <si>
    <t xml:space="preserve">Materiais </t>
  </si>
  <si>
    <t>Potência (kWp)</t>
  </si>
  <si>
    <t>Custos (R$)</t>
  </si>
  <si>
    <t>Custo total (R$)</t>
  </si>
  <si>
    <t>ANO</t>
  </si>
  <si>
    <t xml:space="preserve">Paineis fotovoltaicas </t>
  </si>
  <si>
    <t>Quantidade calculada no dimensionamento e custo levantado nos links (ABA PAINEL SOLAR)</t>
  </si>
  <si>
    <t>GERAÇÃO DE ENERGIA</t>
  </si>
  <si>
    <t>Inversor solar Canadian</t>
  </si>
  <si>
    <t>Quantidade calculada no dimensionamento e custo levantado nos links (ABA INVERSOR SOLAR)</t>
  </si>
  <si>
    <t>EQUIPAMENTOS + ESTRUTURA</t>
  </si>
  <si>
    <t>String box</t>
  </si>
  <si>
    <t>4% do valor total dos painel fotovoltaico + inversor solar</t>
  </si>
  <si>
    <t>MANUTENÇÃO</t>
  </si>
  <si>
    <t xml:space="preserve">Estrutura + Acessórios </t>
  </si>
  <si>
    <t>22% do valor total dos painel fotovoltaico + inversor solar + string box</t>
  </si>
  <si>
    <t>Mão de obra (30% equipamentos)</t>
  </si>
  <si>
    <t>30% valor total de todos equipamentos</t>
  </si>
  <si>
    <t>Custo Total do Sistema</t>
  </si>
  <si>
    <t>Custo da produção de energia</t>
  </si>
  <si>
    <t>LCOE</t>
  </si>
  <si>
    <t>Prever troca do inversor solar a cada 20 anos</t>
  </si>
  <si>
    <t>Qual valor da manutenção dos sitema?</t>
  </si>
  <si>
    <t>Vida útil dos painés fotovoltaicos</t>
  </si>
  <si>
    <t>anos</t>
  </si>
  <si>
    <t>Vida útil do inversor</t>
  </si>
  <si>
    <t>https://www.bcb.gov.br/controleinflacao/historicotaxasjuros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</si>
</sst>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R$&quot;\ * #,##0.00_-;\-&quot;R$&quot;\ * #,##0.00_-;_-&quot;R$&quot;\ * &quot;-&quot;??_-;_-@_-"/>
    <numFmt numFmtId="164" formatCode="#,##0.00_);[Red]\(#,##0.00\)"/>
    <numFmt numFmtId="165" formatCode="0.0_ "/>
    <numFmt numFmtId="166" formatCode="0.00_ "/>
    <numFmt numFmtId="167" formatCode="0_ "/>
    <numFmt numFmtId="168" formatCode="&quot;R$&quot;\ #,##0.00_);[Red]\(&quot;R$&quot;\ #,###.00\)"/>
    <numFmt numFmtId="169" formatCode="0.000_ "/>
    <numFmt numFmtId="170" formatCode="&quot;R$&quot;#,##0.00;[Red]\-&quot;R$&quot;#,##0.00"/>
    <numFmt numFmtId="171" formatCode="_-[$R$-416]\ * #,##0.00_-;\-[$R$-416]\ * #,##0.00_-;_-[$R$-416]\ * &quot;-&quot;??_-;_-@_-"/>
    <numFmt numFmtId="172" formatCode="_-[$R$-416]\ * #,##0.00_-;\-[$R$-416]\ * #,##0.00_-;_-[$R$-416]\ * &quot;-&quot;??_-;_-@"/>
  </numFmts>
  <fonts count="1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name val="Arial"/>
      <charset val="134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u/>
      <sz val="11"/>
      <color theme="1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CC33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000000"/>
      <name val="Calibri"/>
      <charset val="134"/>
    </font>
    <font>
      <sz val="10"/>
      <color theme="1"/>
      <name val="Calibri"/>
      <charset val="134"/>
      <scheme val="minor"/>
    </font>
    <font>
      <sz val="11"/>
      <color theme="1"/>
      <name val="Arial"/>
      <charset val="134"/>
    </font>
  </fonts>
  <fills count="10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44" fontId="1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4" fillId="0" borderId="0"/>
  </cellStyleXfs>
  <cellXfs count="16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1" xfId="3" applyFont="1" applyFill="1" applyBorder="1" applyAlignment="1">
      <alignment horizontal="center" vertical="center"/>
    </xf>
    <xf numFmtId="1" fontId="4" fillId="0" borderId="1" xfId="3" applyNumberFormat="1" applyFont="1" applyBorder="1" applyAlignment="1">
      <alignment horizontal="center" vertical="center"/>
    </xf>
    <xf numFmtId="2" fontId="4" fillId="0" borderId="1" xfId="3" applyNumberFormat="1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" xfId="3" applyFont="1" applyBorder="1" applyAlignment="1">
      <alignment horizontal="center" vertical="center"/>
    </xf>
    <xf numFmtId="1" fontId="4" fillId="0" borderId="5" xfId="3" applyNumberFormat="1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1" fontId="4" fillId="0" borderId="9" xfId="3" applyNumberFormat="1" applyFont="1" applyBorder="1" applyAlignment="1">
      <alignment horizontal="center" vertical="center"/>
    </xf>
    <xf numFmtId="0" fontId="4" fillId="0" borderId="9" xfId="3" applyFont="1" applyBorder="1" applyAlignment="1">
      <alignment horizontal="center" vertical="center"/>
    </xf>
    <xf numFmtId="44" fontId="4" fillId="0" borderId="9" xfId="1" applyFont="1" applyBorder="1" applyAlignment="1">
      <alignment horizontal="center" vertical="center"/>
    </xf>
    <xf numFmtId="44" fontId="2" fillId="0" borderId="14" xfId="1" applyFont="1" applyBorder="1" applyAlignment="1">
      <alignment horizontal="center" vertical="center"/>
    </xf>
    <xf numFmtId="0" fontId="4" fillId="0" borderId="1" xfId="3" applyFont="1" applyBorder="1" applyAlignment="1">
      <alignment horizontal="center"/>
    </xf>
    <xf numFmtId="0" fontId="6" fillId="0" borderId="0" xfId="2"/>
    <xf numFmtId="0" fontId="1" fillId="4" borderId="9" xfId="0" applyFon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44" fontId="0" fillId="0" borderId="9" xfId="0" applyNumberFormat="1" applyBorder="1"/>
    <xf numFmtId="44" fontId="0" fillId="0" borderId="9" xfId="1" applyFont="1" applyBorder="1" applyAlignment="1">
      <alignment horizontal="center"/>
    </xf>
    <xf numFmtId="44" fontId="0" fillId="0" borderId="0" xfId="0" applyNumberFormat="1"/>
    <xf numFmtId="44" fontId="0" fillId="0" borderId="17" xfId="1" applyFont="1" applyBorder="1" applyAlignment="1"/>
    <xf numFmtId="2" fontId="0" fillId="0" borderId="9" xfId="0" applyNumberForma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44" fontId="0" fillId="0" borderId="9" xfId="1" applyFont="1" applyBorder="1" applyAlignment="1"/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165" fontId="0" fillId="4" borderId="22" xfId="0" applyNumberFormat="1" applyFill="1" applyBorder="1" applyAlignment="1">
      <alignment horizontal="center"/>
    </xf>
    <xf numFmtId="166" fontId="0" fillId="4" borderId="22" xfId="0" applyNumberFormat="1" applyFill="1" applyBorder="1" applyAlignment="1">
      <alignment horizontal="center"/>
    </xf>
    <xf numFmtId="167" fontId="0" fillId="4" borderId="22" xfId="0" applyNumberForma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6" fontId="0" fillId="0" borderId="24" xfId="0" applyNumberFormat="1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166" fontId="0" fillId="4" borderId="24" xfId="0" applyNumberForma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165" fontId="0" fillId="4" borderId="26" xfId="0" applyNumberFormat="1" applyFill="1" applyBorder="1" applyAlignment="1">
      <alignment horizontal="center"/>
    </xf>
    <xf numFmtId="166" fontId="0" fillId="4" borderId="26" xfId="0" applyNumberFormat="1" applyFill="1" applyBorder="1" applyAlignment="1">
      <alignment horizontal="center"/>
    </xf>
    <xf numFmtId="167" fontId="0" fillId="4" borderId="26" xfId="0" applyNumberForma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1" fillId="5" borderId="1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0" fillId="4" borderId="22" xfId="0" applyNumberFormat="1" applyFill="1" applyBorder="1" applyAlignment="1">
      <alignment horizontal="center"/>
    </xf>
    <xf numFmtId="168" fontId="0" fillId="4" borderId="22" xfId="0" applyNumberFormat="1" applyFill="1" applyBorder="1" applyAlignment="1">
      <alignment horizontal="center"/>
    </xf>
    <xf numFmtId="0" fontId="0" fillId="4" borderId="22" xfId="0" applyFill="1" applyBorder="1" applyAlignment="1">
      <alignment horizontal="left"/>
    </xf>
    <xf numFmtId="49" fontId="0" fillId="0" borderId="24" xfId="0" applyNumberFormat="1" applyBorder="1" applyAlignment="1">
      <alignment horizontal="center"/>
    </xf>
    <xf numFmtId="168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left"/>
    </xf>
    <xf numFmtId="49" fontId="0" fillId="4" borderId="24" xfId="0" applyNumberFormat="1" applyFill="1" applyBorder="1" applyAlignment="1">
      <alignment horizontal="center"/>
    </xf>
    <xf numFmtId="168" fontId="0" fillId="4" borderId="24" xfId="0" applyNumberFormat="1" applyFill="1" applyBorder="1" applyAlignment="1">
      <alignment horizontal="center"/>
    </xf>
    <xf numFmtId="0" fontId="0" fillId="4" borderId="24" xfId="0" applyFill="1" applyBorder="1" applyAlignment="1">
      <alignment horizontal="left"/>
    </xf>
    <xf numFmtId="49" fontId="0" fillId="4" borderId="26" xfId="0" applyNumberFormat="1" applyFill="1" applyBorder="1" applyAlignment="1">
      <alignment horizontal="center"/>
    </xf>
    <xf numFmtId="168" fontId="0" fillId="4" borderId="26" xfId="0" applyNumberFormat="1" applyFill="1" applyBorder="1" applyAlignment="1">
      <alignment horizontal="center"/>
    </xf>
    <xf numFmtId="0" fontId="0" fillId="4" borderId="26" xfId="0" applyFill="1" applyBorder="1" applyAlignment="1">
      <alignment horizontal="left"/>
    </xf>
    <xf numFmtId="0" fontId="1" fillId="0" borderId="10" xfId="0" applyFont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67" fontId="0" fillId="0" borderId="27" xfId="0" applyNumberFormat="1" applyBorder="1" applyAlignment="1">
      <alignment horizontal="center"/>
    </xf>
    <xf numFmtId="166" fontId="0" fillId="0" borderId="27" xfId="0" applyNumberFormat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167" fontId="0" fillId="0" borderId="26" xfId="0" applyNumberFormat="1" applyBorder="1" applyAlignment="1">
      <alignment horizontal="center"/>
    </xf>
    <xf numFmtId="166" fontId="0" fillId="0" borderId="26" xfId="0" applyNumberForma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169" fontId="0" fillId="0" borderId="27" xfId="0" applyNumberFormat="1" applyBorder="1" applyAlignment="1">
      <alignment horizontal="center"/>
    </xf>
    <xf numFmtId="168" fontId="0" fillId="0" borderId="27" xfId="1" applyNumberFormat="1" applyFont="1" applyBorder="1" applyAlignment="1">
      <alignment horizontal="center"/>
    </xf>
    <xf numFmtId="0" fontId="0" fillId="0" borderId="27" xfId="0" applyBorder="1" applyAlignment="1">
      <alignment horizontal="left"/>
    </xf>
    <xf numFmtId="169" fontId="0" fillId="4" borderId="24" xfId="0" applyNumberFormat="1" applyFill="1" applyBorder="1" applyAlignment="1">
      <alignment horizontal="center"/>
    </xf>
    <xf numFmtId="168" fontId="0" fillId="4" borderId="24" xfId="1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69" fontId="0" fillId="0" borderId="24" xfId="0" applyNumberFormat="1" applyBorder="1" applyAlignment="1">
      <alignment horizontal="center"/>
    </xf>
    <xf numFmtId="168" fontId="0" fillId="0" borderId="24" xfId="1" applyNumberFormat="1" applyFont="1" applyBorder="1" applyAlignment="1">
      <alignment horizontal="center"/>
    </xf>
    <xf numFmtId="169" fontId="0" fillId="0" borderId="26" xfId="0" applyNumberFormat="1" applyBorder="1" applyAlignment="1">
      <alignment horizontal="center"/>
    </xf>
    <xf numFmtId="168" fontId="0" fillId="0" borderId="26" xfId="1" applyNumberFormat="1" applyFont="1" applyBorder="1" applyAlignment="1">
      <alignment horizontal="center"/>
    </xf>
    <xf numFmtId="0" fontId="0" fillId="0" borderId="26" xfId="0" applyBorder="1" applyAlignment="1">
      <alignment horizontal="left"/>
    </xf>
    <xf numFmtId="17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1" fillId="6" borderId="0" xfId="0" applyFont="1" applyFill="1"/>
    <xf numFmtId="0" fontId="1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9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0" fontId="0" fillId="0" borderId="0" xfId="0" applyAlignment="1">
      <alignment horizontal="right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8" fillId="0" borderId="0" xfId="0" applyFont="1" applyAlignment="1">
      <alignment horizontal="right" vertical="center" wrapText="1"/>
    </xf>
    <xf numFmtId="0" fontId="4" fillId="0" borderId="0" xfId="0" applyFont="1"/>
    <xf numFmtId="0" fontId="0" fillId="0" borderId="9" xfId="0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5" borderId="9" xfId="0" applyFill="1" applyBorder="1" applyAlignment="1">
      <alignment horizontal="center"/>
    </xf>
    <xf numFmtId="0" fontId="10" fillId="0" borderId="0" xfId="0" applyFont="1"/>
    <xf numFmtId="0" fontId="0" fillId="7" borderId="9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2" fontId="0" fillId="8" borderId="9" xfId="0" applyNumberForma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12" fillId="0" borderId="0" xfId="0" applyFont="1"/>
    <xf numFmtId="0" fontId="1" fillId="7" borderId="9" xfId="0" applyFont="1" applyFill="1" applyBorder="1" applyAlignment="1">
      <alignment horizontal="center"/>
    </xf>
    <xf numFmtId="171" fontId="0" fillId="0" borderId="0" xfId="0" applyNumberFormat="1"/>
    <xf numFmtId="170" fontId="2" fillId="0" borderId="0" xfId="0" applyNumberFormat="1" applyFont="1" applyAlignment="1">
      <alignment horizontal="center"/>
    </xf>
    <xf numFmtId="1" fontId="4" fillId="0" borderId="0" xfId="0" applyNumberFormat="1" applyFont="1"/>
    <xf numFmtId="170" fontId="2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center"/>
    </xf>
    <xf numFmtId="172" fontId="1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72" fontId="5" fillId="0" borderId="0" xfId="0" applyNumberFormat="1" applyFont="1" applyAlignment="1">
      <alignment horizont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1" fillId="7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9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horizontal="center"/>
    </xf>
    <xf numFmtId="0" fontId="3" fillId="0" borderId="3" xfId="3" applyFont="1" applyBorder="1"/>
    <xf numFmtId="0" fontId="3" fillId="0" borderId="4" xfId="3" applyFont="1" applyBorder="1"/>
    <xf numFmtId="0" fontId="1" fillId="3" borderId="9" xfId="0" applyFont="1" applyFill="1" applyBorder="1" applyAlignment="1">
      <alignment horizontal="center"/>
    </xf>
    <xf numFmtId="0" fontId="5" fillId="0" borderId="2" xfId="3" applyFont="1" applyBorder="1" applyAlignment="1">
      <alignment horizontal="left"/>
    </xf>
    <xf numFmtId="164" fontId="1" fillId="3" borderId="9" xfId="0" applyNumberFormat="1" applyFont="1" applyFill="1" applyBorder="1" applyAlignment="1">
      <alignment horizontal="center"/>
    </xf>
    <xf numFmtId="0" fontId="5" fillId="0" borderId="6" xfId="3" applyFont="1" applyBorder="1" applyAlignment="1">
      <alignment horizontal="left"/>
    </xf>
    <xf numFmtId="0" fontId="5" fillId="0" borderId="7" xfId="3" applyFont="1" applyBorder="1" applyAlignment="1">
      <alignment horizontal="left"/>
    </xf>
    <xf numFmtId="0" fontId="5" fillId="0" borderId="8" xfId="3" applyFont="1" applyBorder="1" applyAlignment="1">
      <alignment horizontal="left"/>
    </xf>
    <xf numFmtId="0" fontId="5" fillId="0" borderId="10" xfId="3" applyFont="1" applyBorder="1" applyAlignment="1">
      <alignment horizontal="left"/>
    </xf>
    <xf numFmtId="0" fontId="5" fillId="0" borderId="11" xfId="3" applyFont="1" applyBorder="1" applyAlignment="1">
      <alignment horizontal="left"/>
    </xf>
    <xf numFmtId="0" fontId="5" fillId="0" borderId="12" xfId="3" applyFont="1" applyBorder="1" applyAlignment="1">
      <alignment horizontal="left"/>
    </xf>
    <xf numFmtId="0" fontId="2" fillId="0" borderId="13" xfId="3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4" fillId="0" borderId="2" xfId="3" applyFont="1" applyBorder="1" applyAlignment="1">
      <alignment horizontal="left"/>
    </xf>
  </cellXfs>
  <cellStyles count="4">
    <cellStyle name="Currency" xfId="1" builtinId="4"/>
    <cellStyle name="Hyperlink" xfId="2" builtinId="8"/>
    <cellStyle name="Normal" xfId="0" builtinId="0"/>
    <cellStyle name="Normal 2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Geração de Energia</a:t>
            </a:r>
            <a:r>
              <a:rPr lang="en-US" baseline="0"/>
              <a:t> Fotovoltaica Mensal (kWh/mês)</a:t>
            </a:r>
            <a:endParaRPr lang="en-US"/>
          </a:p>
        </c:rich>
      </c:tx>
      <c:layout>
        <c:manualLayout>
          <c:xMode val="edge"/>
          <c:yMode val="edge"/>
          <c:x val="0.19375482756110199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369203849518801"/>
          <c:y val="0.167083333333333"/>
          <c:w val="0.84575240594925605"/>
          <c:h val="0.679220982793817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Cascavel!$A$12:$L$12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 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Cascavel!$A$25:$L$25</c:f>
              <c:numCache>
                <c:formatCode>0</c:formatCode>
                <c:ptCount val="12"/>
                <c:pt idx="0">
                  <c:v>397.65901000000002</c:v>
                </c:pt>
                <c:pt idx="1">
                  <c:v>451.90249999999997</c:v>
                </c:pt>
                <c:pt idx="2">
                  <c:v>502.21937499999996</c:v>
                </c:pt>
                <c:pt idx="3">
                  <c:v>452.94375000000002</c:v>
                </c:pt>
                <c:pt idx="4">
                  <c:v>399.68687499999999</c:v>
                </c:pt>
                <c:pt idx="5">
                  <c:v>361.06875000000002</c:v>
                </c:pt>
                <c:pt idx="6">
                  <c:v>393.04124999999999</c:v>
                </c:pt>
                <c:pt idx="7">
                  <c:v>484.18124999999992</c:v>
                </c:pt>
                <c:pt idx="8">
                  <c:v>431.8125</c:v>
                </c:pt>
                <c:pt idx="9">
                  <c:v>482.28249999999991</c:v>
                </c:pt>
                <c:pt idx="10">
                  <c:v>498.88124999999997</c:v>
                </c:pt>
                <c:pt idx="11">
                  <c:v>529.75125000000003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3-472C-8BF2-391599FF0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85384"/>
        <c:axId val="214483744"/>
      </c:barChart>
      <c:catAx>
        <c:axId val="21448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 do 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pt-BR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483744"/>
        <c:crosses val="autoZero"/>
        <c:auto val="1"/>
        <c:lblAlgn val="ctr"/>
        <c:lblOffset val="100"/>
        <c:noMultiLvlLbl val="0"/>
      </c:catAx>
      <c:valAx>
        <c:axId val="214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Energia Gerada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pt-BR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48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98245</xdr:colOff>
      <xdr:row>32</xdr:row>
      <xdr:rowOff>59815</xdr:rowOff>
    </xdr:from>
    <xdr:to>
      <xdr:col>7</xdr:col>
      <xdr:colOff>394651</xdr:colOff>
      <xdr:row>46</xdr:row>
      <xdr:rowOff>136015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257175</xdr:colOff>
      <xdr:row>73</xdr:row>
      <xdr:rowOff>92319</xdr:rowOff>
    </xdr:from>
    <xdr:ext cx="209884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57175" y="14379575"/>
              <a:ext cx="2098675" cy="380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>
                        <a:latin typeface="Cambria Math" panose="02040503050406030204" pitchFamily="18" charset="0"/>
                      </a:rPr>
                      <m:t>Δ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BR" sz="110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i="0">
                                <a:latin typeface="Cambria Math" panose="02040503050406030204" pitchFamily="18" charset="0"/>
                              </a:rPr>
                              <m:t>−0,31</m:t>
                            </m:r>
                          </m:num>
                          <m:den>
                            <m:r>
                              <a:rPr lang="pt-BR" sz="1100" i="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  <m:r>
                          <a:rPr lang="pt-BR" sz="1100" i="0">
                            <a:latin typeface="Cambria Math" panose="02040503050406030204" pitchFamily="18" charset="0"/>
                          </a:rPr>
                          <m:t>×</m:t>
                        </m:r>
                        <m:r>
                          <a:rPr lang="pt-BR" sz="1100" b="0" i="0">
                            <a:latin typeface="Cambria Math" panose="02040503050406030204" pitchFamily="18" charset="0"/>
                          </a:rPr>
                          <m:t>47,28</m:t>
                        </m:r>
                      </m:e>
                    </m:d>
                    <m:r>
                      <a:rPr lang="pt-BR" sz="1100" i="0">
                        <a:latin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BR" sz="1100" i="0">
                            <a:latin typeface="Cambria Math" panose="02040503050406030204" pitchFamily="18" charset="0"/>
                          </a:rPr>
                          <m:t>−25</m:t>
                        </m:r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 xmlns:r="http://schemas.openxmlformats.org/officeDocument/2006/relationships" xmlns="">
        <xdr:sp>
          <xdr:nvSpPr>
            <xdr:cNvPr id="3" name="CaixaDeTexto 2"/>
            <xdr:cNvSpPr txBox="1"/>
          </xdr:nvSpPr>
          <xdr:spPr>
            <a:xfrm>
              <a:off x="257175" y="14379575"/>
              <a:ext cx="2098675" cy="380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>
                  <a:latin typeface="Cambria Math" panose="02040503050406030204" pitchFamily="18" charset="0"/>
                </a:rPr>
                <a:t>Δ</a:t>
              </a:r>
              <a:r>
                <a:rPr lang="pt-BR" sz="1100">
                  <a:latin typeface="Cambria Math" panose="02040503050406030204" pitchFamily="18" charset="0"/>
                </a:rPr>
                <a:t>𝑣</a:t>
              </a:r>
              <a:r>
                <a:rPr lang="pt-BR" sz="1100">
                  <a:latin typeface="Cambria Math" panose="02040503050406030204" pitchFamily="18" charset="0"/>
                </a:rPr>
                <a:t>=</a:t>
              </a:r>
              <a:r>
                <a:rPr lang="pt-BR" sz="1100">
                  <a:latin typeface="Cambria Math" panose="02040503050406030204" pitchFamily="18" charset="0"/>
                </a:rPr>
                <a:t>(</a:t>
              </a:r>
              <a:r>
                <a:rPr lang="pt-BR" sz="1100">
                  <a:latin typeface="Cambria Math" panose="02040503050406030204" pitchFamily="18" charset="0"/>
                </a:rPr>
                <a:t>−</a:t>
              </a:r>
              <a:r>
                <a:rPr lang="pt-BR" sz="1100">
                  <a:latin typeface="Cambria Math" panose="02040503050406030204" pitchFamily="18" charset="0"/>
                </a:rPr>
                <a:t>0</a:t>
              </a:r>
              <a:r>
                <a:rPr lang="pt-BR" sz="1100">
                  <a:latin typeface="Cambria Math" panose="02040503050406030204" pitchFamily="18" charset="0"/>
                </a:rPr>
                <a:t>,</a:t>
              </a:r>
              <a:r>
                <a:rPr lang="pt-BR" sz="1100">
                  <a:latin typeface="Cambria Math" panose="02040503050406030204" pitchFamily="18" charset="0"/>
                </a:rPr>
                <a:t>31</a:t>
              </a:r>
              <a:r>
                <a:rPr lang="pt-BR" sz="1100">
                  <a:latin typeface="Cambria Math" panose="02040503050406030204" pitchFamily="18" charset="0"/>
                </a:rPr>
                <a:t>/</a:t>
              </a:r>
              <a:r>
                <a:rPr lang="pt-BR" sz="1100">
                  <a:latin typeface="Cambria Math" panose="02040503050406030204" pitchFamily="18" charset="0"/>
                </a:rPr>
                <a:t>100</a:t>
              </a:r>
              <a:r>
                <a:rPr lang="pt-BR" sz="1100">
                  <a:latin typeface="Cambria Math" panose="02040503050406030204" pitchFamily="18" charset="0"/>
                </a:rPr>
                <a:t>×</a:t>
              </a:r>
              <a:r>
                <a:rPr lang="pt-BR" sz="1100" b="0">
                  <a:latin typeface="Cambria Math" panose="02040503050406030204" pitchFamily="18" charset="0"/>
                </a:rPr>
                <a:t>47</a:t>
              </a:r>
              <a:r>
                <a:rPr lang="pt-BR" sz="1100" b="0">
                  <a:latin typeface="Cambria Math" panose="02040503050406030204" pitchFamily="18" charset="0"/>
                </a:rPr>
                <a:t>,</a:t>
              </a:r>
              <a:r>
                <a:rPr lang="pt-BR" sz="1100" b="0">
                  <a:latin typeface="Cambria Math" panose="02040503050406030204" pitchFamily="18" charset="0"/>
                </a:rPr>
                <a:t>28</a:t>
              </a:r>
              <a:r>
                <a:rPr lang="pt-BR" sz="1100">
                  <a:latin typeface="Cambria Math" panose="02040503050406030204" pitchFamily="18" charset="0"/>
                </a:rPr>
                <a:t>)</a:t>
              </a:r>
              <a:r>
                <a:rPr lang="pt-BR" sz="1100">
                  <a:latin typeface="Cambria Math" panose="02040503050406030204" pitchFamily="18" charset="0"/>
                </a:rPr>
                <a:t>×</a:t>
              </a:r>
              <a:r>
                <a:rPr lang="pt-BR" sz="1100">
                  <a:latin typeface="Cambria Math" panose="02040503050406030204" pitchFamily="18" charset="0"/>
                </a:rPr>
                <a:t>(</a:t>
              </a:r>
              <a:r>
                <a:rPr lang="pt-BR" sz="1100" b="0">
                  <a:latin typeface="Cambria Math" panose="02040503050406030204" pitchFamily="18" charset="0"/>
                </a:rPr>
                <a:t>2</a:t>
              </a:r>
              <a:r>
                <a:rPr lang="pt-BR" sz="1100">
                  <a:latin typeface="Cambria Math" panose="02040503050406030204" pitchFamily="18" charset="0"/>
                </a:rPr>
                <a:t>−</a:t>
              </a:r>
              <a:r>
                <a:rPr lang="pt-BR" sz="1100">
                  <a:latin typeface="Cambria Math" panose="02040503050406030204" pitchFamily="18" charset="0"/>
                </a:rPr>
                <a:t>25</a:t>
              </a:r>
              <a:r>
                <a:rPr lang="pt-BR" sz="1100">
                  <a:latin typeface="Cambria Math" panose="02040503050406030204" pitchFamily="18" charset="0"/>
                </a:rPr>
                <a:t>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257175</xdr:colOff>
      <xdr:row>86</xdr:row>
      <xdr:rowOff>92319</xdr:rowOff>
    </xdr:from>
    <xdr:ext cx="2176943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57175" y="16856075"/>
              <a:ext cx="2176780" cy="380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>
                        <a:latin typeface="Cambria Math" panose="02040503050406030204" pitchFamily="18" charset="0"/>
                      </a:rPr>
                      <m:t>Δ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BR" sz="110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i="0">
                                <a:latin typeface="Cambria Math" panose="02040503050406030204" pitchFamily="18" charset="0"/>
                              </a:rPr>
                              <m:t>−0,3</m:t>
                            </m:r>
                            <m:r>
                              <a:rPr lang="pt-BR" sz="1100" b="0" i="0">
                                <a:latin typeface="Cambria Math" panose="02040503050406030204" pitchFamily="18" charset="0"/>
                              </a:rPr>
                              <m:t>9</m:t>
                            </m:r>
                          </m:num>
                          <m:den>
                            <m:r>
                              <a:rPr lang="pt-BR" sz="1100" i="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  <m:r>
                          <a:rPr lang="pt-BR" sz="1100" i="0">
                            <a:latin typeface="Cambria Math" panose="02040503050406030204" pitchFamily="18" charset="0"/>
                          </a:rPr>
                          <m:t>×</m:t>
                        </m:r>
                        <m:r>
                          <a:rPr lang="pt-BR" sz="1100" b="0" i="0">
                            <a:latin typeface="Cambria Math" panose="02040503050406030204" pitchFamily="18" charset="0"/>
                          </a:rPr>
                          <m:t>37,35</m:t>
                        </m:r>
                      </m:e>
                    </m:d>
                    <m:r>
                      <a:rPr lang="pt-BR" sz="1100" i="0">
                        <a:latin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0">
                            <a:latin typeface="Cambria Math" panose="02040503050406030204" pitchFamily="18" charset="0"/>
                          </a:rPr>
                          <m:t>79</m:t>
                        </m:r>
                        <m:r>
                          <a:rPr lang="pt-BR" sz="1100" i="0">
                            <a:latin typeface="Cambria Math" panose="02040503050406030204" pitchFamily="18" charset="0"/>
                          </a:rPr>
                          <m:t>−25</m:t>
                        </m:r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 xmlns:r="http://schemas.openxmlformats.org/officeDocument/2006/relationships" xmlns="">
        <xdr:sp>
          <xdr:nvSpPr>
            <xdr:cNvPr id="4" name="CaixaDeTexto 3"/>
            <xdr:cNvSpPr txBox="1"/>
          </xdr:nvSpPr>
          <xdr:spPr>
            <a:xfrm>
              <a:off x="257175" y="16856075"/>
              <a:ext cx="2176780" cy="380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>
                  <a:latin typeface="Cambria Math" panose="02040503050406030204" pitchFamily="18" charset="0"/>
                </a:rPr>
                <a:t>Δ</a:t>
              </a:r>
              <a:r>
                <a:rPr lang="pt-BR" sz="1100">
                  <a:latin typeface="Cambria Math" panose="02040503050406030204" pitchFamily="18" charset="0"/>
                </a:rPr>
                <a:t>𝑣</a:t>
              </a:r>
              <a:r>
                <a:rPr lang="pt-BR" sz="1100">
                  <a:latin typeface="Cambria Math" panose="02040503050406030204" pitchFamily="18" charset="0"/>
                </a:rPr>
                <a:t>=</a:t>
              </a:r>
              <a:r>
                <a:rPr lang="pt-BR" sz="1100">
                  <a:latin typeface="Cambria Math" panose="02040503050406030204" pitchFamily="18" charset="0"/>
                </a:rPr>
                <a:t>(</a:t>
              </a:r>
              <a:r>
                <a:rPr lang="pt-BR" sz="1100">
                  <a:latin typeface="Cambria Math" panose="02040503050406030204" pitchFamily="18" charset="0"/>
                </a:rPr>
                <a:t>−</a:t>
              </a:r>
              <a:r>
                <a:rPr lang="pt-BR" sz="1100">
                  <a:latin typeface="Cambria Math" panose="02040503050406030204" pitchFamily="18" charset="0"/>
                </a:rPr>
                <a:t>0</a:t>
              </a:r>
              <a:r>
                <a:rPr lang="pt-BR" sz="1100">
                  <a:latin typeface="Cambria Math" panose="02040503050406030204" pitchFamily="18" charset="0"/>
                </a:rPr>
                <a:t>,</a:t>
              </a:r>
              <a:r>
                <a:rPr lang="pt-BR" sz="1100">
                  <a:latin typeface="Cambria Math" panose="02040503050406030204" pitchFamily="18" charset="0"/>
                </a:rPr>
                <a:t>3</a:t>
              </a:r>
              <a:r>
                <a:rPr lang="pt-BR" sz="1100" b="0">
                  <a:latin typeface="Cambria Math" panose="02040503050406030204" pitchFamily="18" charset="0"/>
                </a:rPr>
                <a:t>9</a:t>
              </a:r>
              <a:r>
                <a:rPr lang="pt-BR" sz="1100">
                  <a:latin typeface="Cambria Math" panose="02040503050406030204" pitchFamily="18" charset="0"/>
                </a:rPr>
                <a:t>/</a:t>
              </a:r>
              <a:r>
                <a:rPr lang="pt-BR" sz="1100">
                  <a:latin typeface="Cambria Math" panose="02040503050406030204" pitchFamily="18" charset="0"/>
                </a:rPr>
                <a:t>100</a:t>
              </a:r>
              <a:r>
                <a:rPr lang="pt-BR" sz="1100">
                  <a:latin typeface="Cambria Math" panose="02040503050406030204" pitchFamily="18" charset="0"/>
                </a:rPr>
                <a:t>×</a:t>
              </a:r>
              <a:r>
                <a:rPr lang="pt-BR" sz="1100" b="0">
                  <a:latin typeface="Cambria Math" panose="02040503050406030204" pitchFamily="18" charset="0"/>
                </a:rPr>
                <a:t>37</a:t>
              </a:r>
              <a:r>
                <a:rPr lang="pt-BR" sz="1100" b="0">
                  <a:latin typeface="Cambria Math" panose="02040503050406030204" pitchFamily="18" charset="0"/>
                </a:rPr>
                <a:t>,</a:t>
              </a:r>
              <a:r>
                <a:rPr lang="pt-BR" sz="1100" b="0">
                  <a:latin typeface="Cambria Math" panose="02040503050406030204" pitchFamily="18" charset="0"/>
                </a:rPr>
                <a:t>35</a:t>
              </a:r>
              <a:r>
                <a:rPr lang="pt-BR" sz="1100">
                  <a:latin typeface="Cambria Math" panose="02040503050406030204" pitchFamily="18" charset="0"/>
                </a:rPr>
                <a:t>)</a:t>
              </a:r>
              <a:r>
                <a:rPr lang="pt-BR" sz="1100">
                  <a:latin typeface="Cambria Math" panose="02040503050406030204" pitchFamily="18" charset="0"/>
                </a:rPr>
                <a:t>×</a:t>
              </a:r>
              <a:r>
                <a:rPr lang="pt-BR" sz="1100">
                  <a:latin typeface="Cambria Math" panose="02040503050406030204" pitchFamily="18" charset="0"/>
                </a:rPr>
                <a:t>(</a:t>
              </a:r>
              <a:r>
                <a:rPr lang="pt-BR" sz="1100" b="0">
                  <a:latin typeface="Cambria Math" panose="02040503050406030204" pitchFamily="18" charset="0"/>
                </a:rPr>
                <a:t>79</a:t>
              </a:r>
              <a:r>
                <a:rPr lang="pt-BR" sz="1100">
                  <a:latin typeface="Cambria Math" panose="02040503050406030204" pitchFamily="18" charset="0"/>
                </a:rPr>
                <a:t>−</a:t>
              </a:r>
              <a:r>
                <a:rPr lang="pt-BR" sz="1100">
                  <a:latin typeface="Cambria Math" panose="02040503050406030204" pitchFamily="18" charset="0"/>
                </a:rPr>
                <a:t>25</a:t>
              </a:r>
              <a:r>
                <a:rPr lang="pt-BR" sz="1100">
                  <a:latin typeface="Cambria Math" panose="02040503050406030204" pitchFamily="18" charset="0"/>
                </a:rPr>
                <a:t>)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11</xdr:col>
      <xdr:colOff>467360</xdr:colOff>
      <xdr:row>49</xdr:row>
      <xdr:rowOff>6985</xdr:rowOff>
    </xdr:from>
    <xdr:to>
      <xdr:col>11</xdr:col>
      <xdr:colOff>777240</xdr:colOff>
      <xdr:row>52</xdr:row>
      <xdr:rowOff>174625</xdr:rowOff>
    </xdr:to>
    <xdr:cxnSp macro="">
      <xdr:nvCxnSpPr>
        <xdr:cNvPr id="5" name="Conector Angulad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 flipV="1">
          <a:off x="8377555" y="9937115"/>
          <a:ext cx="739140" cy="3098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</xdr:row>
      <xdr:rowOff>0</xdr:rowOff>
    </xdr:from>
    <xdr:to>
      <xdr:col>13</xdr:col>
      <xdr:colOff>876300</xdr:colOff>
      <xdr:row>30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4019550"/>
          <a:ext cx="10972800" cy="1724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osolar.com.br/loja/painel-solar-fotovoltaico-555w-renesola-rs6-555m-e3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bcb.gov.br/controleinflacao/historicotaxasjur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6"/>
  <sheetViews>
    <sheetView topLeftCell="A17" zoomScale="106" zoomScaleNormal="106" workbookViewId="0">
      <selection activeCell="P28" sqref="P28"/>
    </sheetView>
  </sheetViews>
  <sheetFormatPr defaultColWidth="9" defaultRowHeight="15"/>
  <cols>
    <col min="1" max="10" width="10.7109375" customWidth="1"/>
    <col min="11" max="12" width="14.7109375" customWidth="1"/>
    <col min="13" max="13" width="10.7109375" customWidth="1"/>
    <col min="14" max="14" width="11.140625" customWidth="1"/>
    <col min="18" max="18" width="9.7109375" customWidth="1"/>
  </cols>
  <sheetData>
    <row r="1" spans="1:14" ht="15" customHeight="1">
      <c r="A1" t="s">
        <v>0</v>
      </c>
    </row>
    <row r="2" spans="1:14" ht="15" customHeight="1"/>
    <row r="3" spans="1:14" ht="15" customHeight="1">
      <c r="C3" s="95"/>
      <c r="D3" s="95"/>
      <c r="E3" s="95"/>
      <c r="F3" s="95"/>
      <c r="G3" s="95"/>
      <c r="H3" s="95"/>
      <c r="I3" s="95"/>
      <c r="J3" s="95"/>
    </row>
    <row r="4" spans="1:14" ht="15" customHeight="1">
      <c r="C4" s="95"/>
      <c r="D4" s="96" t="s">
        <v>1</v>
      </c>
      <c r="E4" s="95"/>
      <c r="F4" s="95"/>
      <c r="G4" s="95"/>
      <c r="H4" s="95"/>
      <c r="I4" s="95"/>
      <c r="J4" s="95"/>
    </row>
    <row r="5" spans="1:14" ht="15" customHeight="1">
      <c r="C5" s="95"/>
      <c r="D5" s="95"/>
      <c r="E5" s="95"/>
      <c r="F5" s="95"/>
      <c r="G5" s="95"/>
      <c r="H5" s="95"/>
      <c r="I5" s="95"/>
      <c r="J5" s="95"/>
    </row>
    <row r="6" spans="1:14" ht="15" customHeight="1"/>
    <row r="7" spans="1:14" s="93" customFormat="1" ht="30" customHeight="1">
      <c r="A7" s="129" t="s">
        <v>2</v>
      </c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1"/>
    </row>
    <row r="8" spans="1:14" ht="15" customHeight="1">
      <c r="A8" s="97" t="s">
        <v>3</v>
      </c>
      <c r="B8" s="97" t="s">
        <v>4</v>
      </c>
      <c r="C8" s="97" t="s">
        <v>5</v>
      </c>
      <c r="D8" s="97" t="s">
        <v>6</v>
      </c>
      <c r="E8" s="97" t="s">
        <v>7</v>
      </c>
      <c r="F8" s="97" t="s">
        <v>8</v>
      </c>
      <c r="G8" s="97" t="s">
        <v>9</v>
      </c>
      <c r="H8" s="97" t="s">
        <v>10</v>
      </c>
      <c r="I8" s="97" t="s">
        <v>11</v>
      </c>
      <c r="J8" s="97" t="s">
        <v>12</v>
      </c>
      <c r="K8" s="97" t="s">
        <v>13</v>
      </c>
      <c r="L8" s="97" t="s">
        <v>14</v>
      </c>
      <c r="M8" s="97" t="s">
        <v>15</v>
      </c>
    </row>
    <row r="9" spans="1:14" ht="15" customHeight="1">
      <c r="A9" s="23">
        <v>400</v>
      </c>
      <c r="B9" s="23">
        <v>400</v>
      </c>
      <c r="C9" s="23">
        <v>400</v>
      </c>
      <c r="D9" s="23">
        <v>400</v>
      </c>
      <c r="E9" s="23">
        <v>400</v>
      </c>
      <c r="F9" s="23">
        <v>400</v>
      </c>
      <c r="G9" s="23">
        <v>400</v>
      </c>
      <c r="H9" s="23">
        <v>400</v>
      </c>
      <c r="I9" s="23">
        <v>400</v>
      </c>
      <c r="J9" s="23">
        <v>400</v>
      </c>
      <c r="K9" s="23">
        <v>400</v>
      </c>
      <c r="L9" s="23">
        <v>400</v>
      </c>
      <c r="M9" s="23">
        <f>+AVERAGE(A9:L9)</f>
        <v>400</v>
      </c>
      <c r="N9" s="109" t="s">
        <v>16</v>
      </c>
    </row>
    <row r="10" spans="1:14" ht="15" customHeight="1"/>
    <row r="11" spans="1:14" s="93" customFormat="1" ht="30" customHeight="1">
      <c r="A11" s="132" t="s">
        <v>17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</row>
    <row r="12" spans="1:14" s="94" customFormat="1" ht="15" customHeight="1">
      <c r="A12" s="80" t="s">
        <v>3</v>
      </c>
      <c r="B12" s="80" t="s">
        <v>4</v>
      </c>
      <c r="C12" s="80" t="s">
        <v>5</v>
      </c>
      <c r="D12" s="80" t="s">
        <v>6</v>
      </c>
      <c r="E12" s="80" t="s">
        <v>7</v>
      </c>
      <c r="F12" s="80" t="s">
        <v>8</v>
      </c>
      <c r="G12" s="80" t="s">
        <v>9</v>
      </c>
      <c r="H12" s="80" t="s">
        <v>10</v>
      </c>
      <c r="I12" s="80" t="s">
        <v>11</v>
      </c>
      <c r="J12" s="80" t="s">
        <v>12</v>
      </c>
      <c r="K12" s="80" t="s">
        <v>13</v>
      </c>
      <c r="L12" s="80" t="s">
        <v>14</v>
      </c>
      <c r="M12" s="80" t="s">
        <v>15</v>
      </c>
    </row>
    <row r="13" spans="1:14" s="94" customFormat="1" ht="15" customHeight="1">
      <c r="A13" s="98">
        <v>31</v>
      </c>
      <c r="B13" s="98">
        <v>28</v>
      </c>
      <c r="C13" s="98">
        <v>31</v>
      </c>
      <c r="D13" s="98">
        <v>30</v>
      </c>
      <c r="E13" s="98">
        <v>31</v>
      </c>
      <c r="F13" s="98">
        <v>30</v>
      </c>
      <c r="G13" s="98">
        <v>31</v>
      </c>
      <c r="H13" s="98">
        <v>31</v>
      </c>
      <c r="I13" s="98">
        <v>30</v>
      </c>
      <c r="J13" s="98">
        <v>31</v>
      </c>
      <c r="K13" s="98">
        <v>30</v>
      </c>
      <c r="L13" s="98">
        <v>31</v>
      </c>
      <c r="M13" s="99">
        <f>+AVERAGE(A13:L13)</f>
        <v>30.416666666666668</v>
      </c>
    </row>
    <row r="14" spans="1:14" s="94" customFormat="1" ht="15" customHeight="1">
      <c r="A14" s="99">
        <v>5.57</v>
      </c>
      <c r="B14" s="99">
        <v>5.27</v>
      </c>
      <c r="C14" s="99">
        <v>5.29</v>
      </c>
      <c r="D14" s="99">
        <v>4.93</v>
      </c>
      <c r="E14" s="99">
        <v>4.21</v>
      </c>
      <c r="F14" s="99">
        <v>3.93</v>
      </c>
      <c r="G14" s="99">
        <v>4.1399999999999997</v>
      </c>
      <c r="H14" s="99">
        <v>5.0999999999999996</v>
      </c>
      <c r="I14" s="99">
        <v>4.7</v>
      </c>
      <c r="J14" s="99">
        <v>5.08</v>
      </c>
      <c r="K14" s="99">
        <v>5.43</v>
      </c>
      <c r="L14" s="99">
        <v>5.58</v>
      </c>
      <c r="M14" s="99">
        <f>+AVERAGE(A14:L14)</f>
        <v>4.9358333333333331</v>
      </c>
      <c r="N14" s="109" t="s">
        <v>16</v>
      </c>
    </row>
    <row r="15" spans="1:14" ht="15" customHeight="1"/>
    <row r="16" spans="1:14" ht="15" customHeight="1"/>
    <row r="17" spans="1:13" ht="15" customHeight="1">
      <c r="A17" s="133" t="s">
        <v>18</v>
      </c>
      <c r="B17" s="134"/>
      <c r="C17" s="134"/>
      <c r="D17" s="134"/>
      <c r="E17" s="135"/>
      <c r="F17" s="23">
        <f>+M9-50</f>
        <v>350</v>
      </c>
      <c r="H17" s="136" t="s">
        <v>19</v>
      </c>
      <c r="I17" s="136"/>
      <c r="J17" s="136"/>
      <c r="K17" s="110">
        <v>70</v>
      </c>
    </row>
    <row r="18" spans="1:13" ht="15" customHeight="1">
      <c r="A18" s="133" t="s">
        <v>20</v>
      </c>
      <c r="B18" s="134"/>
      <c r="C18" s="134"/>
      <c r="D18" s="134"/>
      <c r="E18" s="135"/>
      <c r="F18" s="23">
        <f>+M14</f>
        <v>4.9358333333333331</v>
      </c>
    </row>
    <row r="19" spans="1:13" ht="15" customHeight="1"/>
    <row r="20" spans="1:13" ht="15" customHeight="1">
      <c r="A20" t="s">
        <v>21</v>
      </c>
      <c r="B20" s="100">
        <f>+((F17/30)/(K17/100))/F18</f>
        <v>3.3766672294445388</v>
      </c>
      <c r="C20" t="s">
        <v>22</v>
      </c>
      <c r="D20" s="1" t="s">
        <v>23</v>
      </c>
      <c r="L20" s="111" t="s">
        <v>24</v>
      </c>
    </row>
    <row r="21" spans="1:13" ht="15" customHeight="1">
      <c r="A21" t="s">
        <v>25</v>
      </c>
      <c r="B21" s="100">
        <f>S46/1000/B20</f>
        <v>0.88844999999999985</v>
      </c>
    </row>
    <row r="22" spans="1:13" ht="15" customHeight="1"/>
    <row r="23" spans="1:13" ht="15" customHeight="1">
      <c r="A23" s="137" t="s">
        <v>26</v>
      </c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</row>
    <row r="24" spans="1:13" ht="15" customHeight="1">
      <c r="A24" s="80" t="s">
        <v>3</v>
      </c>
      <c r="B24" s="80" t="s">
        <v>4</v>
      </c>
      <c r="C24" s="80" t="s">
        <v>5</v>
      </c>
      <c r="D24" s="80" t="s">
        <v>6</v>
      </c>
      <c r="E24" s="80" t="s">
        <v>7</v>
      </c>
      <c r="F24" s="80" t="s">
        <v>8</v>
      </c>
      <c r="G24" s="80" t="s">
        <v>9</v>
      </c>
      <c r="H24" s="80" t="s">
        <v>10</v>
      </c>
      <c r="I24" s="80" t="s">
        <v>11</v>
      </c>
      <c r="J24" s="80" t="s">
        <v>12</v>
      </c>
      <c r="K24" s="80" t="s">
        <v>13</v>
      </c>
      <c r="L24" s="80" t="s">
        <v>14</v>
      </c>
      <c r="M24" s="80" t="s">
        <v>15</v>
      </c>
    </row>
    <row r="25" spans="1:13" ht="15" customHeight="1">
      <c r="A25" s="101">
        <f>($K$36*$P$42)*A13*A14*($K$17/100)/1000</f>
        <v>397.65901000000002</v>
      </c>
      <c r="B25" s="101">
        <f t="shared" ref="B25:L25" si="0">($K$42*$P$42)*B13*B14*($K$17/100)/1000</f>
        <v>451.90249999999997</v>
      </c>
      <c r="C25" s="101">
        <f t="shared" si="0"/>
        <v>502.21937499999996</v>
      </c>
      <c r="D25" s="101">
        <f t="shared" si="0"/>
        <v>452.94375000000002</v>
      </c>
      <c r="E25" s="101">
        <f t="shared" si="0"/>
        <v>399.68687499999999</v>
      </c>
      <c r="F25" s="101">
        <f t="shared" si="0"/>
        <v>361.06875000000002</v>
      </c>
      <c r="G25" s="101">
        <f t="shared" si="0"/>
        <v>393.04124999999999</v>
      </c>
      <c r="H25" s="101">
        <f t="shared" si="0"/>
        <v>484.18124999999992</v>
      </c>
      <c r="I25" s="101">
        <f>($K$42*$P$42)*I13*I14*($K$17/100)/1000</f>
        <v>431.8125</v>
      </c>
      <c r="J25" s="101">
        <f>($K$42*$P$42)*J13*J14*($K$17/100)/1000</f>
        <v>482.28249999999991</v>
      </c>
      <c r="K25" s="101">
        <f>($K$42*$P$42)*K13*K14*($K$17/100)/1000</f>
        <v>498.88124999999997</v>
      </c>
      <c r="L25" s="101">
        <f>(K42*P42)*L13*L14*(K17/100)/1000</f>
        <v>529.75125000000003</v>
      </c>
      <c r="M25" s="99">
        <f>+AVERAGE(A25:L25)</f>
        <v>448.78585500000003</v>
      </c>
    </row>
    <row r="26" spans="1:13" ht="15" customHeight="1"/>
    <row r="27" spans="1:13" ht="15" customHeight="1">
      <c r="A27" s="133" t="s">
        <v>27</v>
      </c>
      <c r="B27" s="134"/>
      <c r="C27" s="134"/>
      <c r="D27" s="135"/>
      <c r="E27" s="102">
        <f>+SUM(A25:L25)</f>
        <v>5385.4302600000001</v>
      </c>
      <c r="J27" s="138" t="s">
        <v>28</v>
      </c>
      <c r="K27" s="138"/>
      <c r="L27" s="138"/>
      <c r="M27" s="138"/>
    </row>
    <row r="28" spans="1:13" ht="15" customHeight="1">
      <c r="A28" s="133" t="s">
        <v>29</v>
      </c>
      <c r="B28" s="134"/>
      <c r="C28" s="134"/>
      <c r="D28" s="135"/>
      <c r="E28" s="102">
        <f>+SUM(A9:L9)</f>
        <v>4800</v>
      </c>
      <c r="K28" s="112" t="s">
        <v>30</v>
      </c>
      <c r="L28" s="112" t="s">
        <v>31</v>
      </c>
    </row>
    <row r="29" spans="1:13" ht="15" customHeight="1">
      <c r="A29" s="103"/>
      <c r="B29" s="103"/>
      <c r="C29" s="103"/>
      <c r="D29" s="103"/>
      <c r="E29" s="104"/>
      <c r="F29" s="105"/>
      <c r="G29" s="105"/>
      <c r="H29" s="105"/>
      <c r="K29" s="108">
        <v>300</v>
      </c>
      <c r="L29" s="99">
        <f>+($B$20*1000)/K29</f>
        <v>11.255557431481796</v>
      </c>
    </row>
    <row r="30" spans="1:13" ht="15" customHeight="1">
      <c r="A30" s="133" t="s">
        <v>32</v>
      </c>
      <c r="B30" s="134"/>
      <c r="C30" s="134"/>
      <c r="D30" s="135"/>
      <c r="E30" s="102">
        <f>+E27-E28</f>
        <v>585.43026000000009</v>
      </c>
      <c r="K30" s="108">
        <v>325</v>
      </c>
      <c r="L30" s="99">
        <f t="shared" ref="L30:L35" si="1">+($B$20*1000)/K30</f>
        <v>10.389745321367812</v>
      </c>
    </row>
    <row r="31" spans="1:13" ht="15" customHeight="1">
      <c r="F31" s="2"/>
      <c r="G31" s="2"/>
      <c r="H31" s="2"/>
      <c r="K31" s="108">
        <v>350</v>
      </c>
      <c r="L31" s="99">
        <f t="shared" si="1"/>
        <v>9.6476206555558246</v>
      </c>
    </row>
    <row r="32" spans="1:13" ht="15" customHeight="1">
      <c r="F32" s="106"/>
      <c r="G32" s="103"/>
      <c r="H32" s="103"/>
      <c r="J32" s="113"/>
      <c r="K32" s="108">
        <v>375</v>
      </c>
      <c r="L32" s="99">
        <f t="shared" si="1"/>
        <v>9.0044459451854362</v>
      </c>
      <c r="M32" s="1"/>
    </row>
    <row r="33" spans="1:21" ht="15" customHeight="1">
      <c r="K33" s="108">
        <v>400</v>
      </c>
      <c r="L33" s="99">
        <f t="shared" si="1"/>
        <v>8.4416680736113463</v>
      </c>
    </row>
    <row r="34" spans="1:21" ht="15" customHeight="1">
      <c r="A34" s="105"/>
      <c r="B34" s="105"/>
      <c r="C34" s="105"/>
      <c r="D34" s="105"/>
      <c r="E34" s="105"/>
      <c r="F34" s="105"/>
      <c r="G34" s="105"/>
      <c r="H34" s="105"/>
      <c r="K34" s="108">
        <v>425</v>
      </c>
      <c r="L34" s="99">
        <f t="shared" si="1"/>
        <v>7.9450993633989153</v>
      </c>
    </row>
    <row r="35" spans="1:21" ht="15" customHeight="1">
      <c r="K35" s="108">
        <v>450</v>
      </c>
      <c r="L35" s="99">
        <f t="shared" si="1"/>
        <v>7.5037049543211971</v>
      </c>
    </row>
    <row r="36" spans="1:21" ht="15" customHeight="1">
      <c r="A36" s="105"/>
      <c r="B36" s="105"/>
      <c r="C36" s="105"/>
      <c r="D36" s="105"/>
      <c r="E36" s="105"/>
      <c r="F36" s="105"/>
      <c r="G36" s="105"/>
      <c r="H36" s="105"/>
      <c r="J36" s="113" t="s">
        <v>33</v>
      </c>
      <c r="K36" s="108">
        <v>470</v>
      </c>
      <c r="L36" s="114">
        <f t="shared" ref="L36" si="2">+($B$20*1000)/K36</f>
        <v>7.1843983605202952</v>
      </c>
      <c r="M36" s="1" t="s">
        <v>34</v>
      </c>
    </row>
    <row r="37" spans="1:21" ht="15" customHeight="1">
      <c r="K37" s="108">
        <v>500</v>
      </c>
      <c r="L37" s="99">
        <f t="shared" ref="L37:L44" si="3">+($B$20*1000)/K37</f>
        <v>6.7533344588890776</v>
      </c>
    </row>
    <row r="38" spans="1:21" ht="15" customHeight="1">
      <c r="K38" s="108">
        <v>525</v>
      </c>
      <c r="L38" s="99">
        <f t="shared" si="3"/>
        <v>6.4317471037038834</v>
      </c>
    </row>
    <row r="39" spans="1:21" ht="15" customHeight="1">
      <c r="K39" s="108">
        <v>550</v>
      </c>
      <c r="L39" s="99">
        <f t="shared" si="3"/>
        <v>6.1393949626264339</v>
      </c>
    </row>
    <row r="40" spans="1:21" ht="15" customHeight="1">
      <c r="K40" s="108">
        <v>575</v>
      </c>
      <c r="L40" s="99">
        <f t="shared" si="3"/>
        <v>5.8724647468600679</v>
      </c>
    </row>
    <row r="41" spans="1:21" ht="15" customHeight="1">
      <c r="K41" s="108">
        <v>600</v>
      </c>
      <c r="L41" s="99">
        <f t="shared" si="3"/>
        <v>5.6277787157408978</v>
      </c>
    </row>
    <row r="42" spans="1:21" ht="15" customHeight="1">
      <c r="J42" s="113"/>
      <c r="K42" s="108">
        <v>625</v>
      </c>
      <c r="L42" s="99">
        <f t="shared" si="3"/>
        <v>5.4026675671112621</v>
      </c>
      <c r="M42" s="1"/>
      <c r="N42" s="136" t="s">
        <v>35</v>
      </c>
      <c r="O42" s="136"/>
      <c r="P42" s="25">
        <v>7</v>
      </c>
    </row>
    <row r="43" spans="1:21" ht="15" customHeight="1">
      <c r="K43" s="108">
        <v>650</v>
      </c>
      <c r="L43" s="99">
        <f t="shared" si="3"/>
        <v>5.194872660683906</v>
      </c>
      <c r="N43" s="136" t="s">
        <v>36</v>
      </c>
      <c r="O43" s="136"/>
      <c r="P43" s="25">
        <v>7</v>
      </c>
    </row>
    <row r="44" spans="1:21" ht="15" customHeight="1">
      <c r="K44" s="108">
        <v>675</v>
      </c>
      <c r="L44" s="99">
        <f t="shared" si="3"/>
        <v>5.002469969547465</v>
      </c>
    </row>
    <row r="45" spans="1:21" ht="15" customHeight="1">
      <c r="N45" s="139" t="s">
        <v>37</v>
      </c>
      <c r="O45" s="139"/>
      <c r="P45" s="139"/>
      <c r="Q45" s="139"/>
      <c r="R45" s="139"/>
      <c r="S45" s="139"/>
      <c r="T45" s="139"/>
    </row>
    <row r="46" spans="1:21" ht="15" customHeight="1">
      <c r="K46" s="139" t="s">
        <v>38</v>
      </c>
      <c r="L46" s="139"/>
      <c r="N46" s="140" t="s">
        <v>39</v>
      </c>
      <c r="O46" s="140"/>
      <c r="P46" s="140"/>
      <c r="Q46" s="140"/>
      <c r="R46" s="140"/>
      <c r="S46" s="141">
        <v>3000</v>
      </c>
      <c r="T46" s="142"/>
    </row>
    <row r="47" spans="1:21" ht="15" customHeight="1">
      <c r="F47" s="105"/>
      <c r="G47" s="105"/>
      <c r="H47" s="105"/>
      <c r="K47" s="115" t="s">
        <v>40</v>
      </c>
      <c r="L47" s="23">
        <v>35.21</v>
      </c>
      <c r="N47" s="140" t="s">
        <v>41</v>
      </c>
      <c r="O47" s="140"/>
      <c r="P47" s="140"/>
      <c r="Q47" s="140"/>
      <c r="R47" s="140"/>
      <c r="S47" s="25">
        <v>65</v>
      </c>
      <c r="T47" s="25">
        <v>550</v>
      </c>
      <c r="U47" s="109" t="s">
        <v>42</v>
      </c>
    </row>
    <row r="48" spans="1:21" ht="15" customHeight="1">
      <c r="K48" s="115" t="s">
        <v>43</v>
      </c>
      <c r="L48" s="23">
        <v>42.54</v>
      </c>
      <c r="N48" s="140" t="s">
        <v>44</v>
      </c>
      <c r="O48" s="140">
        <v>42.54</v>
      </c>
      <c r="P48" s="140"/>
      <c r="Q48" s="140"/>
      <c r="R48" s="140"/>
      <c r="S48" s="141">
        <v>550</v>
      </c>
      <c r="T48" s="142"/>
      <c r="U48" s="109" t="s">
        <v>42</v>
      </c>
    </row>
    <row r="49" spans="1:21" ht="15" customHeight="1">
      <c r="K49" s="115" t="s">
        <v>45</v>
      </c>
      <c r="L49" s="25">
        <v>13.49</v>
      </c>
      <c r="N49" s="140" t="s">
        <v>46</v>
      </c>
      <c r="O49" s="140">
        <v>13.49</v>
      </c>
      <c r="P49" s="140"/>
      <c r="Q49" s="140"/>
      <c r="R49" s="140"/>
      <c r="S49" s="141">
        <v>13</v>
      </c>
      <c r="T49" s="142"/>
      <c r="U49" s="109" t="s">
        <v>42</v>
      </c>
    </row>
    <row r="50" spans="1:21" ht="15" customHeight="1"/>
    <row r="51" spans="1:21" ht="15" customHeight="1">
      <c r="A51" s="1" t="s">
        <v>47</v>
      </c>
    </row>
    <row r="52" spans="1:21" ht="15" customHeight="1"/>
    <row r="53" spans="1:21" ht="15" customHeight="1">
      <c r="A53" t="s">
        <v>48</v>
      </c>
      <c r="C53" t="s">
        <v>49</v>
      </c>
      <c r="H53" s="94">
        <f>L47*P43</f>
        <v>246.47</v>
      </c>
      <c r="I53" t="s">
        <v>50</v>
      </c>
      <c r="J53" t="str">
        <f>IF(AND(S47&lt;H53,H53&lt;T47),"OK","REFAZER")</f>
        <v>OK</v>
      </c>
    </row>
    <row r="54" spans="1:21" ht="15" customHeight="1">
      <c r="A54" t="s">
        <v>51</v>
      </c>
      <c r="C54" t="s">
        <v>52</v>
      </c>
      <c r="H54" s="94">
        <f>L48*P43</f>
        <v>297.77999999999997</v>
      </c>
      <c r="I54" t="s">
        <v>50</v>
      </c>
      <c r="J54" t="str">
        <f>IF(S48&gt;H54,"OK","REFAZER")</f>
        <v>OK</v>
      </c>
      <c r="L54" s="116" t="s">
        <v>53</v>
      </c>
      <c r="M54" s="2"/>
    </row>
    <row r="55" spans="1:21" ht="15" customHeight="1">
      <c r="A55" t="s">
        <v>54</v>
      </c>
      <c r="C55" t="s">
        <v>55</v>
      </c>
      <c r="H55" s="2">
        <f>L49</f>
        <v>13.49</v>
      </c>
      <c r="I55" t="s">
        <v>56</v>
      </c>
      <c r="J55" t="str">
        <f>IF(S49&gt;H55,"OK","REFAZER")</f>
        <v>REFAZER</v>
      </c>
    </row>
    <row r="56" spans="1:21" ht="15" customHeight="1"/>
    <row r="57" spans="1:21" ht="15" customHeight="1">
      <c r="A57" s="1" t="s">
        <v>57</v>
      </c>
    </row>
    <row r="58" spans="1:21" ht="15" customHeight="1"/>
    <row r="59" spans="1:21" ht="15" customHeight="1">
      <c r="A59" s="107" t="s">
        <v>58</v>
      </c>
      <c r="I59" s="117" t="s">
        <v>59</v>
      </c>
    </row>
    <row r="60" spans="1:21" ht="15" customHeight="1">
      <c r="A60" s="107" t="s">
        <v>60</v>
      </c>
    </row>
    <row r="61" spans="1:21" ht="15" customHeight="1"/>
    <row r="62" spans="1:21" ht="15" customHeight="1">
      <c r="A62" s="143" t="s">
        <v>61</v>
      </c>
      <c r="B62" s="144"/>
      <c r="C62" s="144"/>
      <c r="D62" s="144"/>
      <c r="E62" s="145"/>
    </row>
    <row r="63" spans="1:21" ht="15" customHeight="1">
      <c r="A63" s="24" t="s">
        <v>62</v>
      </c>
      <c r="B63" s="24"/>
      <c r="C63" s="24"/>
      <c r="D63" s="108">
        <v>-0.3</v>
      </c>
      <c r="E63" s="24" t="s">
        <v>63</v>
      </c>
    </row>
    <row r="64" spans="1:21" ht="15" customHeight="1">
      <c r="A64" s="24" t="s">
        <v>64</v>
      </c>
      <c r="B64" s="24"/>
      <c r="C64" s="24"/>
      <c r="D64" s="108">
        <v>-0.25</v>
      </c>
      <c r="E64" s="24" t="s">
        <v>63</v>
      </c>
    </row>
    <row r="65" spans="1:8" ht="15" customHeight="1">
      <c r="A65" s="24" t="s">
        <v>65</v>
      </c>
      <c r="B65" s="24"/>
      <c r="C65" s="24"/>
      <c r="D65" s="108">
        <v>4.5999999999999999E-2</v>
      </c>
      <c r="E65" s="24" t="s">
        <v>63</v>
      </c>
    </row>
    <row r="66" spans="1:8" ht="15" customHeight="1"/>
    <row r="67" spans="1:8" ht="15" customHeight="1">
      <c r="A67" s="118" t="s">
        <v>66</v>
      </c>
    </row>
    <row r="68" spans="1:8" ht="15" customHeight="1"/>
    <row r="69" spans="1:8" ht="15" customHeight="1">
      <c r="A69" t="s">
        <v>67</v>
      </c>
    </row>
    <row r="70" spans="1:8" ht="15" customHeight="1">
      <c r="A70" s="119" t="s">
        <v>68</v>
      </c>
      <c r="B70" s="23">
        <f>L48</f>
        <v>42.54</v>
      </c>
    </row>
    <row r="71" spans="1:8" ht="15" customHeight="1">
      <c r="A71" s="119" t="s">
        <v>69</v>
      </c>
      <c r="B71" s="25">
        <v>2</v>
      </c>
    </row>
    <row r="72" spans="1:8" ht="15" customHeight="1">
      <c r="B72" s="2"/>
    </row>
    <row r="73" spans="1:8" ht="15" customHeight="1">
      <c r="A73" t="s">
        <v>70</v>
      </c>
    </row>
    <row r="74" spans="1:8" ht="15" customHeight="1"/>
    <row r="75" spans="1:8" ht="15" customHeight="1">
      <c r="E75" t="s">
        <v>71</v>
      </c>
      <c r="F75">
        <f>(D64/100*B70)*(B71-25)</f>
        <v>2.4460500000000001</v>
      </c>
      <c r="G75" t="s">
        <v>50</v>
      </c>
      <c r="H75" t="s">
        <v>72</v>
      </c>
    </row>
    <row r="76" spans="1:8" ht="15" customHeight="1"/>
    <row r="77" spans="1:8" ht="15" customHeight="1">
      <c r="A77" t="s">
        <v>73</v>
      </c>
    </row>
    <row r="78" spans="1:8" ht="15" customHeight="1">
      <c r="A78" s="119" t="s">
        <v>74</v>
      </c>
      <c r="B78" s="23">
        <f>+(B70+F75)*P43</f>
        <v>314.90235000000001</v>
      </c>
      <c r="E78" t="s">
        <v>75</v>
      </c>
    </row>
    <row r="79" spans="1:8" ht="15" customHeight="1"/>
    <row r="80" spans="1:8" ht="15" customHeight="1">
      <c r="A80" s="1" t="s">
        <v>76</v>
      </c>
    </row>
    <row r="81" spans="1:12" ht="15" customHeight="1"/>
    <row r="82" spans="1:12" ht="15" customHeight="1">
      <c r="A82" t="s">
        <v>77</v>
      </c>
    </row>
    <row r="83" spans="1:12" ht="15" customHeight="1">
      <c r="A83" s="119" t="s">
        <v>78</v>
      </c>
      <c r="B83" s="23">
        <f>L47</f>
        <v>35.21</v>
      </c>
    </row>
    <row r="84" spans="1:12" ht="15" customHeight="1">
      <c r="A84" s="119" t="s">
        <v>69</v>
      </c>
      <c r="B84" s="25">
        <v>79</v>
      </c>
    </row>
    <row r="85" spans="1:12" ht="15" customHeight="1">
      <c r="B85" s="94"/>
    </row>
    <row r="86" spans="1:12" ht="15" customHeight="1">
      <c r="A86" t="s">
        <v>79</v>
      </c>
    </row>
    <row r="87" spans="1:12" ht="15" customHeight="1"/>
    <row r="88" spans="1:12" ht="15" customHeight="1">
      <c r="E88" t="s">
        <v>71</v>
      </c>
      <c r="F88">
        <f>(D63/100*B83)*(B84-25)</f>
        <v>-5.7040199999999999</v>
      </c>
      <c r="G88" t="s">
        <v>50</v>
      </c>
      <c r="H88" t="s">
        <v>72</v>
      </c>
    </row>
    <row r="89" spans="1:12" ht="15" customHeight="1"/>
    <row r="90" spans="1:12" ht="15" customHeight="1">
      <c r="A90" t="s">
        <v>80</v>
      </c>
    </row>
    <row r="91" spans="1:12" ht="15" customHeight="1">
      <c r="A91" s="119" t="s">
        <v>81</v>
      </c>
      <c r="B91" s="23">
        <f>+(B83+F88)*P43</f>
        <v>206.54186000000001</v>
      </c>
      <c r="C91" s="100"/>
      <c r="E91" t="s">
        <v>82</v>
      </c>
    </row>
    <row r="94" spans="1:12">
      <c r="A94" s="1"/>
    </row>
    <row r="95" spans="1:12">
      <c r="J95" s="107"/>
      <c r="K95" s="107"/>
      <c r="L95" s="107"/>
    </row>
    <row r="96" spans="1:12">
      <c r="A96" s="107"/>
      <c r="J96" s="125"/>
      <c r="K96" s="126"/>
      <c r="L96" s="126"/>
    </row>
    <row r="97" spans="1:12">
      <c r="J97" s="125"/>
      <c r="K97" s="126"/>
      <c r="L97" s="126"/>
    </row>
    <row r="98" spans="1:12">
      <c r="A98" s="107"/>
      <c r="J98" s="125"/>
      <c r="K98" s="126"/>
      <c r="L98" s="126"/>
    </row>
    <row r="99" spans="1:12">
      <c r="J99" s="125"/>
      <c r="K99" s="126"/>
      <c r="L99" s="126"/>
    </row>
    <row r="100" spans="1:12">
      <c r="A100" s="107"/>
      <c r="J100" s="125"/>
      <c r="K100" s="126"/>
      <c r="L100" s="126"/>
    </row>
    <row r="101" spans="1:12">
      <c r="H101" s="120"/>
      <c r="J101" s="125"/>
      <c r="K101" s="126"/>
      <c r="L101" s="126"/>
    </row>
    <row r="102" spans="1:12">
      <c r="A102" s="107"/>
      <c r="E102" s="121"/>
      <c r="J102" s="125"/>
      <c r="K102" s="126"/>
      <c r="L102" s="126"/>
    </row>
    <row r="103" spans="1:12">
      <c r="J103" s="125"/>
      <c r="K103" s="126"/>
      <c r="L103" s="126"/>
    </row>
    <row r="104" spans="1:12">
      <c r="A104" s="122"/>
      <c r="G104" s="121"/>
      <c r="J104" s="125"/>
      <c r="K104" s="126"/>
      <c r="L104" s="126"/>
    </row>
    <row r="105" spans="1:12">
      <c r="A105" s="122"/>
      <c r="J105" s="125"/>
      <c r="K105" s="126"/>
      <c r="L105" s="126"/>
    </row>
    <row r="106" spans="1:12">
      <c r="A106" s="107"/>
      <c r="E106" s="123"/>
      <c r="J106" s="125"/>
      <c r="K106" s="126"/>
      <c r="L106" s="126"/>
    </row>
    <row r="107" spans="1:12">
      <c r="J107" s="125"/>
      <c r="K107" s="125"/>
      <c r="L107" s="127"/>
    </row>
    <row r="108" spans="1:12">
      <c r="A108" s="124"/>
      <c r="C108" s="118"/>
      <c r="K108" s="124"/>
      <c r="L108" s="126"/>
    </row>
    <row r="110" spans="1:12">
      <c r="A110" s="1"/>
      <c r="C110" s="1"/>
      <c r="J110" s="125"/>
      <c r="K110" s="125"/>
      <c r="L110" s="128"/>
    </row>
    <row r="115" spans="1:1">
      <c r="A115" s="16" t="s">
        <v>83</v>
      </c>
    </row>
    <row r="116" spans="1:1">
      <c r="A116" t="s">
        <v>84</v>
      </c>
    </row>
  </sheetData>
  <mergeCells count="22">
    <mergeCell ref="A62:E62"/>
    <mergeCell ref="N47:R47"/>
    <mergeCell ref="N48:R48"/>
    <mergeCell ref="S48:T48"/>
    <mergeCell ref="N49:R49"/>
    <mergeCell ref="S49:T49"/>
    <mergeCell ref="N42:O42"/>
    <mergeCell ref="N43:O43"/>
    <mergeCell ref="N45:T45"/>
    <mergeCell ref="K46:L46"/>
    <mergeCell ref="N46:R46"/>
    <mergeCell ref="S46:T46"/>
    <mergeCell ref="A23:M23"/>
    <mergeCell ref="A27:D27"/>
    <mergeCell ref="J27:M27"/>
    <mergeCell ref="A28:D28"/>
    <mergeCell ref="A30:D30"/>
    <mergeCell ref="A7:M7"/>
    <mergeCell ref="A11:M11"/>
    <mergeCell ref="A17:E17"/>
    <mergeCell ref="H17:J17"/>
    <mergeCell ref="A18:E18"/>
  </mergeCells>
  <pageMargins left="0.511811024" right="0.511811024" top="0.78740157499999996" bottom="0.78740157499999996" header="0.31496062000000002" footer="0.31496062000000002"/>
  <pageSetup orientation="portrait" horizont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0"/>
  <sheetViews>
    <sheetView workbookViewId="0">
      <selection activeCell="J3" sqref="J3"/>
    </sheetView>
  </sheetViews>
  <sheetFormatPr defaultColWidth="9.140625" defaultRowHeight="15"/>
  <cols>
    <col min="7" max="8" width="9.28515625"/>
    <col min="14" max="14" width="11" customWidth="1"/>
  </cols>
  <sheetData>
    <row r="1" spans="1:17">
      <c r="A1" s="146" t="s">
        <v>85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</row>
    <row r="3" spans="1:17">
      <c r="A3" t="s">
        <v>86</v>
      </c>
      <c r="H3" s="92">
        <v>278.07</v>
      </c>
      <c r="J3" t="s">
        <v>87</v>
      </c>
    </row>
    <row r="5" spans="1:17">
      <c r="A5" t="s">
        <v>88</v>
      </c>
      <c r="H5" s="92">
        <v>415</v>
      </c>
      <c r="J5" t="s">
        <v>89</v>
      </c>
    </row>
    <row r="7" spans="1:17">
      <c r="A7" t="s">
        <v>90</v>
      </c>
      <c r="H7" s="92">
        <v>519</v>
      </c>
      <c r="J7" t="s">
        <v>91</v>
      </c>
    </row>
    <row r="9" spans="1:17">
      <c r="A9" t="s">
        <v>92</v>
      </c>
      <c r="H9" s="92">
        <v>609</v>
      </c>
      <c r="I9" s="92"/>
      <c r="J9" t="s">
        <v>93</v>
      </c>
    </row>
    <row r="11" spans="1:17">
      <c r="A11" t="s">
        <v>94</v>
      </c>
      <c r="H11" s="92">
        <v>719</v>
      </c>
      <c r="J11" t="s">
        <v>95</v>
      </c>
    </row>
    <row r="12" spans="1:17">
      <c r="H12" s="92"/>
    </row>
    <row r="13" spans="1:17">
      <c r="A13" t="s">
        <v>96</v>
      </c>
      <c r="H13" s="92">
        <v>749</v>
      </c>
      <c r="J13" t="s">
        <v>97</v>
      </c>
    </row>
    <row r="14" spans="1:17">
      <c r="H14" s="92"/>
    </row>
    <row r="15" spans="1:17">
      <c r="A15" t="s">
        <v>98</v>
      </c>
      <c r="H15" s="92">
        <v>853.86</v>
      </c>
      <c r="J15" t="s">
        <v>99</v>
      </c>
    </row>
    <row r="16" spans="1:17">
      <c r="H16" s="92"/>
    </row>
    <row r="17" spans="1:17">
      <c r="A17" t="s">
        <v>100</v>
      </c>
      <c r="H17" s="92">
        <v>769</v>
      </c>
      <c r="J17" s="16" t="s">
        <v>101</v>
      </c>
    </row>
    <row r="18" spans="1:17">
      <c r="H18" s="92"/>
      <c r="J18" s="16"/>
    </row>
    <row r="19" spans="1:17">
      <c r="A19" t="s">
        <v>102</v>
      </c>
      <c r="H19" s="92">
        <v>994.17</v>
      </c>
      <c r="J19" s="16" t="s">
        <v>103</v>
      </c>
    </row>
    <row r="20" spans="1:17">
      <c r="H20" s="92"/>
      <c r="J20" s="16"/>
    </row>
    <row r="21" spans="1:17"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s="2" t="s">
        <v>104</v>
      </c>
      <c r="B22" s="2"/>
      <c r="C22" s="2"/>
      <c r="D22" s="2"/>
      <c r="E22" s="2"/>
      <c r="F22" s="2"/>
      <c r="G22" s="2"/>
      <c r="N22" s="2"/>
      <c r="O22" s="2"/>
      <c r="P22" s="2"/>
      <c r="Q22" s="2"/>
    </row>
    <row r="24" spans="1:17">
      <c r="A24" t="s">
        <v>105</v>
      </c>
      <c r="N24" s="92">
        <v>1877.67</v>
      </c>
      <c r="P24" t="s">
        <v>106</v>
      </c>
    </row>
    <row r="26" spans="1:17">
      <c r="A26" t="s">
        <v>107</v>
      </c>
      <c r="N26" s="92">
        <v>2045.07</v>
      </c>
      <c r="P26" t="s">
        <v>108</v>
      </c>
    </row>
    <row r="28" spans="1:17">
      <c r="A28" t="s">
        <v>109</v>
      </c>
      <c r="N28" s="92">
        <v>2231.0700000000002</v>
      </c>
      <c r="P28" t="s">
        <v>110</v>
      </c>
    </row>
    <row r="30" spans="1:17">
      <c r="A30" t="s">
        <v>111</v>
      </c>
      <c r="N30" s="92">
        <v>2510.0700000000002</v>
      </c>
      <c r="P30" t="s">
        <v>112</v>
      </c>
    </row>
    <row r="32" spans="1:17">
      <c r="A32" t="s">
        <v>113</v>
      </c>
      <c r="N32" s="92">
        <v>4277.07</v>
      </c>
      <c r="P32" t="s">
        <v>114</v>
      </c>
    </row>
    <row r="34" spans="1:16">
      <c r="A34" t="s">
        <v>115</v>
      </c>
      <c r="N34" s="92">
        <v>4649.07</v>
      </c>
      <c r="P34" t="s">
        <v>116</v>
      </c>
    </row>
    <row r="36" spans="1:16">
      <c r="A36" t="s">
        <v>117</v>
      </c>
      <c r="N36" s="92">
        <v>5951.07</v>
      </c>
      <c r="P36" t="s">
        <v>118</v>
      </c>
    </row>
    <row r="38" spans="1:16">
      <c r="A38" t="s">
        <v>119</v>
      </c>
      <c r="N38" s="92">
        <v>5327.99</v>
      </c>
      <c r="P38" t="s">
        <v>120</v>
      </c>
    </row>
    <row r="40" spans="1:16">
      <c r="A40" t="s">
        <v>121</v>
      </c>
      <c r="N40" s="92">
        <v>6695.07</v>
      </c>
      <c r="P40" t="s">
        <v>122</v>
      </c>
    </row>
    <row r="42" spans="1:16">
      <c r="A42" t="s">
        <v>123</v>
      </c>
      <c r="N42" s="92">
        <v>8276.07</v>
      </c>
      <c r="P42" t="s">
        <v>124</v>
      </c>
    </row>
    <row r="43" spans="1:16">
      <c r="N43" s="92"/>
    </row>
    <row r="44" spans="1:16">
      <c r="A44" t="s">
        <v>125</v>
      </c>
      <c r="N44" s="92">
        <v>6992.99</v>
      </c>
      <c r="P44" t="s">
        <v>126</v>
      </c>
    </row>
    <row r="46" spans="1:16">
      <c r="A46" t="s">
        <v>127</v>
      </c>
      <c r="N46" s="92">
        <v>11069.99</v>
      </c>
      <c r="P46" t="s">
        <v>128</v>
      </c>
    </row>
    <row r="48" spans="1:16">
      <c r="A48" t="s">
        <v>129</v>
      </c>
      <c r="N48" s="92">
        <v>7806.65</v>
      </c>
      <c r="P48" t="s">
        <v>130</v>
      </c>
    </row>
    <row r="50" spans="1:16">
      <c r="A50" t="s">
        <v>131</v>
      </c>
      <c r="N50" s="92">
        <v>13589.99</v>
      </c>
      <c r="P50" t="s">
        <v>132</v>
      </c>
    </row>
  </sheetData>
  <mergeCells count="1">
    <mergeCell ref="A1:Q1"/>
  </mergeCells>
  <hyperlinks>
    <hyperlink ref="J17" r:id="rId1" xr:uid="{00000000-0004-0000-0100-000000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0"/>
  <sheetViews>
    <sheetView workbookViewId="0">
      <selection activeCell="C14" sqref="C14"/>
    </sheetView>
  </sheetViews>
  <sheetFormatPr defaultColWidth="9.140625" defaultRowHeight="15"/>
  <cols>
    <col min="1" max="3" width="20.7109375" customWidth="1"/>
    <col min="4" max="6" width="15.7109375" customWidth="1"/>
    <col min="7" max="9" width="30.7109375" style="2" customWidth="1"/>
    <col min="10" max="10" width="15.7109375" style="2" customWidth="1"/>
    <col min="11" max="11" width="151.7109375" style="7" customWidth="1"/>
  </cols>
  <sheetData>
    <row r="1" spans="1:12">
      <c r="A1" t="s">
        <v>133</v>
      </c>
    </row>
    <row r="3" spans="1:12" s="27" customFormat="1" ht="30" customHeight="1">
      <c r="A3" s="68" t="s">
        <v>134</v>
      </c>
      <c r="B3" s="28" t="s">
        <v>135</v>
      </c>
      <c r="C3" s="28" t="s">
        <v>136</v>
      </c>
      <c r="D3" s="69" t="s">
        <v>137</v>
      </c>
      <c r="E3" s="69" t="s">
        <v>138</v>
      </c>
      <c r="F3" s="69" t="s">
        <v>139</v>
      </c>
      <c r="G3" s="28" t="s">
        <v>140</v>
      </c>
      <c r="H3" s="28" t="s">
        <v>141</v>
      </c>
      <c r="I3" s="28" t="s">
        <v>142</v>
      </c>
      <c r="J3" s="28" t="s">
        <v>143</v>
      </c>
      <c r="K3" s="80" t="s">
        <v>144</v>
      </c>
    </row>
    <row r="4" spans="1:12" s="2" customFormat="1">
      <c r="A4" s="70" t="s">
        <v>145</v>
      </c>
      <c r="B4" s="71" t="s">
        <v>146</v>
      </c>
      <c r="C4" s="72">
        <v>155</v>
      </c>
      <c r="D4" s="73">
        <v>20.64</v>
      </c>
      <c r="E4" s="73">
        <v>7.51</v>
      </c>
      <c r="F4" s="73">
        <v>24.46</v>
      </c>
      <c r="G4" s="73">
        <v>-0.35</v>
      </c>
      <c r="H4" s="73">
        <v>-0.28000000000000003</v>
      </c>
      <c r="I4" s="81">
        <v>0.04</v>
      </c>
      <c r="J4" s="82">
        <v>299</v>
      </c>
      <c r="K4" s="83" t="s">
        <v>147</v>
      </c>
    </row>
    <row r="5" spans="1:12" s="2" customFormat="1">
      <c r="A5" s="42" t="s">
        <v>148</v>
      </c>
      <c r="B5" s="74" t="s">
        <v>149</v>
      </c>
      <c r="C5" s="45">
        <v>160</v>
      </c>
      <c r="D5" s="44">
        <v>19.57</v>
      </c>
      <c r="E5" s="44">
        <v>8.1999999999999993</v>
      </c>
      <c r="F5" s="44">
        <v>22.64</v>
      </c>
      <c r="G5" s="44">
        <v>-0.4</v>
      </c>
      <c r="H5" s="44">
        <v>-0.34</v>
      </c>
      <c r="I5" s="84">
        <v>0.05</v>
      </c>
      <c r="J5" s="85">
        <v>309</v>
      </c>
      <c r="K5" s="64" t="s">
        <v>150</v>
      </c>
      <c r="L5" s="86"/>
    </row>
    <row r="6" spans="1:12" s="2" customFormat="1">
      <c r="A6" s="37" t="s">
        <v>145</v>
      </c>
      <c r="B6" s="75" t="s">
        <v>151</v>
      </c>
      <c r="C6" s="40">
        <v>210</v>
      </c>
      <c r="D6" s="39">
        <v>20.05</v>
      </c>
      <c r="E6" s="39">
        <v>10.47</v>
      </c>
      <c r="F6" s="39">
        <v>23.95</v>
      </c>
      <c r="G6" s="39">
        <v>-0.39</v>
      </c>
      <c r="H6" s="39">
        <v>-0.32</v>
      </c>
      <c r="I6" s="87">
        <v>0.05</v>
      </c>
      <c r="J6" s="88">
        <v>379</v>
      </c>
      <c r="K6" s="61" t="s">
        <v>89</v>
      </c>
    </row>
    <row r="7" spans="1:12" s="2" customFormat="1">
      <c r="A7" s="42" t="s">
        <v>152</v>
      </c>
      <c r="B7" s="74" t="s">
        <v>153</v>
      </c>
      <c r="C7" s="45">
        <v>280</v>
      </c>
      <c r="D7" s="44">
        <v>31.94</v>
      </c>
      <c r="E7" s="44">
        <v>8.77</v>
      </c>
      <c r="F7" s="44">
        <v>38.33</v>
      </c>
      <c r="G7" s="44">
        <v>-0.4</v>
      </c>
      <c r="H7" s="44">
        <v>-0.3</v>
      </c>
      <c r="I7" s="84">
        <v>0.06</v>
      </c>
      <c r="J7" s="85">
        <v>459</v>
      </c>
      <c r="K7" s="64" t="s">
        <v>91</v>
      </c>
      <c r="L7" s="86"/>
    </row>
    <row r="8" spans="1:12" s="2" customFormat="1">
      <c r="A8" s="37" t="s">
        <v>152</v>
      </c>
      <c r="B8" s="75" t="s">
        <v>154</v>
      </c>
      <c r="C8" s="40">
        <v>330</v>
      </c>
      <c r="D8" s="39">
        <v>37.26</v>
      </c>
      <c r="E8" s="39">
        <v>8.86</v>
      </c>
      <c r="F8" s="39">
        <v>44.72</v>
      </c>
      <c r="G8" s="39">
        <v>-0.4</v>
      </c>
      <c r="H8" s="39">
        <v>-0.3</v>
      </c>
      <c r="I8" s="87">
        <v>0.06</v>
      </c>
      <c r="J8" s="88">
        <v>569</v>
      </c>
      <c r="K8" s="61" t="s">
        <v>93</v>
      </c>
    </row>
    <row r="9" spans="1:12" s="2" customFormat="1">
      <c r="A9" s="42" t="s">
        <v>148</v>
      </c>
      <c r="B9" s="74" t="s">
        <v>155</v>
      </c>
      <c r="C9" s="45">
        <v>340</v>
      </c>
      <c r="D9" s="44">
        <v>37.57</v>
      </c>
      <c r="E9" s="44">
        <v>9.0500000000000007</v>
      </c>
      <c r="F9" s="44">
        <v>46.25</v>
      </c>
      <c r="G9" s="44">
        <v>-0.4</v>
      </c>
      <c r="H9" s="44">
        <v>-0.34</v>
      </c>
      <c r="I9" s="84">
        <v>0.05</v>
      </c>
      <c r="J9" s="85">
        <v>579</v>
      </c>
      <c r="K9" s="64" t="s">
        <v>156</v>
      </c>
      <c r="L9" s="86"/>
    </row>
    <row r="10" spans="1:12" s="2" customFormat="1">
      <c r="A10" s="37" t="s">
        <v>157</v>
      </c>
      <c r="B10" s="75" t="s">
        <v>158</v>
      </c>
      <c r="C10" s="40">
        <v>405</v>
      </c>
      <c r="D10" s="39">
        <v>31.55</v>
      </c>
      <c r="E10" s="39">
        <v>12.84</v>
      </c>
      <c r="F10" s="39">
        <v>37.33</v>
      </c>
      <c r="G10" s="39">
        <v>-0.39</v>
      </c>
      <c r="H10" s="39">
        <v>-0.31</v>
      </c>
      <c r="I10" s="87">
        <v>7.0000000000000007E-2</v>
      </c>
      <c r="J10" s="88">
        <v>548.1</v>
      </c>
      <c r="K10" s="61" t="s">
        <v>159</v>
      </c>
    </row>
    <row r="11" spans="1:12" s="2" customFormat="1">
      <c r="A11" s="42" t="s">
        <v>145</v>
      </c>
      <c r="B11" s="74" t="s">
        <v>160</v>
      </c>
      <c r="C11" s="45">
        <v>410</v>
      </c>
      <c r="D11" s="44">
        <v>31.45</v>
      </c>
      <c r="E11" s="44">
        <v>13.04</v>
      </c>
      <c r="F11" s="44">
        <v>37.32</v>
      </c>
      <c r="G11" s="44">
        <v>-0.32</v>
      </c>
      <c r="H11" s="44">
        <v>-0.35</v>
      </c>
      <c r="I11" s="84">
        <v>0.05</v>
      </c>
      <c r="J11" s="85">
        <v>629</v>
      </c>
      <c r="K11" s="64" t="s">
        <v>95</v>
      </c>
      <c r="L11" s="86"/>
    </row>
    <row r="12" spans="1:12" s="2" customFormat="1">
      <c r="A12" s="37" t="s">
        <v>161</v>
      </c>
      <c r="B12" s="75" t="s">
        <v>162</v>
      </c>
      <c r="C12" s="40">
        <v>435</v>
      </c>
      <c r="D12" s="39">
        <v>32.200000000000003</v>
      </c>
      <c r="E12" s="39">
        <v>13.51</v>
      </c>
      <c r="F12" s="39">
        <v>39.200000000000003</v>
      </c>
      <c r="G12" s="39">
        <v>-0.28999999999999998</v>
      </c>
      <c r="H12" s="39">
        <v>-0.25</v>
      </c>
      <c r="I12" s="87">
        <v>0.05</v>
      </c>
      <c r="J12" s="88">
        <v>593.1</v>
      </c>
      <c r="K12" s="61" t="s">
        <v>163</v>
      </c>
    </row>
    <row r="13" spans="1:12" s="2" customFormat="1">
      <c r="A13" s="42" t="s">
        <v>157</v>
      </c>
      <c r="B13" s="74" t="s">
        <v>164</v>
      </c>
      <c r="C13" s="45">
        <v>460</v>
      </c>
      <c r="D13" s="44">
        <v>34.950000000000003</v>
      </c>
      <c r="E13" s="44">
        <v>13.17</v>
      </c>
      <c r="F13" s="44">
        <v>41.85</v>
      </c>
      <c r="G13" s="44">
        <v>-0.35</v>
      </c>
      <c r="H13" s="44">
        <v>-0.28000000000000003</v>
      </c>
      <c r="I13" s="84">
        <v>4.4999999999999998E-2</v>
      </c>
      <c r="J13" s="85">
        <v>659</v>
      </c>
      <c r="K13" s="64" t="s">
        <v>97</v>
      </c>
      <c r="L13" s="86"/>
    </row>
    <row r="14" spans="1:12" s="2" customFormat="1">
      <c r="A14" s="37" t="s">
        <v>165</v>
      </c>
      <c r="B14" s="75" t="s">
        <v>166</v>
      </c>
      <c r="C14" s="40">
        <v>470</v>
      </c>
      <c r="D14" s="39">
        <v>35.69</v>
      </c>
      <c r="E14" s="39">
        <v>13.17</v>
      </c>
      <c r="F14" s="39">
        <v>43.3</v>
      </c>
      <c r="G14" s="39">
        <v>-0.28999999999999998</v>
      </c>
      <c r="H14" s="39">
        <v>-0.25</v>
      </c>
      <c r="I14" s="87">
        <v>4.4999999999999998E-2</v>
      </c>
      <c r="J14" s="88">
        <v>658</v>
      </c>
      <c r="K14" s="61" t="s">
        <v>167</v>
      </c>
    </row>
    <row r="15" spans="1:12" s="2" customFormat="1">
      <c r="A15" s="42" t="s">
        <v>161</v>
      </c>
      <c r="B15" s="74" t="s">
        <v>168</v>
      </c>
      <c r="C15" s="45">
        <v>550</v>
      </c>
      <c r="D15" s="44">
        <v>41.7</v>
      </c>
      <c r="E15" s="44">
        <v>13.2</v>
      </c>
      <c r="F15" s="44">
        <v>49.6</v>
      </c>
      <c r="G15" s="44">
        <v>-0.34</v>
      </c>
      <c r="H15" s="44">
        <v>-0.26</v>
      </c>
      <c r="I15" s="84">
        <v>0.05</v>
      </c>
      <c r="J15" s="85">
        <v>746.64</v>
      </c>
      <c r="K15" s="64" t="s">
        <v>169</v>
      </c>
      <c r="L15" s="86"/>
    </row>
    <row r="16" spans="1:12" s="2" customFormat="1">
      <c r="A16" s="37" t="s">
        <v>170</v>
      </c>
      <c r="B16" s="75" t="s">
        <v>171</v>
      </c>
      <c r="C16" s="40">
        <v>565</v>
      </c>
      <c r="D16" s="39">
        <v>43.42</v>
      </c>
      <c r="E16" s="39">
        <v>13.01</v>
      </c>
      <c r="F16" s="39">
        <v>51.3</v>
      </c>
      <c r="G16" s="39">
        <v>-0.3</v>
      </c>
      <c r="H16" s="39">
        <v>-0.26</v>
      </c>
      <c r="I16" s="87">
        <v>4.5999999999999999E-2</v>
      </c>
      <c r="J16" s="88">
        <v>960</v>
      </c>
      <c r="K16" s="61" t="s">
        <v>172</v>
      </c>
    </row>
    <row r="17" spans="1:12" s="2" customFormat="1">
      <c r="A17" s="42" t="s">
        <v>165</v>
      </c>
      <c r="B17" s="74" t="s">
        <v>173</v>
      </c>
      <c r="C17" s="45">
        <v>575</v>
      </c>
      <c r="D17" s="44">
        <v>43.17</v>
      </c>
      <c r="E17" s="44">
        <v>13.32</v>
      </c>
      <c r="F17" s="44">
        <v>52.15</v>
      </c>
      <c r="G17" s="44">
        <v>-0.28999999999999998</v>
      </c>
      <c r="H17" s="44">
        <v>-0.25</v>
      </c>
      <c r="I17" s="84">
        <v>4.4999999999999998E-2</v>
      </c>
      <c r="J17" s="85">
        <v>895</v>
      </c>
      <c r="K17" s="64" t="s">
        <v>174</v>
      </c>
      <c r="L17" s="86"/>
    </row>
    <row r="18" spans="1:12" s="2" customFormat="1">
      <c r="A18" s="76" t="s">
        <v>175</v>
      </c>
      <c r="B18" s="77" t="s">
        <v>176</v>
      </c>
      <c r="C18" s="78">
        <v>595</v>
      </c>
      <c r="D18" s="79">
        <v>43.62</v>
      </c>
      <c r="E18" s="79">
        <v>13.64</v>
      </c>
      <c r="F18" s="79">
        <v>51.21</v>
      </c>
      <c r="G18" s="79">
        <v>-0.36</v>
      </c>
      <c r="H18" s="79">
        <v>-0.28000000000000003</v>
      </c>
      <c r="I18" s="89">
        <v>0.05</v>
      </c>
      <c r="J18" s="90">
        <v>799</v>
      </c>
      <c r="K18" s="91" t="s">
        <v>177</v>
      </c>
    </row>
    <row r="19" spans="1:12" s="2" customFormat="1">
      <c r="K19" s="7"/>
    </row>
    <row r="20" spans="1:12" s="2" customFormat="1">
      <c r="C20" s="51"/>
      <c r="D20" s="52"/>
      <c r="E20" s="52"/>
      <c r="F20" s="52"/>
      <c r="G20" s="52"/>
      <c r="H20" s="52"/>
      <c r="I20" s="52"/>
      <c r="J20" s="52"/>
      <c r="K20" s="7"/>
    </row>
    <row r="21" spans="1:12" s="2" customFormat="1">
      <c r="C21" s="51"/>
      <c r="D21" s="52"/>
      <c r="E21" s="52"/>
      <c r="F21" s="52"/>
      <c r="G21" s="52"/>
      <c r="H21" s="52"/>
      <c r="I21" s="52"/>
      <c r="J21" s="52"/>
      <c r="K21" s="7"/>
    </row>
    <row r="22" spans="1:12" s="2" customFormat="1">
      <c r="C22" s="51"/>
      <c r="D22" s="52"/>
      <c r="E22" s="52"/>
      <c r="F22" s="52"/>
      <c r="G22" s="52"/>
      <c r="H22" s="52"/>
      <c r="I22" s="52"/>
      <c r="J22" s="52"/>
      <c r="K22" s="7"/>
    </row>
    <row r="23" spans="1:12" s="2" customFormat="1">
      <c r="C23" s="51"/>
      <c r="D23" s="52"/>
      <c r="E23" s="52"/>
      <c r="F23" s="52"/>
      <c r="G23" s="52"/>
      <c r="H23" s="52"/>
      <c r="I23" s="52"/>
      <c r="J23" s="52"/>
      <c r="K23" s="7"/>
    </row>
    <row r="24" spans="1:12" s="2" customFormat="1">
      <c r="C24" s="51"/>
      <c r="D24" s="52"/>
      <c r="E24" s="52"/>
      <c r="F24" s="52"/>
      <c r="G24" s="52"/>
      <c r="H24" s="52"/>
      <c r="I24" s="52"/>
      <c r="J24" s="52"/>
      <c r="K24" s="7"/>
    </row>
    <row r="25" spans="1:12" s="2" customFormat="1">
      <c r="C25" s="51"/>
      <c r="D25" s="52"/>
      <c r="E25" s="52"/>
      <c r="F25" s="52"/>
      <c r="G25" s="52"/>
      <c r="H25" s="52"/>
      <c r="I25" s="52"/>
      <c r="J25" s="52"/>
      <c r="K25" s="7"/>
    </row>
    <row r="26" spans="1:12" s="2" customFormat="1">
      <c r="C26" s="51"/>
      <c r="D26" s="52"/>
      <c r="E26" s="52"/>
      <c r="F26" s="52"/>
      <c r="G26" s="52"/>
      <c r="H26" s="52"/>
      <c r="I26" s="52"/>
      <c r="J26" s="52"/>
      <c r="K26" s="7"/>
    </row>
    <row r="27" spans="1:12" s="2" customFormat="1">
      <c r="C27" s="51"/>
      <c r="D27" s="52"/>
      <c r="E27" s="52"/>
      <c r="F27" s="52"/>
      <c r="G27" s="52"/>
      <c r="H27" s="52"/>
      <c r="I27" s="52"/>
      <c r="J27" s="52"/>
      <c r="K27" s="7"/>
    </row>
    <row r="28" spans="1:12" s="2" customFormat="1">
      <c r="C28" s="51"/>
      <c r="D28" s="52"/>
      <c r="E28" s="52"/>
      <c r="F28" s="52"/>
      <c r="G28" s="52"/>
      <c r="H28" s="52"/>
      <c r="I28" s="52"/>
      <c r="J28" s="52"/>
      <c r="K28" s="7"/>
    </row>
    <row r="29" spans="1:12" s="2" customFormat="1">
      <c r="B29" s="2" t="s">
        <v>178</v>
      </c>
      <c r="C29" s="51" t="s">
        <v>179</v>
      </c>
      <c r="D29" s="52"/>
      <c r="E29" s="52"/>
      <c r="F29" s="52"/>
      <c r="G29" s="52"/>
      <c r="H29" s="52"/>
      <c r="I29" s="52"/>
      <c r="J29" s="52"/>
      <c r="K29" s="7"/>
    </row>
    <row r="30" spans="1:12" s="2" customFormat="1">
      <c r="B30" s="2" t="s">
        <v>180</v>
      </c>
      <c r="C30" s="51" t="s">
        <v>181</v>
      </c>
      <c r="D30" s="52"/>
      <c r="E30" s="52"/>
      <c r="F30" s="52"/>
      <c r="G30" s="52"/>
      <c r="H30" s="52"/>
      <c r="I30" s="52"/>
      <c r="J30" s="52"/>
      <c r="K30" s="7"/>
    </row>
    <row r="31" spans="1:12" s="2" customFormat="1">
      <c r="C31" s="51"/>
      <c r="D31" s="52"/>
      <c r="E31" s="52"/>
      <c r="F31" s="52"/>
      <c r="G31" s="52"/>
      <c r="H31" s="52"/>
      <c r="I31" s="52"/>
      <c r="J31" s="52"/>
      <c r="K31" s="7"/>
    </row>
    <row r="32" spans="1:12">
      <c r="C32" s="51"/>
      <c r="D32" s="53"/>
      <c r="E32" s="53"/>
      <c r="F32" s="53"/>
      <c r="G32" s="52"/>
      <c r="H32" s="52"/>
      <c r="I32" s="52"/>
      <c r="J32" s="52"/>
    </row>
    <row r="33" spans="3:10">
      <c r="C33" s="51"/>
      <c r="D33" s="53"/>
      <c r="E33" s="53"/>
      <c r="F33" s="53"/>
      <c r="G33" s="52"/>
      <c r="H33" s="52"/>
      <c r="I33" s="52"/>
      <c r="J33" s="52"/>
    </row>
    <row r="34" spans="3:10">
      <c r="C34" s="51"/>
    </row>
    <row r="35" spans="3:10">
      <c r="C35" s="51"/>
    </row>
    <row r="36" spans="3:10">
      <c r="C36" s="51"/>
    </row>
    <row r="37" spans="3:10">
      <c r="C37" s="51"/>
    </row>
    <row r="38" spans="3:10">
      <c r="C38" s="51"/>
    </row>
    <row r="39" spans="3:10">
      <c r="C39" s="51"/>
    </row>
    <row r="40" spans="3:10">
      <c r="C40" s="51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6"/>
  <sheetViews>
    <sheetView workbookViewId="0">
      <selection activeCell="D12" sqref="D12"/>
    </sheetView>
  </sheetViews>
  <sheetFormatPr defaultColWidth="9.140625" defaultRowHeight="15"/>
  <cols>
    <col min="1" max="2" width="20.7109375" customWidth="1"/>
    <col min="3" max="3" width="12.7109375" customWidth="1"/>
    <col min="4" max="4" width="15.7109375" customWidth="1"/>
    <col min="5" max="5" width="12.7109375" customWidth="1"/>
    <col min="6" max="6" width="12.7109375" style="2" customWidth="1"/>
    <col min="7" max="7" width="17.7109375" style="2" customWidth="1"/>
    <col min="8" max="8" width="12.7109375" style="2" customWidth="1"/>
    <col min="9" max="9" width="12.7109375" customWidth="1"/>
    <col min="10" max="11" width="27.7109375" style="2" customWidth="1"/>
    <col min="12" max="12" width="15.7109375" customWidth="1"/>
    <col min="13" max="13" width="154.42578125" customWidth="1"/>
  </cols>
  <sheetData>
    <row r="1" spans="1:13">
      <c r="A1" t="s">
        <v>133</v>
      </c>
    </row>
    <row r="3" spans="1:13" s="27" customFormat="1" ht="30" customHeight="1">
      <c r="A3" s="28" t="s">
        <v>134</v>
      </c>
      <c r="B3" s="29" t="s">
        <v>135</v>
      </c>
      <c r="C3" s="29" t="s">
        <v>136</v>
      </c>
      <c r="D3" s="30" t="s">
        <v>138</v>
      </c>
      <c r="E3" s="147" t="s">
        <v>41</v>
      </c>
      <c r="F3" s="148"/>
      <c r="G3" s="30" t="s">
        <v>44</v>
      </c>
      <c r="H3" s="30" t="s">
        <v>182</v>
      </c>
      <c r="I3" s="30" t="s">
        <v>183</v>
      </c>
      <c r="J3" s="30" t="s">
        <v>184</v>
      </c>
      <c r="K3" s="29" t="s">
        <v>185</v>
      </c>
      <c r="L3" s="54" t="s">
        <v>143</v>
      </c>
      <c r="M3" s="55" t="s">
        <v>144</v>
      </c>
    </row>
    <row r="4" spans="1:13" s="2" customFormat="1">
      <c r="A4" s="31" t="s">
        <v>186</v>
      </c>
      <c r="B4" s="32" t="s">
        <v>187</v>
      </c>
      <c r="C4" s="33">
        <v>1.5</v>
      </c>
      <c r="D4" s="34" t="s">
        <v>188</v>
      </c>
      <c r="E4" s="35">
        <v>50</v>
      </c>
      <c r="F4" s="35">
        <v>500</v>
      </c>
      <c r="G4" s="35">
        <v>500</v>
      </c>
      <c r="H4" s="35">
        <v>1</v>
      </c>
      <c r="I4" s="56" t="s">
        <v>189</v>
      </c>
      <c r="J4" s="35">
        <v>13</v>
      </c>
      <c r="K4" s="32">
        <v>16</v>
      </c>
      <c r="L4" s="57">
        <v>1709</v>
      </c>
      <c r="M4" s="58" t="s">
        <v>190</v>
      </c>
    </row>
    <row r="5" spans="1:13" s="2" customFormat="1">
      <c r="A5" s="36" t="s">
        <v>186</v>
      </c>
      <c r="B5" s="37" t="s">
        <v>191</v>
      </c>
      <c r="C5" s="38">
        <v>2</v>
      </c>
      <c r="D5" s="39" t="s">
        <v>188</v>
      </c>
      <c r="E5" s="40">
        <v>50</v>
      </c>
      <c r="F5" s="40">
        <v>500</v>
      </c>
      <c r="G5" s="40">
        <v>500</v>
      </c>
      <c r="H5" s="40">
        <v>1</v>
      </c>
      <c r="I5" s="59" t="s">
        <v>189</v>
      </c>
      <c r="J5" s="40">
        <v>13</v>
      </c>
      <c r="K5" s="37">
        <v>16</v>
      </c>
      <c r="L5" s="60">
        <v>1879</v>
      </c>
      <c r="M5" s="61" t="s">
        <v>192</v>
      </c>
    </row>
    <row r="6" spans="1:13" s="2" customFormat="1">
      <c r="A6" s="41" t="s">
        <v>186</v>
      </c>
      <c r="B6" s="42" t="s">
        <v>193</v>
      </c>
      <c r="C6" s="43">
        <v>2.5</v>
      </c>
      <c r="D6" s="44" t="s">
        <v>188</v>
      </c>
      <c r="E6" s="45">
        <v>65</v>
      </c>
      <c r="F6" s="45">
        <v>550</v>
      </c>
      <c r="G6" s="45">
        <v>550</v>
      </c>
      <c r="H6" s="45">
        <v>1</v>
      </c>
      <c r="I6" s="62" t="s">
        <v>189</v>
      </c>
      <c r="J6" s="45">
        <v>13</v>
      </c>
      <c r="K6" s="42">
        <v>16</v>
      </c>
      <c r="L6" s="63">
        <v>1919</v>
      </c>
      <c r="M6" s="64" t="s">
        <v>83</v>
      </c>
    </row>
    <row r="7" spans="1:13" s="2" customFormat="1">
      <c r="A7" s="36" t="s">
        <v>186</v>
      </c>
      <c r="B7" s="37" t="s">
        <v>194</v>
      </c>
      <c r="C7" s="38">
        <v>3</v>
      </c>
      <c r="D7" s="39" t="s">
        <v>188</v>
      </c>
      <c r="E7" s="40">
        <v>65</v>
      </c>
      <c r="F7" s="40">
        <v>550</v>
      </c>
      <c r="G7" s="40">
        <v>550</v>
      </c>
      <c r="H7" s="40">
        <v>1</v>
      </c>
      <c r="I7" s="59" t="s">
        <v>189</v>
      </c>
      <c r="J7" s="40">
        <v>13</v>
      </c>
      <c r="K7" s="37">
        <v>16</v>
      </c>
      <c r="L7" s="60">
        <v>2219</v>
      </c>
      <c r="M7" s="61" t="s">
        <v>195</v>
      </c>
    </row>
    <row r="8" spans="1:13" s="2" customFormat="1">
      <c r="A8" s="41" t="s">
        <v>186</v>
      </c>
      <c r="B8" s="42" t="s">
        <v>196</v>
      </c>
      <c r="C8" s="43">
        <v>3</v>
      </c>
      <c r="D8" s="44" t="s">
        <v>188</v>
      </c>
      <c r="E8" s="45">
        <v>60</v>
      </c>
      <c r="F8" s="45">
        <v>500</v>
      </c>
      <c r="G8" s="45">
        <v>500</v>
      </c>
      <c r="H8" s="45">
        <v>2</v>
      </c>
      <c r="I8" s="62" t="s">
        <v>189</v>
      </c>
      <c r="J8" s="45" t="s">
        <v>197</v>
      </c>
      <c r="K8" s="42" t="s">
        <v>198</v>
      </c>
      <c r="L8" s="63">
        <v>2590</v>
      </c>
      <c r="M8" s="64" t="s">
        <v>199</v>
      </c>
    </row>
    <row r="9" spans="1:13" s="2" customFormat="1">
      <c r="A9" s="36" t="s">
        <v>186</v>
      </c>
      <c r="B9" s="37" t="s">
        <v>200</v>
      </c>
      <c r="C9" s="38">
        <v>5</v>
      </c>
      <c r="D9" s="39" t="s">
        <v>188</v>
      </c>
      <c r="E9" s="40">
        <v>60</v>
      </c>
      <c r="F9" s="40">
        <v>550</v>
      </c>
      <c r="G9" s="40">
        <v>550</v>
      </c>
      <c r="H9" s="40">
        <v>2</v>
      </c>
      <c r="I9" s="59" t="s">
        <v>189</v>
      </c>
      <c r="J9" s="40" t="s">
        <v>197</v>
      </c>
      <c r="K9" s="37" t="s">
        <v>198</v>
      </c>
      <c r="L9" s="60">
        <v>3549</v>
      </c>
      <c r="M9" s="61" t="s">
        <v>201</v>
      </c>
    </row>
    <row r="10" spans="1:13" s="2" customFormat="1">
      <c r="A10" s="41" t="s">
        <v>186</v>
      </c>
      <c r="B10" s="42" t="s">
        <v>202</v>
      </c>
      <c r="C10" s="43">
        <v>6</v>
      </c>
      <c r="D10" s="44" t="s">
        <v>188</v>
      </c>
      <c r="E10" s="45">
        <v>60</v>
      </c>
      <c r="F10" s="45">
        <v>550</v>
      </c>
      <c r="G10" s="45">
        <v>550</v>
      </c>
      <c r="H10" s="45">
        <v>2</v>
      </c>
      <c r="I10" s="62" t="s">
        <v>189</v>
      </c>
      <c r="J10" s="45" t="s">
        <v>197</v>
      </c>
      <c r="K10" s="42" t="s">
        <v>198</v>
      </c>
      <c r="L10" s="63">
        <v>4209</v>
      </c>
      <c r="M10" s="64" t="s">
        <v>203</v>
      </c>
    </row>
    <row r="11" spans="1:13" s="2" customFormat="1">
      <c r="A11" s="36" t="s">
        <v>186</v>
      </c>
      <c r="B11" s="37" t="s">
        <v>204</v>
      </c>
      <c r="C11" s="38">
        <v>8</v>
      </c>
      <c r="D11" s="39" t="s">
        <v>188</v>
      </c>
      <c r="E11" s="40">
        <v>60</v>
      </c>
      <c r="F11" s="40">
        <v>550</v>
      </c>
      <c r="G11" s="40">
        <v>600</v>
      </c>
      <c r="H11" s="40">
        <v>2</v>
      </c>
      <c r="I11" s="59" t="s">
        <v>205</v>
      </c>
      <c r="J11" s="40" t="s">
        <v>206</v>
      </c>
      <c r="K11" s="37" t="s">
        <v>207</v>
      </c>
      <c r="L11" s="60">
        <v>5409</v>
      </c>
      <c r="M11" s="61" t="s">
        <v>208</v>
      </c>
    </row>
    <row r="12" spans="1:13" s="2" customFormat="1">
      <c r="A12" s="41" t="s">
        <v>186</v>
      </c>
      <c r="B12" s="42" t="s">
        <v>209</v>
      </c>
      <c r="C12" s="43">
        <v>10</v>
      </c>
      <c r="D12" s="44" t="s">
        <v>188</v>
      </c>
      <c r="E12" s="45">
        <v>60</v>
      </c>
      <c r="F12" s="45">
        <v>550</v>
      </c>
      <c r="G12" s="45">
        <v>600</v>
      </c>
      <c r="H12" s="45">
        <v>3</v>
      </c>
      <c r="I12" s="62" t="s">
        <v>210</v>
      </c>
      <c r="J12" s="45" t="s">
        <v>211</v>
      </c>
      <c r="K12" s="42" t="s">
        <v>212</v>
      </c>
      <c r="L12" s="63">
        <v>6799</v>
      </c>
      <c r="M12" s="64" t="s">
        <v>213</v>
      </c>
    </row>
    <row r="13" spans="1:13" s="2" customFormat="1">
      <c r="A13" s="36" t="s">
        <v>186</v>
      </c>
      <c r="B13" s="37" t="s">
        <v>214</v>
      </c>
      <c r="C13" s="38">
        <v>15</v>
      </c>
      <c r="D13" s="39" t="s">
        <v>215</v>
      </c>
      <c r="E13" s="40">
        <v>180</v>
      </c>
      <c r="F13" s="40">
        <v>1000</v>
      </c>
      <c r="G13" s="40">
        <v>1100</v>
      </c>
      <c r="H13" s="40">
        <v>2</v>
      </c>
      <c r="I13" s="59" t="s">
        <v>216</v>
      </c>
      <c r="J13" s="40">
        <v>25</v>
      </c>
      <c r="K13" s="37">
        <v>32</v>
      </c>
      <c r="L13" s="60">
        <v>8299</v>
      </c>
      <c r="M13" s="61" t="s">
        <v>217</v>
      </c>
    </row>
    <row r="14" spans="1:13" s="2" customFormat="1">
      <c r="A14" s="41" t="s">
        <v>186</v>
      </c>
      <c r="B14" s="42" t="s">
        <v>218</v>
      </c>
      <c r="C14" s="43">
        <v>15</v>
      </c>
      <c r="D14" s="44" t="s">
        <v>215</v>
      </c>
      <c r="E14" s="45">
        <v>200</v>
      </c>
      <c r="F14" s="45">
        <v>850</v>
      </c>
      <c r="G14" s="45">
        <v>1100</v>
      </c>
      <c r="H14" s="45">
        <v>4</v>
      </c>
      <c r="I14" s="62" t="s">
        <v>219</v>
      </c>
      <c r="J14" s="45" t="s">
        <v>220</v>
      </c>
      <c r="K14" s="42" t="s">
        <v>221</v>
      </c>
      <c r="L14" s="63">
        <v>10029</v>
      </c>
      <c r="M14" s="64" t="s">
        <v>222</v>
      </c>
    </row>
    <row r="15" spans="1:13" s="2" customFormat="1">
      <c r="A15" s="36" t="s">
        <v>186</v>
      </c>
      <c r="B15" s="37" t="s">
        <v>223</v>
      </c>
      <c r="C15" s="38">
        <v>20</v>
      </c>
      <c r="D15" s="39" t="s">
        <v>215</v>
      </c>
      <c r="E15" s="40">
        <v>180</v>
      </c>
      <c r="F15" s="40">
        <v>1000</v>
      </c>
      <c r="G15" s="40">
        <v>1100</v>
      </c>
      <c r="H15" s="40">
        <v>2</v>
      </c>
      <c r="I15" s="59" t="s">
        <v>216</v>
      </c>
      <c r="J15" s="40">
        <v>25</v>
      </c>
      <c r="K15" s="37">
        <v>32</v>
      </c>
      <c r="L15" s="60">
        <v>9209</v>
      </c>
      <c r="M15" s="61" t="s">
        <v>224</v>
      </c>
    </row>
    <row r="16" spans="1:13" s="2" customFormat="1">
      <c r="A16" s="41" t="s">
        <v>186</v>
      </c>
      <c r="B16" s="42" t="s">
        <v>225</v>
      </c>
      <c r="C16" s="43">
        <v>20</v>
      </c>
      <c r="D16" s="44" t="s">
        <v>215</v>
      </c>
      <c r="E16" s="45">
        <v>200</v>
      </c>
      <c r="F16" s="45">
        <v>850</v>
      </c>
      <c r="G16" s="45">
        <v>1100</v>
      </c>
      <c r="H16" s="45">
        <v>4</v>
      </c>
      <c r="I16" s="62" t="s">
        <v>219</v>
      </c>
      <c r="J16" s="45" t="s">
        <v>220</v>
      </c>
      <c r="K16" s="42" t="s">
        <v>221</v>
      </c>
      <c r="L16" s="63">
        <v>11199</v>
      </c>
      <c r="M16" s="64" t="s">
        <v>226</v>
      </c>
    </row>
    <row r="17" spans="1:13" s="2" customFormat="1">
      <c r="A17" s="36" t="s">
        <v>186</v>
      </c>
      <c r="B17" s="37" t="s">
        <v>227</v>
      </c>
      <c r="C17" s="38">
        <v>25</v>
      </c>
      <c r="D17" s="39" t="s">
        <v>215</v>
      </c>
      <c r="E17" s="40">
        <v>180</v>
      </c>
      <c r="F17" s="40">
        <v>1000</v>
      </c>
      <c r="G17" s="40">
        <v>1100</v>
      </c>
      <c r="H17" s="40">
        <v>2</v>
      </c>
      <c r="I17" s="59" t="s">
        <v>228</v>
      </c>
      <c r="J17" s="40" t="s">
        <v>229</v>
      </c>
      <c r="K17" s="37" t="s">
        <v>230</v>
      </c>
      <c r="L17" s="60">
        <v>10949</v>
      </c>
      <c r="M17" s="61" t="s">
        <v>231</v>
      </c>
    </row>
    <row r="18" spans="1:13" s="2" customFormat="1">
      <c r="A18" s="41" t="s">
        <v>186</v>
      </c>
      <c r="B18" s="42" t="s">
        <v>232</v>
      </c>
      <c r="C18" s="43">
        <v>25</v>
      </c>
      <c r="D18" s="44" t="s">
        <v>215</v>
      </c>
      <c r="E18" s="45">
        <v>200</v>
      </c>
      <c r="F18" s="45">
        <v>1000</v>
      </c>
      <c r="G18" s="45">
        <v>1100</v>
      </c>
      <c r="H18" s="45">
        <v>3</v>
      </c>
      <c r="I18" s="62" t="s">
        <v>233</v>
      </c>
      <c r="J18" s="45" t="s">
        <v>234</v>
      </c>
      <c r="K18" s="42" t="s">
        <v>235</v>
      </c>
      <c r="L18" s="63">
        <v>13609</v>
      </c>
      <c r="M18" s="64" t="s">
        <v>236</v>
      </c>
    </row>
    <row r="19" spans="1:13" s="2" customFormat="1">
      <c r="A19" s="36" t="s">
        <v>186</v>
      </c>
      <c r="B19" s="37" t="s">
        <v>237</v>
      </c>
      <c r="C19" s="38">
        <v>30</v>
      </c>
      <c r="D19" s="39" t="s">
        <v>215</v>
      </c>
      <c r="E19" s="40">
        <v>180</v>
      </c>
      <c r="F19" s="40">
        <v>1000</v>
      </c>
      <c r="G19" s="40">
        <v>1100</v>
      </c>
      <c r="H19" s="40">
        <v>3</v>
      </c>
      <c r="I19" s="59" t="s">
        <v>238</v>
      </c>
      <c r="J19" s="40">
        <v>26</v>
      </c>
      <c r="K19" s="37">
        <v>32</v>
      </c>
      <c r="L19" s="60">
        <v>10809</v>
      </c>
      <c r="M19" s="61" t="s">
        <v>239</v>
      </c>
    </row>
    <row r="20" spans="1:13" s="2" customFormat="1">
      <c r="A20" s="41" t="s">
        <v>186</v>
      </c>
      <c r="B20" s="42" t="s">
        <v>240</v>
      </c>
      <c r="C20" s="43">
        <v>30</v>
      </c>
      <c r="D20" s="44" t="s">
        <v>215</v>
      </c>
      <c r="E20" s="45">
        <v>200</v>
      </c>
      <c r="F20" s="45">
        <v>1000</v>
      </c>
      <c r="G20" s="45">
        <v>1100</v>
      </c>
      <c r="H20" s="45">
        <v>3</v>
      </c>
      <c r="I20" s="62" t="s">
        <v>233</v>
      </c>
      <c r="J20" s="45" t="s">
        <v>234</v>
      </c>
      <c r="K20" s="42" t="s">
        <v>235</v>
      </c>
      <c r="L20" s="63">
        <v>15919</v>
      </c>
      <c r="M20" s="64" t="s">
        <v>241</v>
      </c>
    </row>
    <row r="21" spans="1:13" s="2" customFormat="1">
      <c r="A21" s="36" t="s">
        <v>186</v>
      </c>
      <c r="B21" s="37" t="s">
        <v>242</v>
      </c>
      <c r="C21" s="38">
        <v>36</v>
      </c>
      <c r="D21" s="39" t="s">
        <v>215</v>
      </c>
      <c r="E21" s="40">
        <v>180</v>
      </c>
      <c r="F21" s="40">
        <v>1000</v>
      </c>
      <c r="G21" s="40">
        <v>1100</v>
      </c>
      <c r="H21" s="40">
        <v>4</v>
      </c>
      <c r="I21" s="59" t="s">
        <v>238</v>
      </c>
      <c r="J21" s="40">
        <v>26</v>
      </c>
      <c r="K21" s="37">
        <v>32</v>
      </c>
      <c r="L21" s="60">
        <v>11779</v>
      </c>
      <c r="M21" s="61" t="s">
        <v>243</v>
      </c>
    </row>
    <row r="22" spans="1:13" s="2" customFormat="1">
      <c r="A22" s="41" t="s">
        <v>186</v>
      </c>
      <c r="B22" s="42" t="s">
        <v>244</v>
      </c>
      <c r="C22" s="43">
        <v>36</v>
      </c>
      <c r="D22" s="44" t="s">
        <v>215</v>
      </c>
      <c r="E22" s="45">
        <v>200</v>
      </c>
      <c r="F22" s="45">
        <v>1000</v>
      </c>
      <c r="G22" s="45">
        <v>1100</v>
      </c>
      <c r="H22" s="45">
        <v>3</v>
      </c>
      <c r="I22" s="62" t="s">
        <v>233</v>
      </c>
      <c r="J22" s="45" t="s">
        <v>234</v>
      </c>
      <c r="K22" s="42" t="s">
        <v>235</v>
      </c>
      <c r="L22" s="63">
        <v>16279</v>
      </c>
      <c r="M22" s="64" t="s">
        <v>245</v>
      </c>
    </row>
    <row r="23" spans="1:13" s="2" customFormat="1">
      <c r="A23" s="36" t="s">
        <v>186</v>
      </c>
      <c r="B23" s="37" t="s">
        <v>246</v>
      </c>
      <c r="C23" s="38">
        <v>50</v>
      </c>
      <c r="D23" s="39" t="s">
        <v>215</v>
      </c>
      <c r="E23" s="40">
        <v>200</v>
      </c>
      <c r="F23" s="40">
        <v>1000</v>
      </c>
      <c r="G23" s="40">
        <v>1100</v>
      </c>
      <c r="H23" s="40">
        <v>3</v>
      </c>
      <c r="I23" s="59" t="s">
        <v>247</v>
      </c>
      <c r="J23" s="40" t="s">
        <v>248</v>
      </c>
      <c r="K23" s="37"/>
      <c r="L23" s="60">
        <v>13709</v>
      </c>
      <c r="M23" s="61" t="s">
        <v>249</v>
      </c>
    </row>
    <row r="24" spans="1:13" s="2" customFormat="1">
      <c r="A24" s="41" t="s">
        <v>186</v>
      </c>
      <c r="B24" s="42" t="s">
        <v>250</v>
      </c>
      <c r="C24" s="43">
        <v>50</v>
      </c>
      <c r="D24" s="44" t="s">
        <v>215</v>
      </c>
      <c r="E24" s="45">
        <v>180</v>
      </c>
      <c r="F24" s="45">
        <v>850</v>
      </c>
      <c r="G24" s="45">
        <v>1100</v>
      </c>
      <c r="H24" s="45">
        <v>8</v>
      </c>
      <c r="I24" s="62" t="s">
        <v>238</v>
      </c>
      <c r="J24" s="45">
        <v>45</v>
      </c>
      <c r="K24" s="42">
        <v>56.5</v>
      </c>
      <c r="L24" s="63">
        <v>22959</v>
      </c>
      <c r="M24" s="64" t="s">
        <v>251</v>
      </c>
    </row>
    <row r="25" spans="1:13" s="2" customFormat="1">
      <c r="A25" s="36" t="s">
        <v>186</v>
      </c>
      <c r="B25" s="37" t="s">
        <v>252</v>
      </c>
      <c r="C25" s="38">
        <v>60</v>
      </c>
      <c r="D25" s="39" t="s">
        <v>215</v>
      </c>
      <c r="E25" s="40">
        <v>200</v>
      </c>
      <c r="F25" s="40">
        <v>1000</v>
      </c>
      <c r="G25" s="40">
        <v>1100</v>
      </c>
      <c r="H25" s="40">
        <v>3</v>
      </c>
      <c r="I25" s="59" t="s">
        <v>247</v>
      </c>
      <c r="J25" s="40" t="s">
        <v>253</v>
      </c>
      <c r="K25" s="37"/>
      <c r="L25" s="60">
        <v>15419</v>
      </c>
      <c r="M25" s="61" t="s">
        <v>254</v>
      </c>
    </row>
    <row r="26" spans="1:13" s="2" customFormat="1">
      <c r="A26" s="41" t="s">
        <v>186</v>
      </c>
      <c r="B26" s="42" t="s">
        <v>255</v>
      </c>
      <c r="C26" s="43">
        <v>60</v>
      </c>
      <c r="D26" s="44" t="s">
        <v>215</v>
      </c>
      <c r="E26" s="45">
        <v>180</v>
      </c>
      <c r="F26" s="45">
        <v>850</v>
      </c>
      <c r="G26" s="45">
        <v>1100</v>
      </c>
      <c r="H26" s="45">
        <v>8</v>
      </c>
      <c r="I26" s="62" t="s">
        <v>238</v>
      </c>
      <c r="J26" s="45">
        <v>45</v>
      </c>
      <c r="K26" s="42">
        <v>56.5</v>
      </c>
      <c r="L26" s="63">
        <v>23339</v>
      </c>
      <c r="M26" s="64" t="s">
        <v>256</v>
      </c>
    </row>
    <row r="27" spans="1:13" s="2" customFormat="1">
      <c r="A27" s="36" t="s">
        <v>186</v>
      </c>
      <c r="B27" s="37" t="s">
        <v>257</v>
      </c>
      <c r="C27" s="38">
        <v>75</v>
      </c>
      <c r="D27" s="39" t="s">
        <v>215</v>
      </c>
      <c r="E27" s="40">
        <v>195</v>
      </c>
      <c r="F27" s="40">
        <v>1000</v>
      </c>
      <c r="G27" s="40">
        <v>1100</v>
      </c>
      <c r="H27" s="40">
        <v>7</v>
      </c>
      <c r="I27" s="59" t="s">
        <v>238</v>
      </c>
      <c r="J27" s="40">
        <v>26</v>
      </c>
      <c r="K27" s="37"/>
      <c r="L27" s="60">
        <v>23599</v>
      </c>
      <c r="M27" s="61" t="s">
        <v>258</v>
      </c>
    </row>
    <row r="28" spans="1:13" s="2" customFormat="1">
      <c r="A28" s="41" t="s">
        <v>186</v>
      </c>
      <c r="B28" s="42" t="s">
        <v>259</v>
      </c>
      <c r="C28" s="43">
        <v>75</v>
      </c>
      <c r="D28" s="44" t="s">
        <v>215</v>
      </c>
      <c r="E28" s="45">
        <v>180</v>
      </c>
      <c r="F28" s="45">
        <v>850</v>
      </c>
      <c r="G28" s="45">
        <v>1100</v>
      </c>
      <c r="H28" s="45">
        <v>8</v>
      </c>
      <c r="I28" s="62" t="s">
        <v>238</v>
      </c>
      <c r="J28" s="45">
        <v>45</v>
      </c>
      <c r="K28" s="42">
        <v>56.5</v>
      </c>
      <c r="L28" s="63">
        <v>27519</v>
      </c>
      <c r="M28" s="64" t="s">
        <v>260</v>
      </c>
    </row>
    <row r="29" spans="1:13" s="2" customFormat="1">
      <c r="A29" s="36" t="s">
        <v>186</v>
      </c>
      <c r="B29" s="37" t="s">
        <v>261</v>
      </c>
      <c r="C29" s="38">
        <v>100</v>
      </c>
      <c r="D29" s="39" t="s">
        <v>215</v>
      </c>
      <c r="E29" s="40">
        <v>180</v>
      </c>
      <c r="F29" s="40">
        <v>1000</v>
      </c>
      <c r="G29" s="40">
        <v>1100</v>
      </c>
      <c r="H29" s="40">
        <v>10</v>
      </c>
      <c r="I29" s="59" t="s">
        <v>238</v>
      </c>
      <c r="J29" s="40">
        <v>32</v>
      </c>
      <c r="K29" s="37">
        <v>40</v>
      </c>
      <c r="L29" s="60">
        <v>35209</v>
      </c>
      <c r="M29" s="61" t="s">
        <v>262</v>
      </c>
    </row>
    <row r="30" spans="1:13" s="2" customFormat="1">
      <c r="A30" s="46" t="s">
        <v>186</v>
      </c>
      <c r="B30" s="47" t="s">
        <v>263</v>
      </c>
      <c r="C30" s="48">
        <v>125</v>
      </c>
      <c r="D30" s="49" t="s">
        <v>215</v>
      </c>
      <c r="E30" s="50">
        <v>180</v>
      </c>
      <c r="F30" s="50">
        <v>1000</v>
      </c>
      <c r="G30" s="50">
        <v>1100</v>
      </c>
      <c r="H30" s="50">
        <v>10</v>
      </c>
      <c r="I30" s="65" t="s">
        <v>238</v>
      </c>
      <c r="J30" s="50">
        <v>32</v>
      </c>
      <c r="K30" s="47">
        <v>40</v>
      </c>
      <c r="L30" s="66">
        <v>39159</v>
      </c>
      <c r="M30" s="67" t="s">
        <v>264</v>
      </c>
    </row>
    <row r="31" spans="1:13" s="2" customFormat="1">
      <c r="C31" s="51"/>
      <c r="D31" s="52"/>
      <c r="E31" s="52"/>
      <c r="F31" s="52"/>
      <c r="G31" s="52"/>
      <c r="H31" s="52"/>
      <c r="I31" s="52"/>
      <c r="J31" s="52"/>
      <c r="K31" s="52"/>
    </row>
    <row r="32" spans="1:13" s="2" customFormat="1">
      <c r="C32" s="51"/>
      <c r="D32" s="52"/>
      <c r="E32" s="52"/>
      <c r="F32" s="52"/>
      <c r="G32" s="52"/>
      <c r="H32" s="52"/>
      <c r="I32" s="52"/>
      <c r="J32" s="52"/>
      <c r="K32" s="52"/>
    </row>
    <row r="33" spans="2:11" s="2" customFormat="1">
      <c r="C33" s="51"/>
      <c r="D33" s="52"/>
      <c r="E33" s="52"/>
      <c r="F33" s="52"/>
      <c r="G33" s="52"/>
      <c r="H33" s="52"/>
      <c r="I33" s="52"/>
      <c r="J33" s="52"/>
      <c r="K33" s="52"/>
    </row>
    <row r="34" spans="2:11" s="2" customFormat="1">
      <c r="C34" s="51"/>
      <c r="D34" s="52"/>
      <c r="E34" s="52"/>
      <c r="F34" s="52"/>
      <c r="G34" s="52"/>
      <c r="H34" s="52"/>
      <c r="I34" s="52"/>
      <c r="J34" s="52"/>
      <c r="K34" s="52"/>
    </row>
    <row r="35" spans="2:11" s="2" customFormat="1">
      <c r="B35" s="2" t="s">
        <v>178</v>
      </c>
      <c r="C35" s="51" t="s">
        <v>179</v>
      </c>
      <c r="D35" s="52"/>
      <c r="E35" s="52"/>
      <c r="F35" s="52"/>
      <c r="G35" s="52"/>
      <c r="H35" s="52"/>
      <c r="I35" s="52"/>
      <c r="J35" s="52"/>
      <c r="K35" s="52"/>
    </row>
    <row r="36" spans="2:11" s="2" customFormat="1">
      <c r="B36" s="2" t="s">
        <v>180</v>
      </c>
      <c r="C36" s="51" t="s">
        <v>181</v>
      </c>
      <c r="D36" s="52"/>
      <c r="E36" s="52"/>
      <c r="F36" s="52"/>
      <c r="G36" s="52"/>
      <c r="H36" s="52"/>
      <c r="I36" s="52"/>
      <c r="J36" s="52"/>
      <c r="K36" s="52"/>
    </row>
    <row r="37" spans="2:11" s="2" customFormat="1">
      <c r="C37" s="51"/>
      <c r="D37" s="52"/>
      <c r="E37" s="52"/>
      <c r="F37" s="52"/>
      <c r="G37" s="52"/>
      <c r="H37" s="52"/>
      <c r="I37" s="52"/>
      <c r="J37" s="52"/>
      <c r="K37" s="52"/>
    </row>
    <row r="38" spans="2:11">
      <c r="C38" s="51"/>
      <c r="D38" s="53"/>
      <c r="E38" s="53"/>
      <c r="F38" s="52"/>
      <c r="G38" s="52"/>
      <c r="H38" s="52"/>
      <c r="I38" s="53"/>
      <c r="J38" s="52"/>
      <c r="K38" s="52"/>
    </row>
    <row r="39" spans="2:11">
      <c r="C39" s="51"/>
      <c r="D39" s="53"/>
      <c r="E39" s="53"/>
      <c r="F39" s="52"/>
      <c r="G39" s="52"/>
      <c r="H39" s="52"/>
      <c r="I39" s="53"/>
      <c r="J39" s="52"/>
      <c r="K39" s="52"/>
    </row>
    <row r="40" spans="2:11">
      <c r="C40" s="51"/>
    </row>
    <row r="41" spans="2:11">
      <c r="C41" s="51"/>
    </row>
    <row r="42" spans="2:11">
      <c r="C42" s="51"/>
    </row>
    <row r="43" spans="2:11">
      <c r="C43" s="51"/>
    </row>
    <row r="44" spans="2:11">
      <c r="C44" s="51"/>
    </row>
    <row r="45" spans="2:11">
      <c r="C45" s="51"/>
    </row>
    <row r="46" spans="2:11">
      <c r="C46" s="51"/>
    </row>
  </sheetData>
  <mergeCells count="1">
    <mergeCell ref="E3:F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8"/>
  <sheetViews>
    <sheetView tabSelected="1" workbookViewId="0">
      <selection activeCell="P8" sqref="P8"/>
    </sheetView>
  </sheetViews>
  <sheetFormatPr defaultColWidth="9.140625" defaultRowHeight="15"/>
  <cols>
    <col min="1" max="5" width="15.7109375" customWidth="1"/>
    <col min="6" max="7" width="20.7109375" customWidth="1"/>
    <col min="8" max="8" width="15.7109375" style="2" customWidth="1"/>
    <col min="9" max="41" width="15.7109375" customWidth="1"/>
  </cols>
  <sheetData>
    <row r="1" spans="1:41">
      <c r="A1" s="3" t="s">
        <v>265</v>
      </c>
      <c r="B1" s="149" t="s">
        <v>266</v>
      </c>
      <c r="C1" s="150"/>
      <c r="D1" s="151"/>
      <c r="E1" s="3" t="s">
        <v>267</v>
      </c>
      <c r="F1" s="3" t="s">
        <v>268</v>
      </c>
      <c r="G1" s="3" t="s">
        <v>269</v>
      </c>
      <c r="N1" s="152" t="s">
        <v>270</v>
      </c>
      <c r="O1" s="152"/>
      <c r="P1" s="17">
        <v>0</v>
      </c>
      <c r="Q1" s="17">
        <v>1</v>
      </c>
      <c r="R1" s="17">
        <v>2</v>
      </c>
      <c r="S1" s="17">
        <v>3</v>
      </c>
      <c r="T1" s="17">
        <v>4</v>
      </c>
      <c r="U1" s="17">
        <v>5</v>
      </c>
      <c r="V1" s="17">
        <v>6</v>
      </c>
      <c r="W1" s="17">
        <v>7</v>
      </c>
      <c r="X1" s="17">
        <v>8</v>
      </c>
      <c r="Y1" s="17">
        <v>9</v>
      </c>
      <c r="Z1" s="17">
        <v>10</v>
      </c>
      <c r="AA1" s="17">
        <v>11</v>
      </c>
      <c r="AB1" s="17">
        <v>12</v>
      </c>
      <c r="AC1" s="17">
        <v>13</v>
      </c>
      <c r="AD1" s="17">
        <v>14</v>
      </c>
      <c r="AE1" s="17">
        <v>15</v>
      </c>
      <c r="AF1" s="17">
        <v>16</v>
      </c>
      <c r="AG1" s="17">
        <v>17</v>
      </c>
      <c r="AH1" s="17">
        <v>18</v>
      </c>
      <c r="AI1" s="17">
        <v>19</v>
      </c>
      <c r="AJ1" s="17">
        <v>20</v>
      </c>
      <c r="AK1" s="17">
        <v>21</v>
      </c>
      <c r="AL1" s="17">
        <v>22</v>
      </c>
      <c r="AM1" s="17">
        <v>23</v>
      </c>
      <c r="AN1" s="17">
        <v>24</v>
      </c>
      <c r="AO1" s="17">
        <v>25</v>
      </c>
    </row>
    <row r="2" spans="1:41">
      <c r="A2" s="4">
        <v>7</v>
      </c>
      <c r="B2" s="153" t="s">
        <v>271</v>
      </c>
      <c r="C2" s="150"/>
      <c r="D2" s="151"/>
      <c r="E2" s="5">
        <v>470</v>
      </c>
      <c r="F2" s="6">
        <f>'PAINEL SOLAR'!J14</f>
        <v>658</v>
      </c>
      <c r="G2" s="6">
        <f>A2*F2</f>
        <v>4606</v>
      </c>
      <c r="H2" s="7" t="s">
        <v>272</v>
      </c>
      <c r="N2" s="154" t="s">
        <v>273</v>
      </c>
      <c r="O2" s="154"/>
      <c r="P2" s="18">
        <f>NPV(11.15%,Q2:AO2)</f>
        <v>3738.5492356519262</v>
      </c>
      <c r="Q2" s="23">
        <f>Cascavel!M25</f>
        <v>448.78585500000003</v>
      </c>
      <c r="R2" s="23">
        <f>Q2</f>
        <v>448.78585500000003</v>
      </c>
      <c r="S2" s="23">
        <f t="shared" ref="S2:AO2" si="0">R2</f>
        <v>448.78585500000003</v>
      </c>
      <c r="T2" s="23">
        <f t="shared" si="0"/>
        <v>448.78585500000003</v>
      </c>
      <c r="U2" s="23">
        <f t="shared" si="0"/>
        <v>448.78585500000003</v>
      </c>
      <c r="V2" s="23">
        <f t="shared" si="0"/>
        <v>448.78585500000003</v>
      </c>
      <c r="W2" s="23">
        <f t="shared" si="0"/>
        <v>448.78585500000003</v>
      </c>
      <c r="X2" s="23">
        <f t="shared" si="0"/>
        <v>448.78585500000003</v>
      </c>
      <c r="Y2" s="23">
        <f t="shared" si="0"/>
        <v>448.78585500000003</v>
      </c>
      <c r="Z2" s="23">
        <f t="shared" si="0"/>
        <v>448.78585500000003</v>
      </c>
      <c r="AA2" s="23">
        <f t="shared" si="0"/>
        <v>448.78585500000003</v>
      </c>
      <c r="AB2" s="23">
        <f t="shared" si="0"/>
        <v>448.78585500000003</v>
      </c>
      <c r="AC2" s="23">
        <f t="shared" si="0"/>
        <v>448.78585500000003</v>
      </c>
      <c r="AD2" s="23">
        <f t="shared" si="0"/>
        <v>448.78585500000003</v>
      </c>
      <c r="AE2" s="23">
        <f t="shared" si="0"/>
        <v>448.78585500000003</v>
      </c>
      <c r="AF2" s="23">
        <f t="shared" si="0"/>
        <v>448.78585500000003</v>
      </c>
      <c r="AG2" s="23">
        <f t="shared" si="0"/>
        <v>448.78585500000003</v>
      </c>
      <c r="AH2" s="23">
        <f t="shared" si="0"/>
        <v>448.78585500000003</v>
      </c>
      <c r="AI2" s="23">
        <f t="shared" si="0"/>
        <v>448.78585500000003</v>
      </c>
      <c r="AJ2" s="23">
        <f t="shared" si="0"/>
        <v>448.78585500000003</v>
      </c>
      <c r="AK2" s="23">
        <f t="shared" si="0"/>
        <v>448.78585500000003</v>
      </c>
      <c r="AL2" s="23">
        <f t="shared" si="0"/>
        <v>448.78585500000003</v>
      </c>
      <c r="AM2" s="23">
        <f t="shared" si="0"/>
        <v>448.78585500000003</v>
      </c>
      <c r="AN2" s="23">
        <f t="shared" si="0"/>
        <v>448.78585500000003</v>
      </c>
      <c r="AO2" s="23">
        <f t="shared" si="0"/>
        <v>448.78585500000003</v>
      </c>
    </row>
    <row r="3" spans="1:41">
      <c r="A3" s="4">
        <v>1</v>
      </c>
      <c r="B3" s="153" t="s">
        <v>274</v>
      </c>
      <c r="C3" s="150"/>
      <c r="D3" s="151"/>
      <c r="E3" s="5">
        <v>4</v>
      </c>
      <c r="F3" s="6">
        <f>'INVERSOR SOLAR'!L7</f>
        <v>2219</v>
      </c>
      <c r="G3" s="6">
        <f>A3*F3</f>
        <v>2219</v>
      </c>
      <c r="H3" s="7" t="s">
        <v>275</v>
      </c>
      <c r="N3" s="154" t="s">
        <v>276</v>
      </c>
      <c r="O3" s="154"/>
      <c r="P3" s="19">
        <f>G7+NPV(11.15%,Q3:AO3)</f>
        <v>15049.961746791862</v>
      </c>
      <c r="Q3" s="24"/>
      <c r="R3" s="24"/>
      <c r="S3" s="24"/>
      <c r="T3" s="24"/>
      <c r="U3" s="25"/>
      <c r="V3" s="24"/>
      <c r="W3" s="24"/>
      <c r="X3" s="24"/>
      <c r="Y3" s="24"/>
      <c r="Z3" s="19">
        <f>G3</f>
        <v>2219</v>
      </c>
      <c r="AA3" s="24"/>
      <c r="AB3" s="24"/>
      <c r="AC3" s="24"/>
      <c r="AD3" s="24"/>
      <c r="AE3" s="24"/>
      <c r="AF3" s="24"/>
      <c r="AG3" s="24"/>
      <c r="AH3" s="24"/>
      <c r="AI3" s="24"/>
      <c r="AJ3" s="19">
        <f>G3</f>
        <v>2219</v>
      </c>
      <c r="AK3" s="24"/>
      <c r="AL3" s="24"/>
      <c r="AM3" s="24"/>
      <c r="AN3" s="24"/>
      <c r="AO3" s="24"/>
    </row>
    <row r="4" spans="1:41">
      <c r="A4" s="4"/>
      <c r="B4" s="153" t="s">
        <v>277</v>
      </c>
      <c r="C4" s="150"/>
      <c r="D4" s="151"/>
      <c r="E4" s="8"/>
      <c r="F4" s="6"/>
      <c r="G4" s="6">
        <f>0.04*(G2+G3)</f>
        <v>273</v>
      </c>
      <c r="H4" s="7" t="s">
        <v>278</v>
      </c>
      <c r="N4" s="152" t="s">
        <v>279</v>
      </c>
      <c r="O4" s="152"/>
      <c r="P4" s="20">
        <f>NPV(11.15%,Q4:AO4)</f>
        <v>6268.582482959433</v>
      </c>
      <c r="Q4" s="26">
        <f>$P$3*0.05</f>
        <v>752.4980873395931</v>
      </c>
      <c r="R4" s="26">
        <f t="shared" ref="R4:AA4" si="1">$P$3*0.05</f>
        <v>752.4980873395931</v>
      </c>
      <c r="S4" s="26">
        <f t="shared" si="1"/>
        <v>752.4980873395931</v>
      </c>
      <c r="T4" s="26">
        <f t="shared" si="1"/>
        <v>752.4980873395931</v>
      </c>
      <c r="U4" s="26">
        <f t="shared" si="1"/>
        <v>752.4980873395931</v>
      </c>
      <c r="V4" s="26">
        <f t="shared" si="1"/>
        <v>752.4980873395931</v>
      </c>
      <c r="W4" s="26">
        <f t="shared" si="1"/>
        <v>752.4980873395931</v>
      </c>
      <c r="X4" s="26">
        <f t="shared" si="1"/>
        <v>752.4980873395931</v>
      </c>
      <c r="Y4" s="26">
        <f t="shared" si="1"/>
        <v>752.4980873395931</v>
      </c>
      <c r="Z4" s="26">
        <f t="shared" si="1"/>
        <v>752.4980873395931</v>
      </c>
      <c r="AA4" s="26">
        <f t="shared" si="1"/>
        <v>752.4980873395931</v>
      </c>
      <c r="AB4" s="26">
        <f t="shared" ref="AB4:AO4" si="2">$P$3*0.05</f>
        <v>752.4980873395931</v>
      </c>
      <c r="AC4" s="26">
        <f t="shared" si="2"/>
        <v>752.4980873395931</v>
      </c>
      <c r="AD4" s="26">
        <f t="shared" si="2"/>
        <v>752.4980873395931</v>
      </c>
      <c r="AE4" s="26">
        <f t="shared" si="2"/>
        <v>752.4980873395931</v>
      </c>
      <c r="AF4" s="26">
        <f t="shared" si="2"/>
        <v>752.4980873395931</v>
      </c>
      <c r="AG4" s="26">
        <f t="shared" si="2"/>
        <v>752.4980873395931</v>
      </c>
      <c r="AH4" s="26">
        <f t="shared" si="2"/>
        <v>752.4980873395931</v>
      </c>
      <c r="AI4" s="26">
        <f t="shared" si="2"/>
        <v>752.4980873395931</v>
      </c>
      <c r="AJ4" s="26">
        <f t="shared" si="2"/>
        <v>752.4980873395931</v>
      </c>
      <c r="AK4" s="26">
        <f t="shared" si="2"/>
        <v>752.4980873395931</v>
      </c>
      <c r="AL4" s="26">
        <f t="shared" si="2"/>
        <v>752.4980873395931</v>
      </c>
      <c r="AM4" s="26">
        <f t="shared" si="2"/>
        <v>752.4980873395931</v>
      </c>
      <c r="AN4" s="26">
        <f t="shared" si="2"/>
        <v>752.4980873395931</v>
      </c>
      <c r="AO4" s="26">
        <f t="shared" si="2"/>
        <v>752.4980873395931</v>
      </c>
    </row>
    <row r="5" spans="1:41">
      <c r="A5" s="9"/>
      <c r="B5" s="155" t="s">
        <v>280</v>
      </c>
      <c r="C5" s="156"/>
      <c r="D5" s="157"/>
      <c r="E5" s="10"/>
      <c r="F5" s="6"/>
      <c r="G5" s="6">
        <f>0.22*(G2+G3+G4)</f>
        <v>1561.56</v>
      </c>
      <c r="H5" s="7" t="s">
        <v>281</v>
      </c>
      <c r="P5" s="21"/>
      <c r="U5" s="2"/>
    </row>
    <row r="6" spans="1:41">
      <c r="A6" s="11"/>
      <c r="B6" s="158" t="s">
        <v>282</v>
      </c>
      <c r="C6" s="159"/>
      <c r="D6" s="160"/>
      <c r="E6" s="12"/>
      <c r="F6" s="13"/>
      <c r="G6" s="13">
        <f>0.3*SUM(G2:G5)</f>
        <v>2597.8679999999999</v>
      </c>
      <c r="H6" s="7" t="s">
        <v>283</v>
      </c>
      <c r="P6" s="21"/>
      <c r="U6" s="2"/>
    </row>
    <row r="7" spans="1:41">
      <c r="A7" s="161" t="s">
        <v>284</v>
      </c>
      <c r="B7" s="161"/>
      <c r="C7" s="161"/>
      <c r="D7" s="161"/>
      <c r="E7" s="161"/>
      <c r="F7" s="161"/>
      <c r="G7" s="14">
        <f>SUM(G2:G6)</f>
        <v>11257.428</v>
      </c>
      <c r="N7" s="2"/>
      <c r="O7" s="2" t="s">
        <v>285</v>
      </c>
      <c r="P7" s="2"/>
      <c r="U7" s="2"/>
    </row>
    <row r="8" spans="1:41">
      <c r="N8" s="162" t="s">
        <v>286</v>
      </c>
      <c r="O8" s="163"/>
      <c r="P8" s="22">
        <f>(P3+P4)/P2</f>
        <v>5.7023574884212476</v>
      </c>
      <c r="U8" s="2"/>
    </row>
    <row r="9" spans="1:41">
      <c r="B9" t="s">
        <v>287</v>
      </c>
      <c r="U9" s="2"/>
    </row>
    <row r="10" spans="1:41">
      <c r="B10" t="s">
        <v>288</v>
      </c>
      <c r="U10" s="2"/>
    </row>
    <row r="11" spans="1:41">
      <c r="U11" s="2"/>
    </row>
    <row r="12" spans="1:41">
      <c r="B12" s="164" t="s">
        <v>289</v>
      </c>
      <c r="C12" s="150"/>
      <c r="D12" s="151"/>
      <c r="E12" s="8">
        <v>25</v>
      </c>
      <c r="F12" s="8" t="s">
        <v>290</v>
      </c>
    </row>
    <row r="13" spans="1:41">
      <c r="B13" s="164" t="s">
        <v>291</v>
      </c>
      <c r="C13" s="150"/>
      <c r="D13" s="151"/>
      <c r="E13" s="15">
        <v>10</v>
      </c>
      <c r="F13" s="15" t="s">
        <v>290</v>
      </c>
    </row>
    <row r="16" spans="1:41">
      <c r="C16" s="16" t="s">
        <v>292</v>
      </c>
    </row>
    <row r="18" s="1" customFormat="1"/>
  </sheetData>
  <mergeCells count="14">
    <mergeCell ref="N8:O8"/>
    <mergeCell ref="B12:D12"/>
    <mergeCell ref="B13:D13"/>
    <mergeCell ref="B4:D4"/>
    <mergeCell ref="N4:O4"/>
    <mergeCell ref="B5:D5"/>
    <mergeCell ref="B6:D6"/>
    <mergeCell ref="A7:F7"/>
    <mergeCell ref="B1:D1"/>
    <mergeCell ref="N1:O1"/>
    <mergeCell ref="B2:D2"/>
    <mergeCell ref="N2:O2"/>
    <mergeCell ref="B3:D3"/>
    <mergeCell ref="N3:O3"/>
  </mergeCells>
  <hyperlinks>
    <hyperlink ref="C16" r:id="rId1" xr:uid="{00000000-0004-0000-0400-000000000000}"/>
  </hyperlinks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Cascavel</vt:lpstr>
      <vt:lpstr>Equipamentos</vt:lpstr>
      <vt:lpstr>PAINEL SOLAR</vt:lpstr>
      <vt:lpstr>INVERSOR SOLAR</vt:lpstr>
      <vt:lpstr>Custos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perfil</dc:creator>
  <cp:lastModifiedBy>Lucas Baldasso</cp:lastModifiedBy>
  <dcterms:created xsi:type="dcterms:W3CDTF">2015-09-21T18:27:00Z</dcterms:created>
  <dcterms:modified xsi:type="dcterms:W3CDTF">2024-06-14T16:23:12Z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DEFDFA28C0A444268677183139D90937_13</vt:lpwstr>
  </property>
  <property fmtid="{D5CDD505-2E9C-101B-9397-08002B2CF9AE}" pid="3" name="KSOProductBuildVer">
    <vt:lpwstr>1046-12.2.0.13489</vt:lpwstr>
  </property>
</Properties>
</file>