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h\Desktop\Bruno\FACULDADE\TCC\Projetos\"/>
    </mc:Choice>
  </mc:AlternateContent>
  <xr:revisionPtr revIDLastSave="0" documentId="13_ncr:1_{C9DD45AD-620C-4040-A12C-3100297F7AEC}" xr6:coauthVersionLast="47" xr6:coauthVersionMax="47" xr10:uidLastSave="{00000000-0000-0000-0000-000000000000}"/>
  <bookViews>
    <workbookView xWindow="-108" yWindow="-108" windowWidth="23256" windowHeight="12576" firstSheet="6" activeTab="8" xr2:uid="{5D55A17E-6945-4647-9217-8FA406858836}"/>
  </bookViews>
  <sheets>
    <sheet name="Quadro de Carga " sheetId="1" r:id="rId1"/>
    <sheet name="Divisão de Circuitos" sheetId="9" r:id="rId2"/>
    <sheet name="CONDUTORES  ELETRODUTOS" sheetId="12" r:id="rId3"/>
    <sheet name="Disjuntores" sheetId="13" r:id="rId4"/>
    <sheet name="Luminotecnico" sheetId="10" r:id="rId5"/>
    <sheet name="Iluminação" sheetId="7" r:id="rId6"/>
    <sheet name="TUG e TUE" sheetId="8" r:id="rId7"/>
    <sheet name="DEMANDA TOTAL" sheetId="11" r:id="rId8"/>
    <sheet name="Planilha1" sheetId="14" r:id="rId9"/>
    <sheet name="Planilha2" sheetId="5" r:id="rId10"/>
    <sheet name="Calculo de demanda " sheetId="2" r:id="rId11"/>
    <sheet name="Quadro de carga do medidor " sheetId="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J3" i="5" s="1"/>
  <c r="J9" i="5" s="1"/>
  <c r="S12" i="13"/>
  <c r="S13" i="13"/>
  <c r="S14" i="13"/>
  <c r="S15" i="13"/>
  <c r="S16" i="13"/>
  <c r="S17" i="13"/>
  <c r="S18" i="13"/>
  <c r="S19" i="13"/>
  <c r="S11" i="13"/>
  <c r="Q12" i="13"/>
  <c r="Q13" i="13"/>
  <c r="Q14" i="13"/>
  <c r="Q15" i="13"/>
  <c r="Q16" i="13"/>
  <c r="Q17" i="13"/>
  <c r="Q18" i="13"/>
  <c r="Q19" i="13"/>
  <c r="Q11" i="13"/>
  <c r="AI4" i="1"/>
  <c r="AG4" i="1"/>
  <c r="AG5" i="1"/>
  <c r="AG6" i="1"/>
  <c r="AG7" i="1"/>
  <c r="AG8" i="1"/>
  <c r="AG9" i="1"/>
  <c r="AG10" i="1"/>
  <c r="AG11" i="1"/>
  <c r="AG12" i="1"/>
  <c r="AE4" i="1"/>
  <c r="D9" i="5"/>
  <c r="K12" i="11"/>
  <c r="K13" i="11"/>
  <c r="K14" i="11"/>
  <c r="K11" i="11"/>
  <c r="I15" i="11"/>
  <c r="J11" i="8"/>
  <c r="J12" i="8"/>
  <c r="J13" i="8"/>
  <c r="J14" i="8"/>
  <c r="J15" i="8"/>
  <c r="J16" i="8"/>
  <c r="J17" i="8"/>
  <c r="J10" i="8"/>
  <c r="W33" i="1"/>
  <c r="J4" i="5"/>
  <c r="J5" i="5"/>
  <c r="J6" i="5"/>
  <c r="J7" i="5"/>
  <c r="J8" i="5"/>
  <c r="H4" i="5"/>
  <c r="I4" i="5" s="1"/>
  <c r="H5" i="5"/>
  <c r="I5" i="5" s="1"/>
  <c r="H6" i="5"/>
  <c r="I6" i="5" s="1"/>
  <c r="H8" i="5"/>
  <c r="I8" i="5"/>
  <c r="F9" i="5"/>
  <c r="AG33" i="1"/>
  <c r="AA33" i="1"/>
  <c r="Z33" i="1"/>
  <c r="Y33" i="1"/>
  <c r="T33" i="1"/>
  <c r="AI33" i="1" s="1"/>
  <c r="AE33" i="1" s="1"/>
  <c r="AE13" i="1"/>
  <c r="T13" i="1"/>
  <c r="G6" i="5"/>
  <c r="G7" i="5"/>
  <c r="H7" i="5" s="1"/>
  <c r="K15" i="11" l="1"/>
  <c r="I7" i="5"/>
  <c r="G8" i="5"/>
  <c r="S33" i="1"/>
  <c r="E10" i="2"/>
  <c r="AB23" i="1"/>
  <c r="K4" i="3" s="1"/>
  <c r="E9" i="5"/>
  <c r="V19" i="1"/>
  <c r="H4" i="3" s="1"/>
  <c r="T9" i="1"/>
  <c r="S9" i="1" s="1"/>
  <c r="Y9" i="1"/>
  <c r="Z9" i="1"/>
  <c r="AA9" i="1"/>
  <c r="AA10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Y10" i="1"/>
  <c r="Z10" i="1"/>
  <c r="Y11" i="1"/>
  <c r="Z11" i="1"/>
  <c r="AA11" i="1"/>
  <c r="Y12" i="1"/>
  <c r="Z12" i="1"/>
  <c r="AA12" i="1"/>
  <c r="Y13" i="1"/>
  <c r="Z13" i="1"/>
  <c r="AA13" i="1"/>
  <c r="AG13" i="1"/>
  <c r="AI9" i="1" l="1"/>
  <c r="AE9" i="1" s="1"/>
  <c r="D9" i="3"/>
  <c r="C9" i="3"/>
  <c r="AB19" i="1"/>
  <c r="H5" i="3" l="1"/>
  <c r="E3" i="2" l="1"/>
  <c r="E2" i="2"/>
  <c r="E8" i="2"/>
  <c r="E7" i="2"/>
  <c r="E6" i="2"/>
  <c r="E5" i="2"/>
  <c r="E4" i="2"/>
  <c r="E9" i="2" l="1"/>
  <c r="T11" i="1" l="1"/>
  <c r="AI11" i="1" s="1"/>
  <c r="AE11" i="1" s="1"/>
  <c r="Y19" i="1" l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T12" i="1"/>
  <c r="AI12" i="1" s="1"/>
  <c r="AE12" i="1" s="1"/>
  <c r="S11" i="1"/>
  <c r="T10" i="1"/>
  <c r="AI10" i="1" s="1"/>
  <c r="AE10" i="1" s="1"/>
  <c r="T8" i="1"/>
  <c r="AI8" i="1" s="1"/>
  <c r="AE8" i="1" s="1"/>
  <c r="T7" i="1"/>
  <c r="AI7" i="1" s="1"/>
  <c r="AE7" i="1" s="1"/>
  <c r="T6" i="1"/>
  <c r="T5" i="1"/>
  <c r="T4" i="1"/>
  <c r="D5" i="5" l="1"/>
  <c r="G5" i="5" s="1"/>
  <c r="AI5" i="1"/>
  <c r="AE5" i="1" s="1"/>
  <c r="D4" i="5"/>
  <c r="S6" i="1"/>
  <c r="AI6" i="1"/>
  <c r="AE6" i="1" s="1"/>
  <c r="S13" i="1"/>
  <c r="AI13" i="1"/>
  <c r="S7" i="1"/>
  <c r="S12" i="1"/>
  <c r="X19" i="1"/>
  <c r="J4" i="3" s="1"/>
  <c r="J5" i="3" s="1"/>
  <c r="S4" i="1"/>
  <c r="S8" i="1"/>
  <c r="S5" i="1"/>
  <c r="S10" i="1"/>
  <c r="T19" i="1"/>
  <c r="G3" i="5" l="1"/>
  <c r="H3" i="5" s="1"/>
  <c r="G4" i="5"/>
  <c r="F4" i="3"/>
  <c r="F5" i="3" s="1"/>
  <c r="S19" i="1"/>
  <c r="S23" i="1"/>
  <c r="S24" i="1"/>
  <c r="AA19" i="1"/>
  <c r="Z19" i="1"/>
  <c r="W19" i="1"/>
  <c r="I4" i="3" s="1"/>
  <c r="I5" i="3" s="1"/>
  <c r="G9" i="5" l="1"/>
  <c r="E4" i="3"/>
  <c r="E5" i="3" s="1"/>
  <c r="I3" i="5"/>
  <c r="I9" i="5" s="1"/>
  <c r="H9" i="5"/>
  <c r="S25" i="1"/>
  <c r="AI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Henrique</author>
  </authors>
  <commentList>
    <comment ref="G33" authorId="0" shapeId="0" xr:uid="{DA3E4F15-F7DC-4D8B-8AF1-86A7887C1487}">
      <text>
        <r>
          <rPr>
            <b/>
            <sz val="9"/>
            <color indexed="81"/>
            <rFont val="Segoe UI"/>
            <charset val="1"/>
          </rPr>
          <t>Bruno Henrique:</t>
        </r>
        <r>
          <rPr>
            <sz val="9"/>
            <color indexed="81"/>
            <rFont val="Segoe UI"/>
            <charset val="1"/>
          </rPr>
          <t xml:space="preserve">
PARA TODOS OS ANDARES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Henrique</author>
  </authors>
  <commentList>
    <comment ref="G12" authorId="0" shapeId="0" xr:uid="{D616A734-412A-4641-95CD-70F8F277EA38}">
      <text>
        <r>
          <rPr>
            <b/>
            <sz val="9"/>
            <color indexed="81"/>
            <rFont val="Segoe UI"/>
            <family val="2"/>
          </rPr>
          <t>Bruno Henrique:</t>
        </r>
        <r>
          <rPr>
            <sz val="9"/>
            <color indexed="81"/>
            <rFont val="Segoe UI"/>
            <family val="2"/>
          </rPr>
          <t xml:space="preserve">
colocar mais uma tomada no banheiro
</t>
        </r>
      </text>
    </comment>
    <comment ref="G17" authorId="0" shapeId="0" xr:uid="{ED7637C3-04B0-4945-8E4B-D5238744BFC3}">
      <text>
        <r>
          <rPr>
            <sz val="9"/>
            <color indexed="81"/>
            <rFont val="Segoe UI"/>
            <family val="2"/>
          </rPr>
          <t xml:space="preserve">tem que adicionar duas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Henrique</author>
  </authors>
  <commentList>
    <comment ref="A9" authorId="0" shapeId="0" xr:uid="{AD571953-E451-4375-A7AB-6D5F4E9E7642}">
      <text>
        <r>
          <rPr>
            <b/>
            <sz val="9"/>
            <color indexed="81"/>
            <rFont val="Segoe UI"/>
            <charset val="1"/>
          </rPr>
          <t>35 Graus</t>
        </r>
      </text>
    </comment>
    <comment ref="B9" authorId="0" shapeId="0" xr:uid="{761D5E95-0538-46A6-A9A4-C5438AB2DFB7}">
      <text>
        <r>
          <rPr>
            <b/>
            <sz val="9"/>
            <color indexed="81"/>
            <rFont val="Segoe UI"/>
            <family val="2"/>
          </rPr>
          <t>APENAS UM CIRCUITO</t>
        </r>
      </text>
    </comment>
    <comment ref="E9" authorId="0" shapeId="0" xr:uid="{BD903180-F8C7-430D-95FF-31274C1AFBF4}">
      <text>
        <r>
          <rPr>
            <b/>
            <sz val="9"/>
            <color indexed="81"/>
            <rFont val="Segoe UI"/>
            <family val="2"/>
          </rPr>
          <t>Cabo 25mm² com dois condutores carregados, método D e cabos PVC Alumínio</t>
        </r>
      </text>
    </comment>
  </commentList>
</comments>
</file>

<file path=xl/sharedStrings.xml><?xml version="1.0" encoding="utf-8"?>
<sst xmlns="http://schemas.openxmlformats.org/spreadsheetml/2006/main" count="501" uniqueCount="234">
  <si>
    <t>QUADRO DE CARGAS - 1</t>
  </si>
  <si>
    <t>CIRC.</t>
  </si>
  <si>
    <t>DESCRIÇÃO</t>
  </si>
  <si>
    <t>ESQUEMA</t>
  </si>
  <si>
    <t>MÉT. DE INST.</t>
  </si>
  <si>
    <t>TENSÃO (V)</t>
  </si>
  <si>
    <t>ILUMINAÇÃO (W)</t>
  </si>
  <si>
    <t>TUG (W)</t>
  </si>
  <si>
    <t>TUE (W)</t>
  </si>
  <si>
    <t>POT. TOTAL (VA)</t>
  </si>
  <si>
    <t>POT. TOTAL (W)</t>
  </si>
  <si>
    <t>FASES</t>
  </si>
  <si>
    <t>POT. - R (W)</t>
  </si>
  <si>
    <t>POT. - S (W)</t>
  </si>
  <si>
    <t>POT. - T (W)</t>
  </si>
  <si>
    <t>In. - R (A)</t>
  </si>
  <si>
    <t>In. - S (A)</t>
  </si>
  <si>
    <t>In. - T (A)</t>
  </si>
  <si>
    <t>FP</t>
  </si>
  <si>
    <t>FCT</t>
  </si>
  <si>
    <t>FCA</t>
  </si>
  <si>
    <t>INP (A)</t>
  </si>
  <si>
    <t>INC (A)</t>
  </si>
  <si>
    <t>IC (A)</t>
  </si>
  <si>
    <t>IP (A)</t>
  </si>
  <si>
    <t>SEÇÃO (MM²)</t>
  </si>
  <si>
    <t>DISJ (A)</t>
  </si>
  <si>
    <t>DR (A)</t>
  </si>
  <si>
    <t>DV. PARCIAL</t>
  </si>
  <si>
    <t>DV. TOTAL</t>
  </si>
  <si>
    <t>TOTAL</t>
  </si>
  <si>
    <t xml:space="preserve">CHUVEIRO </t>
  </si>
  <si>
    <t>AR CONDICIONADO QUARTO 2</t>
  </si>
  <si>
    <t>AR CONDICIONADO QUARTO 1</t>
  </si>
  <si>
    <t>F+N</t>
  </si>
  <si>
    <t>F+N+T</t>
  </si>
  <si>
    <t>F+F+T</t>
  </si>
  <si>
    <t>B1</t>
  </si>
  <si>
    <t>DIST.PARC (M)</t>
  </si>
  <si>
    <t>FD</t>
  </si>
  <si>
    <t>Potência</t>
  </si>
  <si>
    <t>Demanda</t>
  </si>
  <si>
    <t>D1</t>
  </si>
  <si>
    <t>Iluminação e tomadas</t>
  </si>
  <si>
    <t>D2</t>
  </si>
  <si>
    <t>Aquecimento de água</t>
  </si>
  <si>
    <t>D3</t>
  </si>
  <si>
    <t>Forno de micro-ondas</t>
  </si>
  <si>
    <t>D4</t>
  </si>
  <si>
    <t>Fogão e forno elétrico</t>
  </si>
  <si>
    <t>D5</t>
  </si>
  <si>
    <t>Ar-condicionado</t>
  </si>
  <si>
    <t>D6</t>
  </si>
  <si>
    <t>Motores elétricos</t>
  </si>
  <si>
    <t>D7</t>
  </si>
  <si>
    <t>Máquinas de solda</t>
  </si>
  <si>
    <t>TOTAL =</t>
  </si>
  <si>
    <t>QUADRO DE CARGAS - MEDIDOR</t>
  </si>
  <si>
    <t>QD1</t>
  </si>
  <si>
    <t>Quadro de Distribuição</t>
  </si>
  <si>
    <t xml:space="preserve">TOMADAS COZINHA PAREDE </t>
  </si>
  <si>
    <t xml:space="preserve">TOMADAS COZINHA BANCADA </t>
  </si>
  <si>
    <t>SEÇÃO CABOS PVC (MM²)</t>
  </si>
  <si>
    <t>FCT 40°</t>
  </si>
  <si>
    <t xml:space="preserve">FCA </t>
  </si>
  <si>
    <t>IP  - I PROJETO(A)</t>
  </si>
  <si>
    <t>LUMINARIAS (TODAS)</t>
  </si>
  <si>
    <t>TOMADAS QUARTO 1</t>
  </si>
  <si>
    <t>TOMADAS QUARTO 2  E BANHEIRO</t>
  </si>
  <si>
    <t>TOMADAS SALA JANTAR</t>
  </si>
  <si>
    <t>TOMADAS SALA TV E VARANDA</t>
  </si>
  <si>
    <t>IZ - CAPC. I CABO (A)</t>
  </si>
  <si>
    <t>IN - DISJ (A)</t>
  </si>
  <si>
    <t>IB - I PROJETO CORRIGIDA (A) &lt;</t>
  </si>
  <si>
    <t>IZC- CAPAC. I CABO CORRIGIDA (A) &lt;</t>
  </si>
  <si>
    <t>Iluminação e Tomadas</t>
  </si>
  <si>
    <t>Chuveiro</t>
  </si>
  <si>
    <t>Ar Condicionado</t>
  </si>
  <si>
    <t>Potência Total (W)</t>
  </si>
  <si>
    <t>Máq Lavar, forno elétrico e microondas</t>
  </si>
  <si>
    <t>Fogão elétrico</t>
  </si>
  <si>
    <t>Fator de Demanda para 01 apartamento</t>
  </si>
  <si>
    <t>Fator de Demanda para 16 apartamentos</t>
  </si>
  <si>
    <t>OBS: todos os cálculos foram feitos de acordo com a DIS NOR 030 da Elektro</t>
  </si>
  <si>
    <t>Potência Total (VA)</t>
  </si>
  <si>
    <t>Categoria:</t>
  </si>
  <si>
    <t>F+F+N</t>
  </si>
  <si>
    <t>R+S</t>
  </si>
  <si>
    <t>Média FP</t>
  </si>
  <si>
    <t>A</t>
  </si>
  <si>
    <t>16 AL XLPE</t>
  </si>
  <si>
    <t>IP Média</t>
  </si>
  <si>
    <t>Demanda para 16 apartamentos (W)</t>
  </si>
  <si>
    <t>LUMINARIAS CORREDORES</t>
  </si>
  <si>
    <t>Luminárias Área Comum</t>
  </si>
  <si>
    <t>M2</t>
  </si>
  <si>
    <t>Demanda para 01 apartamento (W)</t>
  </si>
  <si>
    <t>Total</t>
  </si>
  <si>
    <t>Tabela de Cálculo de Iluminação</t>
  </si>
  <si>
    <t>Dependência</t>
  </si>
  <si>
    <t>Dimensões</t>
  </si>
  <si>
    <t>Iluminação</t>
  </si>
  <si>
    <t>Quarto 1</t>
  </si>
  <si>
    <t>Quarto 2</t>
  </si>
  <si>
    <t>Banheiro</t>
  </si>
  <si>
    <t>Hall</t>
  </si>
  <si>
    <t>Sala</t>
  </si>
  <si>
    <t>Cozinha</t>
  </si>
  <si>
    <t>Varanda / A. Serviço</t>
  </si>
  <si>
    <t>Área (M²)</t>
  </si>
  <si>
    <t>Perímetro (M)</t>
  </si>
  <si>
    <t>Potência (VA)</t>
  </si>
  <si>
    <t>Sala de Jantar</t>
  </si>
  <si>
    <r>
      <rPr>
        <b/>
        <sz val="11"/>
        <color theme="1"/>
        <rFont val="Calibri"/>
        <family val="2"/>
        <scheme val="minor"/>
      </rPr>
      <t>Quarto 1:</t>
    </r>
    <r>
      <rPr>
        <sz val="11"/>
        <color theme="1"/>
        <rFont val="Calibri"/>
        <family val="2"/>
        <scheme val="minor"/>
      </rPr>
      <t xml:space="preserve"> 6m² + 1,7m² = 100VA</t>
    </r>
  </si>
  <si>
    <r>
      <rPr>
        <b/>
        <sz val="11"/>
        <color theme="1"/>
        <rFont val="Calibri"/>
        <family val="2"/>
        <scheme val="minor"/>
      </rPr>
      <t xml:space="preserve">Quarto 2: </t>
    </r>
    <r>
      <rPr>
        <sz val="11"/>
        <color theme="1"/>
        <rFont val="Calibri"/>
        <family val="2"/>
        <scheme val="minor"/>
      </rPr>
      <t>6m² + 0,6m² = 100VA</t>
    </r>
  </si>
  <si>
    <r>
      <rPr>
        <b/>
        <sz val="11"/>
        <color theme="1"/>
        <rFont val="Calibri"/>
        <family val="2"/>
        <scheme val="minor"/>
      </rPr>
      <t xml:space="preserve">Banheiro: </t>
    </r>
    <r>
      <rPr>
        <sz val="11"/>
        <color theme="1"/>
        <rFont val="Calibri"/>
        <family val="2"/>
        <scheme val="minor"/>
      </rPr>
      <t>2,7m² = 100VA</t>
    </r>
  </si>
  <si>
    <r>
      <t xml:space="preserve">Hall: </t>
    </r>
    <r>
      <rPr>
        <sz val="11"/>
        <color theme="1"/>
        <rFont val="Calibri"/>
        <family val="2"/>
        <scheme val="minor"/>
      </rPr>
      <t>1,8m² = 100VA</t>
    </r>
  </si>
  <si>
    <r>
      <t xml:space="preserve">Sala: </t>
    </r>
    <r>
      <rPr>
        <sz val="11"/>
        <color theme="1"/>
        <rFont val="Calibri"/>
        <family val="2"/>
        <scheme val="minor"/>
      </rPr>
      <t>4,24m² = 100VA</t>
    </r>
  </si>
  <si>
    <r>
      <t xml:space="preserve">Cozinha: </t>
    </r>
    <r>
      <rPr>
        <sz val="11"/>
        <color theme="1"/>
        <rFont val="Calibri"/>
        <family val="2"/>
        <scheme val="minor"/>
      </rPr>
      <t>4,24m² = 100VA</t>
    </r>
  </si>
  <si>
    <r>
      <t xml:space="preserve">Sala de Jantar: </t>
    </r>
    <r>
      <rPr>
        <sz val="11"/>
        <color theme="1"/>
        <rFont val="Calibri"/>
        <family val="2"/>
        <scheme val="minor"/>
      </rPr>
      <t>6m² + 4m² + 0,6m² = 160VA</t>
    </r>
  </si>
  <si>
    <r>
      <t>Varanda / A. Serv:</t>
    </r>
    <r>
      <rPr>
        <sz val="11"/>
        <color theme="1"/>
        <rFont val="Calibri"/>
        <family val="2"/>
        <scheme val="minor"/>
      </rPr>
      <t xml:space="preserve"> 6m² + 2,92m² = 100VA</t>
    </r>
  </si>
  <si>
    <t>1 PONTO</t>
  </si>
  <si>
    <t>2 PONTOS</t>
  </si>
  <si>
    <t>1 PONTOS</t>
  </si>
  <si>
    <t>100 VA POR PONTO</t>
  </si>
  <si>
    <t>80 VA POR PONTO</t>
  </si>
  <si>
    <t>Nº Pontos</t>
  </si>
  <si>
    <t>Tabela de Cálculo de Tomadas</t>
  </si>
  <si>
    <t>TUG's</t>
  </si>
  <si>
    <r>
      <t xml:space="preserve">Quarto 1: </t>
    </r>
    <r>
      <rPr>
        <sz val="11"/>
        <color theme="1"/>
        <rFont val="Calibri"/>
        <family val="2"/>
        <scheme val="minor"/>
      </rPr>
      <t>11,1/5 = 3</t>
    </r>
  </si>
  <si>
    <r>
      <rPr>
        <b/>
        <sz val="11"/>
        <color theme="1"/>
        <rFont val="Calibri"/>
        <family val="2"/>
        <scheme val="minor"/>
      </rPr>
      <t xml:space="preserve">Quarto 2: </t>
    </r>
    <r>
      <rPr>
        <sz val="11"/>
        <color theme="1"/>
        <rFont val="Calibri"/>
        <family val="2"/>
        <scheme val="minor"/>
      </rPr>
      <t>10,7/5 = 3</t>
    </r>
  </si>
  <si>
    <r>
      <rPr>
        <b/>
        <sz val="11"/>
        <color theme="1"/>
        <rFont val="Calibri"/>
        <family val="2"/>
        <scheme val="minor"/>
      </rPr>
      <t xml:space="preserve">Banheiro: </t>
    </r>
    <r>
      <rPr>
        <sz val="11"/>
        <color theme="1"/>
        <rFont val="Calibri"/>
        <family val="2"/>
        <scheme val="minor"/>
      </rPr>
      <t>6,6/3,5 = 2</t>
    </r>
  </si>
  <si>
    <r>
      <t xml:space="preserve">Hall: </t>
    </r>
    <r>
      <rPr>
        <sz val="11"/>
        <color theme="1"/>
        <rFont val="Calibri"/>
        <family val="2"/>
        <scheme val="minor"/>
      </rPr>
      <t>não terá devido a inviabilidade da planta</t>
    </r>
  </si>
  <si>
    <r>
      <t xml:space="preserve">Sala: </t>
    </r>
    <r>
      <rPr>
        <sz val="11"/>
        <color theme="1"/>
        <rFont val="Calibri"/>
        <family val="2"/>
        <scheme val="minor"/>
      </rPr>
      <t>8,25/5 = 2</t>
    </r>
  </si>
  <si>
    <r>
      <t xml:space="preserve">Cozinha: </t>
    </r>
    <r>
      <rPr>
        <sz val="11"/>
        <color theme="1"/>
        <rFont val="Calibri"/>
        <family val="2"/>
        <scheme val="minor"/>
      </rPr>
      <t>8,25/3,5 = 3</t>
    </r>
  </si>
  <si>
    <r>
      <t xml:space="preserve">Varanda / A. Serv. : </t>
    </r>
    <r>
      <rPr>
        <sz val="11"/>
        <color theme="1"/>
        <rFont val="Calibri"/>
        <family val="2"/>
        <scheme val="minor"/>
      </rPr>
      <t>12,3/3,5 = 4</t>
    </r>
  </si>
  <si>
    <r>
      <t xml:space="preserve">Sala de Jantar: </t>
    </r>
    <r>
      <rPr>
        <sz val="11"/>
        <color theme="1"/>
        <rFont val="Calibri"/>
        <family val="2"/>
        <scheme val="minor"/>
      </rPr>
      <t>13,3/5 = 3</t>
    </r>
  </si>
  <si>
    <t>TUE's</t>
  </si>
  <si>
    <t>APARELHO</t>
  </si>
  <si>
    <t>POT(W)</t>
  </si>
  <si>
    <t>Ar Cond.</t>
  </si>
  <si>
    <t>Circuito</t>
  </si>
  <si>
    <t>Nº</t>
  </si>
  <si>
    <t>Local</t>
  </si>
  <si>
    <t>Qtd.</t>
  </si>
  <si>
    <t>Pot. Total (W)</t>
  </si>
  <si>
    <t>Sub Total (W)</t>
  </si>
  <si>
    <t>Total (W)</t>
  </si>
  <si>
    <t>Descrição</t>
  </si>
  <si>
    <t>Ambiente</t>
  </si>
  <si>
    <t>Iluminância Recomendada (lux)</t>
  </si>
  <si>
    <t>Iluminância Projetada (lux)</t>
  </si>
  <si>
    <t>Observações</t>
  </si>
  <si>
    <t>Dormitório</t>
  </si>
  <si>
    <t>Área de higiene pessoal</t>
  </si>
  <si>
    <t>Circulação</t>
  </si>
  <si>
    <t>Área de estar</t>
  </si>
  <si>
    <t>Área de refeições</t>
  </si>
  <si>
    <t>Preparação de alimentos</t>
  </si>
  <si>
    <t>Lavanderia e serviços gerais</t>
  </si>
  <si>
    <t>Varanda/A. Serv.</t>
  </si>
  <si>
    <t>Tipo</t>
  </si>
  <si>
    <t>Nº de Tomadas</t>
  </si>
  <si>
    <t>Potência por Tomada (VA)</t>
  </si>
  <si>
    <t>TUG</t>
  </si>
  <si>
    <t>1 ponto a cada 3,5 m de perímetro</t>
  </si>
  <si>
    <t>No mínimo 1 ponto</t>
  </si>
  <si>
    <t>Conforme perímetro</t>
  </si>
  <si>
    <t>Mínimo 3 pontos acima da bancada</t>
  </si>
  <si>
    <t>TUE</t>
  </si>
  <si>
    <t>Geladeira, micro-ondas, depurador etc.</t>
  </si>
  <si>
    <t>Lavanderia</t>
  </si>
  <si>
    <t>Máquina de lavar, tanque</t>
  </si>
  <si>
    <t>Chuveiro elétrico</t>
  </si>
  <si>
    <t>Varanda / Área Serviço</t>
  </si>
  <si>
    <t>1 ponto mínimo</t>
  </si>
  <si>
    <t>Tipo de Carga</t>
  </si>
  <si>
    <t>Potência Instalada (VA)</t>
  </si>
  <si>
    <t>Fator de Demanda</t>
  </si>
  <si>
    <t>Demanda Parcial (VA)</t>
  </si>
  <si>
    <t>Conforme NBR 5410 – Tabela 1</t>
  </si>
  <si>
    <t>Tomadas de Uso Geral</t>
  </si>
  <si>
    <t>Conforme NBR 5410 – Tabela 2 (até 6000 VA)</t>
  </si>
  <si>
    <t>Chuveiro (TUE)</t>
  </si>
  <si>
    <t>Potência nominal de uso contínuo</t>
  </si>
  <si>
    <t>Ar-condicionado (TUE)</t>
  </si>
  <si>
    <t>Potência nominal</t>
  </si>
  <si>
    <t>Total Geral</t>
  </si>
  <si>
    <t>—</t>
  </si>
  <si>
    <t>Soma das demandas parciais</t>
  </si>
  <si>
    <t>Seção do Cabo (mm²)</t>
  </si>
  <si>
    <t>Tensão (V)</t>
  </si>
  <si>
    <t>Corrente IB (A)</t>
  </si>
  <si>
    <t>IZ (A)</t>
  </si>
  <si>
    <t>IN (A)</t>
  </si>
  <si>
    <t>ILUMINAÇÃO</t>
  </si>
  <si>
    <t>ELETRODUTO</t>
  </si>
  <si>
    <t>CIRCUITOS AGRUPADOS</t>
  </si>
  <si>
    <t>N° DCONDUTORES</t>
  </si>
  <si>
    <t>DIMENSÃO (POL.)</t>
  </si>
  <si>
    <t xml:space="preserve">DIMENSIONAMENTO DE ELETRODUTOS </t>
  </si>
  <si>
    <t>CIRCUITO</t>
  </si>
  <si>
    <t>1; 6</t>
  </si>
  <si>
    <t>4; 8</t>
  </si>
  <si>
    <t>DIMENSIONAMENTO DE CONDUTORES</t>
  </si>
  <si>
    <t>1/2"</t>
  </si>
  <si>
    <t>3/4"</t>
  </si>
  <si>
    <t>Tomadas Cozinha – Bancada</t>
  </si>
  <si>
    <t>Tomadas Cozinha – Parede</t>
  </si>
  <si>
    <t>Tomadas Quarto 2 e Banheiro</t>
  </si>
  <si>
    <t>Tomadas Quarto 1</t>
  </si>
  <si>
    <t>Tomadas Sala de Jantar</t>
  </si>
  <si>
    <t>Tomadas Sala TV e Varanda</t>
  </si>
  <si>
    <t>Ar-condicionado Quarto 1</t>
  </si>
  <si>
    <t xml:space="preserve"> IB (A)</t>
  </si>
  <si>
    <t>I2</t>
  </si>
  <si>
    <t>Método 1</t>
  </si>
  <si>
    <t>I2 = 1,35 * IN</t>
  </si>
  <si>
    <t>Método 2</t>
  </si>
  <si>
    <t>I2 &lt; 1,45 * IZ</t>
  </si>
  <si>
    <t>≤</t>
  </si>
  <si>
    <t>IB ≤ IN ≤ IZ</t>
  </si>
  <si>
    <t>CORRENTE DO CABO (A)</t>
  </si>
  <si>
    <t>CORRENTE DO CABO CORRIGIDA - IZ (A)</t>
  </si>
  <si>
    <t>FCT (40°)</t>
  </si>
  <si>
    <t>O CABO SUPORTA A CORRENTE DO CIRCUITO?</t>
  </si>
  <si>
    <t>SIM</t>
  </si>
  <si>
    <t>CHUVEIRO</t>
  </si>
  <si>
    <t>TOMADAS COZINHA BANCADA</t>
  </si>
  <si>
    <t>TOMADAS COZINHA PAREDE</t>
  </si>
  <si>
    <t>Pot. (VA)</t>
  </si>
  <si>
    <t>Seção Cabo (mm²)</t>
  </si>
  <si>
    <t>I cabo (A)</t>
  </si>
  <si>
    <t>I cabo Corrig. - IZ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</si>
</sst>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charset val="1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9"/>
      <color indexed="81"/>
      <name val="Segoe U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4">
    <xf numFmtId="0" fontId="0" fillId="0" borderId="0" xfId="0"/>
    <xf numFmtId="0" fontId="4" fillId="0" borderId="6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5" fillId="0" borderId="6" xfId="1" applyNumberFormat="1" applyFont="1" applyBorder="1" applyAlignment="1" applyProtection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5" fillId="0" borderId="6" xfId="2" applyNumberFormat="1" applyFont="1" applyBorder="1" applyAlignment="1" applyProtection="1">
      <alignment horizontal="center" vertical="center"/>
    </xf>
    <xf numFmtId="0" fontId="4" fillId="0" borderId="8" xfId="0" applyFont="1" applyBorder="1" applyAlignment="1">
      <alignment horizontal="center" vertical="center"/>
    </xf>
    <xf numFmtId="43" fontId="4" fillId="0" borderId="6" xfId="1" applyFont="1" applyBorder="1" applyAlignment="1" applyProtection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2" fontId="4" fillId="0" borderId="6" xfId="0" applyNumberFormat="1" applyFont="1" applyBorder="1" applyAlignment="1">
      <alignment vertical="center"/>
    </xf>
    <xf numFmtId="10" fontId="4" fillId="2" borderId="6" xfId="2" applyNumberFormat="1" applyFont="1" applyFill="1" applyBorder="1" applyAlignment="1" applyProtection="1">
      <alignment horizontal="center" vertical="center" wrapText="1"/>
    </xf>
    <xf numFmtId="10" fontId="4" fillId="2" borderId="6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center"/>
    </xf>
    <xf numFmtId="0" fontId="7" fillId="3" borderId="20" xfId="0" applyFont="1" applyFill="1" applyBorder="1" applyAlignment="1">
      <alignment horizontal="center"/>
    </xf>
    <xf numFmtId="2" fontId="3" fillId="0" borderId="12" xfId="0" applyNumberFormat="1" applyFont="1" applyBorder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3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2" fontId="4" fillId="2" borderId="6" xfId="0" applyNumberFormat="1" applyFont="1" applyFill="1" applyBorder="1" applyAlignment="1">
      <alignment horizontal="center" vertical="center"/>
    </xf>
    <xf numFmtId="1" fontId="4" fillId="2" borderId="6" xfId="0" applyNumberFormat="1" applyFont="1" applyFill="1" applyBorder="1" applyAlignment="1">
      <alignment horizontal="center" vertical="center"/>
    </xf>
    <xf numFmtId="2" fontId="4" fillId="2" borderId="6" xfId="0" applyNumberFormat="1" applyFont="1" applyFill="1" applyBorder="1" applyAlignment="1">
      <alignment horizontal="center" vertical="center" wrapText="1"/>
    </xf>
    <xf numFmtId="43" fontId="4" fillId="2" borderId="6" xfId="1" applyFont="1" applyFill="1" applyBorder="1" applyAlignment="1" applyProtection="1">
      <alignment vertical="center"/>
    </xf>
    <xf numFmtId="2" fontId="4" fillId="2" borderId="6" xfId="0" applyNumberFormat="1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2" fontId="3" fillId="2" borderId="6" xfId="0" applyNumberFormat="1" applyFont="1" applyFill="1" applyBorder="1" applyAlignment="1">
      <alignment vertical="center"/>
    </xf>
    <xf numFmtId="2" fontId="3" fillId="2" borderId="6" xfId="0" applyNumberFormat="1" applyFont="1" applyFill="1" applyBorder="1" applyAlignment="1">
      <alignment vertical="center" wrapText="1"/>
    </xf>
    <xf numFmtId="43" fontId="7" fillId="2" borderId="6" xfId="0" applyNumberFormat="1" applyFont="1" applyFill="1" applyBorder="1"/>
    <xf numFmtId="2" fontId="7" fillId="2" borderId="6" xfId="0" applyNumberFormat="1" applyFont="1" applyFill="1" applyBorder="1"/>
    <xf numFmtId="0" fontId="2" fillId="2" borderId="6" xfId="0" applyFont="1" applyFill="1" applyBorder="1" applyAlignment="1">
      <alignment horizontal="center" vertical="center" wrapText="1"/>
    </xf>
    <xf numFmtId="43" fontId="0" fillId="2" borderId="0" xfId="0" applyNumberFormat="1" applyFill="1"/>
    <xf numFmtId="1" fontId="0" fillId="2" borderId="0" xfId="0" applyNumberFormat="1" applyFill="1"/>
    <xf numFmtId="0" fontId="0" fillId="2" borderId="6" xfId="0" applyFill="1" applyBorder="1"/>
    <xf numFmtId="43" fontId="0" fillId="2" borderId="6" xfId="0" applyNumberFormat="1" applyFill="1" applyBorder="1"/>
    <xf numFmtId="0" fontId="0" fillId="2" borderId="6" xfId="0" applyFill="1" applyBorder="1" applyAlignment="1">
      <alignment horizont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2" borderId="23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 wrapText="1"/>
    </xf>
    <xf numFmtId="1" fontId="5" fillId="2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0" borderId="0" xfId="0" applyFont="1"/>
    <xf numFmtId="0" fontId="0" fillId="0" borderId="6" xfId="0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7" fillId="2" borderId="0" xfId="0" applyFont="1" applyFill="1" applyAlignment="1">
      <alignment horizontal="left" vertical="center"/>
    </xf>
    <xf numFmtId="0" fontId="7" fillId="4" borderId="6" xfId="0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1" fontId="7" fillId="2" borderId="6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</cellXfs>
  <cellStyles count="4">
    <cellStyle name="Normal" xfId="0" builtinId="0"/>
    <cellStyle name="Porcentagem" xfId="2" builtinId="5"/>
    <cellStyle name="Vírgula" xfId="1" builtinId="3"/>
    <cellStyle name="Vírgula 2" xfId="3" xr:uid="{5320EDD5-A3A7-4891-AD61-6AB69FC741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48767-70AB-4280-B660-C29D3D4F301D}">
  <dimension ref="A1:AN33"/>
  <sheetViews>
    <sheetView topLeftCell="W1" zoomScaleNormal="100" workbookViewId="0">
      <selection activeCell="AE21" sqref="AE21"/>
    </sheetView>
  </sheetViews>
  <sheetFormatPr defaultRowHeight="14.4" x14ac:dyDescent="0.3"/>
  <cols>
    <col min="1" max="1" width="7.6640625" style="23" bestFit="1" customWidth="1"/>
    <col min="2" max="2" width="41" style="23" bestFit="1" customWidth="1"/>
    <col min="3" max="3" width="10.109375" style="23" bestFit="1" customWidth="1"/>
    <col min="4" max="4" width="14" style="23" bestFit="1" customWidth="1"/>
    <col min="5" max="5" width="11.5546875" style="23" bestFit="1" customWidth="1"/>
    <col min="6" max="6" width="0" style="23" hidden="1" customWidth="1"/>
    <col min="7" max="7" width="17.21875" style="23" customWidth="1"/>
    <col min="8" max="9" width="0" style="23" hidden="1" customWidth="1"/>
    <col min="10" max="10" width="8.88671875" style="23"/>
    <col min="11" max="12" width="0" style="23" hidden="1" customWidth="1"/>
    <col min="13" max="14" width="8.88671875" style="23"/>
    <col min="15" max="17" width="0" style="23" hidden="1" customWidth="1"/>
    <col min="18" max="18" width="8.88671875" style="23"/>
    <col min="19" max="19" width="16.5546875" style="23" bestFit="1" customWidth="1"/>
    <col min="20" max="20" width="15.88671875" style="23" bestFit="1" customWidth="1"/>
    <col min="21" max="29" width="8.88671875" style="23"/>
    <col min="30" max="30" width="9.5546875" style="23" customWidth="1"/>
    <col min="31" max="31" width="18.21875" style="23" bestFit="1" customWidth="1"/>
    <col min="32" max="32" width="18.21875" style="23" customWidth="1"/>
    <col min="33" max="33" width="27.6640625" style="23" bestFit="1" customWidth="1"/>
    <col min="34" max="34" width="20.44140625" style="23" bestFit="1" customWidth="1"/>
    <col min="35" max="35" width="17.5546875" style="23" bestFit="1" customWidth="1"/>
    <col min="36" max="36" width="24.6640625" style="23" bestFit="1" customWidth="1"/>
    <col min="37" max="37" width="14.109375" style="23" hidden="1" customWidth="1"/>
    <col min="38" max="38" width="12.5546875" style="23" hidden="1" customWidth="1"/>
    <col min="39" max="39" width="10.6640625" style="23" hidden="1" customWidth="1"/>
    <col min="40" max="40" width="13.5546875" style="23" hidden="1" customWidth="1"/>
    <col min="41" max="16384" width="8.88671875" style="23"/>
  </cols>
  <sheetData>
    <row r="1" spans="1:40" x14ac:dyDescent="0.3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9"/>
      <c r="AL1" s="49"/>
      <c r="AM1" s="50"/>
    </row>
    <row r="2" spans="1:40" ht="14.4" customHeight="1" x14ac:dyDescent="0.3">
      <c r="A2" s="85" t="s">
        <v>1</v>
      </c>
      <c r="B2" s="85" t="s">
        <v>2</v>
      </c>
      <c r="C2" s="85" t="s">
        <v>3</v>
      </c>
      <c r="D2" s="83" t="s">
        <v>4</v>
      </c>
      <c r="E2" s="83" t="s">
        <v>5</v>
      </c>
      <c r="F2" s="90" t="s">
        <v>6</v>
      </c>
      <c r="G2" s="91"/>
      <c r="H2" s="91"/>
      <c r="I2" s="91"/>
      <c r="J2" s="90" t="s">
        <v>7</v>
      </c>
      <c r="K2" s="91"/>
      <c r="L2" s="91"/>
      <c r="M2" s="92"/>
      <c r="N2" s="90" t="s">
        <v>8</v>
      </c>
      <c r="O2" s="91"/>
      <c r="P2" s="91"/>
      <c r="Q2" s="91"/>
      <c r="R2" s="92"/>
      <c r="S2" s="83" t="s">
        <v>9</v>
      </c>
      <c r="T2" s="83" t="s">
        <v>10</v>
      </c>
      <c r="U2" s="85" t="s">
        <v>11</v>
      </c>
      <c r="V2" s="93" t="s">
        <v>12</v>
      </c>
      <c r="W2" s="93" t="s">
        <v>13</v>
      </c>
      <c r="X2" s="93" t="s">
        <v>14</v>
      </c>
      <c r="Y2" s="95" t="s">
        <v>15</v>
      </c>
      <c r="Z2" s="83" t="s">
        <v>16</v>
      </c>
      <c r="AA2" s="83" t="s">
        <v>17</v>
      </c>
      <c r="AB2" s="85" t="s">
        <v>18</v>
      </c>
      <c r="AC2" s="85" t="s">
        <v>63</v>
      </c>
      <c r="AD2" s="85" t="s">
        <v>64</v>
      </c>
      <c r="AE2" s="83" t="s">
        <v>73</v>
      </c>
      <c r="AF2" s="83" t="s">
        <v>72</v>
      </c>
      <c r="AG2" s="83" t="s">
        <v>74</v>
      </c>
      <c r="AH2" s="83" t="s">
        <v>71</v>
      </c>
      <c r="AI2" s="83" t="s">
        <v>65</v>
      </c>
      <c r="AJ2" s="83" t="s">
        <v>62</v>
      </c>
      <c r="AK2" s="83" t="s">
        <v>27</v>
      </c>
      <c r="AL2" s="83" t="s">
        <v>28</v>
      </c>
      <c r="AM2" s="83" t="s">
        <v>29</v>
      </c>
      <c r="AN2" s="97" t="s">
        <v>38</v>
      </c>
    </row>
    <row r="3" spans="1:40" x14ac:dyDescent="0.3">
      <c r="A3" s="86"/>
      <c r="B3" s="86"/>
      <c r="C3" s="86"/>
      <c r="D3" s="84"/>
      <c r="E3" s="84"/>
      <c r="F3" s="29">
        <v>6</v>
      </c>
      <c r="G3" s="29">
        <v>14</v>
      </c>
      <c r="H3" s="29">
        <v>18</v>
      </c>
      <c r="I3" s="29">
        <v>24</v>
      </c>
      <c r="J3" s="29">
        <v>100</v>
      </c>
      <c r="K3" s="29">
        <v>200</v>
      </c>
      <c r="L3" s="29">
        <v>300</v>
      </c>
      <c r="M3" s="29">
        <v>600</v>
      </c>
      <c r="N3" s="29">
        <v>1000</v>
      </c>
      <c r="O3" s="29">
        <v>1800</v>
      </c>
      <c r="P3" s="29">
        <v>2000</v>
      </c>
      <c r="Q3" s="29">
        <v>7000</v>
      </c>
      <c r="R3" s="29">
        <v>6800</v>
      </c>
      <c r="S3" s="84"/>
      <c r="T3" s="84"/>
      <c r="U3" s="86"/>
      <c r="V3" s="94"/>
      <c r="W3" s="94"/>
      <c r="X3" s="94"/>
      <c r="Y3" s="96"/>
      <c r="Z3" s="84"/>
      <c r="AA3" s="84"/>
      <c r="AB3" s="86"/>
      <c r="AC3" s="86"/>
      <c r="AD3" s="86"/>
      <c r="AE3" s="84"/>
      <c r="AF3" s="84"/>
      <c r="AG3" s="84"/>
      <c r="AH3" s="84"/>
      <c r="AI3" s="84"/>
      <c r="AJ3" s="84"/>
      <c r="AK3" s="84"/>
      <c r="AL3" s="84"/>
      <c r="AM3" s="84"/>
      <c r="AN3" s="98"/>
    </row>
    <row r="4" spans="1:40" x14ac:dyDescent="0.3">
      <c r="A4" s="30">
        <v>1</v>
      </c>
      <c r="B4" s="31" t="s">
        <v>66</v>
      </c>
      <c r="C4" s="30" t="s">
        <v>34</v>
      </c>
      <c r="D4" s="30" t="s">
        <v>37</v>
      </c>
      <c r="E4" s="30">
        <v>127</v>
      </c>
      <c r="F4" s="30"/>
      <c r="G4" s="30">
        <v>10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2">
        <f>T4/AB4</f>
        <v>140</v>
      </c>
      <c r="T4" s="33">
        <f>(R4*R$3)+(Q4*Q$3)+(P4*P$3)+(O4*O$3)+(N4*N$3)+(M4*M$3)+(L4*L$3)+(K4*K$3)+(J4*J$3)+(I4*I$3)+(H4*H$3)+(F4*F$3)+(G4*G$3)</f>
        <v>140</v>
      </c>
      <c r="U4" s="30">
        <v>1</v>
      </c>
      <c r="V4" s="27">
        <v>140</v>
      </c>
      <c r="W4" s="27"/>
      <c r="X4" s="27"/>
      <c r="Y4" s="34">
        <f>V4/(127*AB4)</f>
        <v>1.1023622047244095</v>
      </c>
      <c r="Z4" s="34">
        <f>(W4/(127*AB4))</f>
        <v>0</v>
      </c>
      <c r="AA4" s="34">
        <f>(X4/(127*AB4))</f>
        <v>0</v>
      </c>
      <c r="AB4" s="35">
        <v>1</v>
      </c>
      <c r="AC4" s="35">
        <v>0.87</v>
      </c>
      <c r="AD4" s="35">
        <v>0.8</v>
      </c>
      <c r="AE4" s="32">
        <f>AI4/(AC4*AD4)</f>
        <v>1.5838537424201284</v>
      </c>
      <c r="AF4" s="32">
        <v>10</v>
      </c>
      <c r="AG4" s="32">
        <f t="shared" ref="AG4:AG13" si="0">AH4*AC4*AD4</f>
        <v>12.18</v>
      </c>
      <c r="AH4" s="32">
        <v>17.5</v>
      </c>
      <c r="AI4" s="32">
        <f>T4/(E4*AB4)</f>
        <v>1.1023622047244095</v>
      </c>
      <c r="AJ4" s="30">
        <v>1.5</v>
      </c>
      <c r="AK4" s="30">
        <v>25</v>
      </c>
      <c r="AL4" s="21"/>
      <c r="AM4" s="22"/>
      <c r="AN4" s="27"/>
    </row>
    <row r="5" spans="1:40" x14ac:dyDescent="0.3">
      <c r="A5" s="30">
        <v>2</v>
      </c>
      <c r="B5" s="31" t="s">
        <v>31</v>
      </c>
      <c r="C5" s="30" t="s">
        <v>36</v>
      </c>
      <c r="D5" s="30" t="s">
        <v>37</v>
      </c>
      <c r="E5" s="30">
        <v>220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>
        <v>1</v>
      </c>
      <c r="S5" s="32">
        <f>T5/AB5</f>
        <v>6800</v>
      </c>
      <c r="T5" s="33">
        <f t="shared" ref="T5:T12" si="1">(R5*R$3)+(Q5*Q$3)+(P5*P$3)+(O5*O$3)+(N5*N$3)+(M5*M$3)+(L5*L$3)+(K5*K$3)+(J5*J$3)+(I5*I$3)+(H5*H$3)+(F5*F$3)+(G5*G$3)</f>
        <v>6800</v>
      </c>
      <c r="U5" s="30">
        <v>2</v>
      </c>
      <c r="V5" s="27">
        <v>3400</v>
      </c>
      <c r="W5" s="27">
        <v>3400</v>
      </c>
      <c r="X5" s="27"/>
      <c r="Y5" s="34">
        <f t="shared" ref="Y5:Y13" si="2">V5/(127*AB5)</f>
        <v>26.771653543307085</v>
      </c>
      <c r="Z5" s="34">
        <f t="shared" ref="Z5:Z13" si="3">(W5/(127*AB5))</f>
        <v>26.771653543307085</v>
      </c>
      <c r="AA5" s="34">
        <f>(X5/(127*AB5))</f>
        <v>0</v>
      </c>
      <c r="AB5" s="35">
        <v>1</v>
      </c>
      <c r="AC5" s="35">
        <v>0.87</v>
      </c>
      <c r="AD5" s="35">
        <v>1</v>
      </c>
      <c r="AE5" s="32">
        <f t="shared" ref="AE5:AE12" si="4">AI5/(AC5*AD5)</f>
        <v>35.527690700104493</v>
      </c>
      <c r="AF5" s="32">
        <v>40</v>
      </c>
      <c r="AG5" s="32">
        <f t="shared" si="0"/>
        <v>49.589999999999996</v>
      </c>
      <c r="AH5" s="32">
        <v>57</v>
      </c>
      <c r="AI5" s="32">
        <f t="shared" ref="AI5:AI13" si="5">T5/(E5*AB5)</f>
        <v>30.90909090909091</v>
      </c>
      <c r="AJ5" s="30">
        <v>10</v>
      </c>
      <c r="AK5" s="30">
        <v>63</v>
      </c>
      <c r="AL5" s="21"/>
      <c r="AM5" s="22"/>
      <c r="AN5" s="27"/>
    </row>
    <row r="6" spans="1:40" x14ac:dyDescent="0.3">
      <c r="A6" s="30">
        <v>3</v>
      </c>
      <c r="B6" s="30" t="s">
        <v>61</v>
      </c>
      <c r="C6" s="30" t="s">
        <v>35</v>
      </c>
      <c r="D6" s="30" t="s">
        <v>37</v>
      </c>
      <c r="E6" s="30">
        <v>127</v>
      </c>
      <c r="F6" s="30"/>
      <c r="G6" s="30"/>
      <c r="H6" s="30"/>
      <c r="I6" s="30"/>
      <c r="J6" s="30"/>
      <c r="K6" s="30"/>
      <c r="L6" s="30"/>
      <c r="M6" s="30">
        <v>2</v>
      </c>
      <c r="N6" s="30"/>
      <c r="O6" s="30"/>
      <c r="P6" s="30"/>
      <c r="Q6" s="30"/>
      <c r="R6" s="30"/>
      <c r="S6" s="33">
        <f t="shared" ref="S6:S12" si="6">T6/AB6</f>
        <v>1200</v>
      </c>
      <c r="T6" s="33">
        <f t="shared" si="1"/>
        <v>1200</v>
      </c>
      <c r="U6" s="30">
        <v>1</v>
      </c>
      <c r="V6" s="27"/>
      <c r="W6" s="27">
        <v>1200</v>
      </c>
      <c r="X6" s="27"/>
      <c r="Y6" s="34">
        <f t="shared" si="2"/>
        <v>0</v>
      </c>
      <c r="Z6" s="34">
        <f>(W6/(127*AB6))</f>
        <v>9.4488188976377945</v>
      </c>
      <c r="AA6" s="34">
        <f t="shared" ref="AA6:AA13" si="7">(X6/(127*AB6))</f>
        <v>0</v>
      </c>
      <c r="AB6" s="35">
        <v>1</v>
      </c>
      <c r="AC6" s="35">
        <v>0.87</v>
      </c>
      <c r="AD6" s="35">
        <v>1</v>
      </c>
      <c r="AE6" s="32">
        <f t="shared" si="4"/>
        <v>10.860711376595166</v>
      </c>
      <c r="AF6" s="32">
        <v>16</v>
      </c>
      <c r="AG6" s="32">
        <f t="shared" si="0"/>
        <v>20.88</v>
      </c>
      <c r="AH6" s="32">
        <v>24</v>
      </c>
      <c r="AI6" s="32">
        <f t="shared" si="5"/>
        <v>9.4488188976377945</v>
      </c>
      <c r="AJ6" s="30">
        <v>2.5</v>
      </c>
      <c r="AK6" s="30">
        <v>25</v>
      </c>
      <c r="AL6" s="21"/>
      <c r="AM6" s="22"/>
      <c r="AN6" s="27"/>
    </row>
    <row r="7" spans="1:40" x14ac:dyDescent="0.3">
      <c r="A7" s="30">
        <v>4</v>
      </c>
      <c r="B7" s="31" t="s">
        <v>60</v>
      </c>
      <c r="C7" s="30" t="s">
        <v>35</v>
      </c>
      <c r="D7" s="30" t="s">
        <v>37</v>
      </c>
      <c r="E7" s="30">
        <v>127</v>
      </c>
      <c r="F7" s="30"/>
      <c r="G7" s="30"/>
      <c r="H7" s="30"/>
      <c r="I7" s="30"/>
      <c r="J7" s="30">
        <v>1</v>
      </c>
      <c r="K7" s="30"/>
      <c r="L7" s="30"/>
      <c r="M7" s="30">
        <v>1</v>
      </c>
      <c r="N7" s="30"/>
      <c r="O7" s="30"/>
      <c r="P7" s="30"/>
      <c r="Q7" s="30"/>
      <c r="R7" s="30"/>
      <c r="S7" s="33">
        <f t="shared" si="6"/>
        <v>700</v>
      </c>
      <c r="T7" s="33">
        <f t="shared" si="1"/>
        <v>700</v>
      </c>
      <c r="U7" s="30">
        <v>1</v>
      </c>
      <c r="V7" s="27">
        <v>700</v>
      </c>
      <c r="W7" s="27"/>
      <c r="X7" s="27"/>
      <c r="Y7" s="34">
        <f>V7/(127*AB7)</f>
        <v>5.5118110236220472</v>
      </c>
      <c r="Z7" s="34">
        <f>(W7/(127*AB7))</f>
        <v>0</v>
      </c>
      <c r="AA7" s="34">
        <f t="shared" si="7"/>
        <v>0</v>
      </c>
      <c r="AB7" s="35">
        <v>1</v>
      </c>
      <c r="AC7" s="35">
        <v>0.87</v>
      </c>
      <c r="AD7" s="35">
        <v>0.8</v>
      </c>
      <c r="AE7" s="32">
        <f t="shared" si="4"/>
        <v>7.9192687121006422</v>
      </c>
      <c r="AF7" s="32">
        <v>16</v>
      </c>
      <c r="AG7" s="32">
        <f t="shared" si="0"/>
        <v>16.704000000000001</v>
      </c>
      <c r="AH7" s="32">
        <v>24</v>
      </c>
      <c r="AI7" s="32">
        <f t="shared" si="5"/>
        <v>5.5118110236220472</v>
      </c>
      <c r="AJ7" s="30">
        <v>2.5</v>
      </c>
      <c r="AK7" s="30">
        <v>25</v>
      </c>
      <c r="AL7" s="21"/>
      <c r="AM7" s="22"/>
      <c r="AN7" s="27"/>
    </row>
    <row r="8" spans="1:40" x14ac:dyDescent="0.3">
      <c r="A8" s="30">
        <v>5</v>
      </c>
      <c r="B8" s="31" t="s">
        <v>68</v>
      </c>
      <c r="C8" s="30" t="s">
        <v>35</v>
      </c>
      <c r="D8" s="30" t="s">
        <v>37</v>
      </c>
      <c r="E8" s="30">
        <v>127</v>
      </c>
      <c r="F8" s="30"/>
      <c r="G8" s="30"/>
      <c r="H8" s="30"/>
      <c r="I8" s="30"/>
      <c r="J8" s="30">
        <v>5</v>
      </c>
      <c r="K8" s="30"/>
      <c r="L8" s="30"/>
      <c r="M8" s="30">
        <v>1</v>
      </c>
      <c r="N8" s="30"/>
      <c r="O8" s="30"/>
      <c r="P8" s="30"/>
      <c r="Q8" s="30"/>
      <c r="R8" s="30"/>
      <c r="S8" s="33">
        <f t="shared" si="6"/>
        <v>1100</v>
      </c>
      <c r="T8" s="33">
        <f t="shared" si="1"/>
        <v>1100</v>
      </c>
      <c r="U8" s="30">
        <v>1</v>
      </c>
      <c r="V8" s="27">
        <v>1100</v>
      </c>
      <c r="W8" s="27"/>
      <c r="X8" s="27"/>
      <c r="Y8" s="34">
        <f t="shared" si="2"/>
        <v>8.6614173228346463</v>
      </c>
      <c r="Z8" s="34">
        <f t="shared" si="3"/>
        <v>0</v>
      </c>
      <c r="AA8" s="34">
        <f t="shared" si="7"/>
        <v>0</v>
      </c>
      <c r="AB8" s="35">
        <v>1</v>
      </c>
      <c r="AC8" s="35">
        <v>0.87</v>
      </c>
      <c r="AD8" s="35">
        <v>1</v>
      </c>
      <c r="AE8" s="32">
        <f t="shared" si="4"/>
        <v>9.9556520952122369</v>
      </c>
      <c r="AF8" s="32">
        <v>16</v>
      </c>
      <c r="AG8" s="32">
        <f t="shared" si="0"/>
        <v>20.88</v>
      </c>
      <c r="AH8" s="32">
        <v>24</v>
      </c>
      <c r="AI8" s="32">
        <f t="shared" si="5"/>
        <v>8.6614173228346463</v>
      </c>
      <c r="AJ8" s="30">
        <v>2.5</v>
      </c>
      <c r="AK8" s="30">
        <v>25</v>
      </c>
      <c r="AL8" s="21"/>
      <c r="AM8" s="22"/>
      <c r="AN8" s="27"/>
    </row>
    <row r="9" spans="1:40" x14ac:dyDescent="0.3">
      <c r="A9" s="30">
        <v>6</v>
      </c>
      <c r="B9" s="30" t="s">
        <v>67</v>
      </c>
      <c r="C9" s="30" t="s">
        <v>35</v>
      </c>
      <c r="D9" s="30" t="s">
        <v>37</v>
      </c>
      <c r="E9" s="30">
        <v>127</v>
      </c>
      <c r="F9" s="30"/>
      <c r="G9" s="30"/>
      <c r="H9" s="30"/>
      <c r="I9" s="30"/>
      <c r="J9" s="30">
        <v>3</v>
      </c>
      <c r="K9" s="30"/>
      <c r="L9" s="30"/>
      <c r="M9" s="30"/>
      <c r="N9" s="30"/>
      <c r="O9" s="30"/>
      <c r="P9" s="30"/>
      <c r="Q9" s="30"/>
      <c r="R9" s="30"/>
      <c r="S9" s="33">
        <f t="shared" si="6"/>
        <v>300</v>
      </c>
      <c r="T9" s="33">
        <f t="shared" si="1"/>
        <v>300</v>
      </c>
      <c r="U9" s="30">
        <v>1</v>
      </c>
      <c r="V9" s="27">
        <v>300</v>
      </c>
      <c r="W9" s="27"/>
      <c r="X9" s="27"/>
      <c r="Y9" s="34">
        <f t="shared" si="2"/>
        <v>2.3622047244094486</v>
      </c>
      <c r="Z9" s="34">
        <f t="shared" si="3"/>
        <v>0</v>
      </c>
      <c r="AA9" s="34">
        <f t="shared" si="7"/>
        <v>0</v>
      </c>
      <c r="AB9" s="35">
        <v>1</v>
      </c>
      <c r="AC9" s="35">
        <v>0.87</v>
      </c>
      <c r="AD9" s="35">
        <v>0.8</v>
      </c>
      <c r="AE9" s="32">
        <f t="shared" si="4"/>
        <v>3.3939723051859891</v>
      </c>
      <c r="AF9" s="32">
        <v>10</v>
      </c>
      <c r="AG9" s="32">
        <f t="shared" si="0"/>
        <v>16.704000000000001</v>
      </c>
      <c r="AH9" s="32">
        <v>24</v>
      </c>
      <c r="AI9" s="32">
        <f t="shared" si="5"/>
        <v>2.3622047244094486</v>
      </c>
      <c r="AJ9" s="30">
        <v>2.5</v>
      </c>
      <c r="AK9" s="30">
        <v>25</v>
      </c>
      <c r="AL9" s="21"/>
      <c r="AM9" s="22"/>
      <c r="AN9" s="27"/>
    </row>
    <row r="10" spans="1:40" x14ac:dyDescent="0.3">
      <c r="A10" s="30">
        <v>7</v>
      </c>
      <c r="B10" s="30" t="s">
        <v>69</v>
      </c>
      <c r="C10" s="30" t="s">
        <v>35</v>
      </c>
      <c r="D10" s="30" t="s">
        <v>37</v>
      </c>
      <c r="E10" s="30">
        <v>127</v>
      </c>
      <c r="F10" s="30"/>
      <c r="G10" s="30"/>
      <c r="H10" s="30"/>
      <c r="I10" s="30"/>
      <c r="J10" s="30">
        <v>3</v>
      </c>
      <c r="K10" s="30"/>
      <c r="L10" s="30"/>
      <c r="M10" s="30"/>
      <c r="N10" s="30"/>
      <c r="O10" s="30"/>
      <c r="P10" s="30"/>
      <c r="Q10" s="30"/>
      <c r="R10" s="30"/>
      <c r="S10" s="33">
        <f t="shared" si="6"/>
        <v>300</v>
      </c>
      <c r="T10" s="33">
        <f t="shared" si="1"/>
        <v>300</v>
      </c>
      <c r="U10" s="30">
        <v>1</v>
      </c>
      <c r="V10" s="27">
        <v>300</v>
      </c>
      <c r="W10" s="27"/>
      <c r="X10" s="27"/>
      <c r="Y10" s="34">
        <f t="shared" si="2"/>
        <v>2.3622047244094486</v>
      </c>
      <c r="Z10" s="34">
        <f t="shared" si="3"/>
        <v>0</v>
      </c>
      <c r="AA10" s="34">
        <f t="shared" si="7"/>
        <v>0</v>
      </c>
      <c r="AB10" s="35">
        <v>1</v>
      </c>
      <c r="AC10" s="35">
        <v>0.87</v>
      </c>
      <c r="AD10" s="35">
        <v>0.8</v>
      </c>
      <c r="AE10" s="32">
        <f t="shared" si="4"/>
        <v>3.3939723051859891</v>
      </c>
      <c r="AF10" s="32">
        <v>10</v>
      </c>
      <c r="AG10" s="32">
        <f t="shared" si="0"/>
        <v>16.704000000000001</v>
      </c>
      <c r="AH10" s="32">
        <v>24</v>
      </c>
      <c r="AI10" s="32">
        <f t="shared" si="5"/>
        <v>2.3622047244094486</v>
      </c>
      <c r="AJ10" s="30">
        <v>2.5</v>
      </c>
      <c r="AK10" s="30">
        <v>25</v>
      </c>
      <c r="AL10" s="21"/>
      <c r="AM10" s="22"/>
      <c r="AN10" s="27"/>
    </row>
    <row r="11" spans="1:40" ht="13.8" customHeight="1" x14ac:dyDescent="0.3">
      <c r="A11" s="30">
        <v>8</v>
      </c>
      <c r="B11" s="30" t="s">
        <v>70</v>
      </c>
      <c r="C11" s="30" t="s">
        <v>35</v>
      </c>
      <c r="D11" s="30" t="s">
        <v>37</v>
      </c>
      <c r="E11" s="30">
        <v>127</v>
      </c>
      <c r="F11" s="30"/>
      <c r="G11" s="30"/>
      <c r="H11" s="30"/>
      <c r="I11" s="30"/>
      <c r="J11" s="30">
        <v>6</v>
      </c>
      <c r="K11" s="30"/>
      <c r="L11" s="30"/>
      <c r="M11" s="30">
        <v>1</v>
      </c>
      <c r="N11" s="30"/>
      <c r="O11" s="30"/>
      <c r="P11" s="30"/>
      <c r="Q11" s="30"/>
      <c r="R11" s="30"/>
      <c r="S11" s="33">
        <f t="shared" si="6"/>
        <v>1200</v>
      </c>
      <c r="T11" s="33">
        <f t="shared" si="1"/>
        <v>1200</v>
      </c>
      <c r="U11" s="30">
        <v>1</v>
      </c>
      <c r="V11" s="27"/>
      <c r="W11" s="27">
        <v>1200</v>
      </c>
      <c r="X11" s="27"/>
      <c r="Y11" s="34">
        <f t="shared" si="2"/>
        <v>0</v>
      </c>
      <c r="Z11" s="34">
        <f t="shared" si="3"/>
        <v>9.4488188976377945</v>
      </c>
      <c r="AA11" s="34">
        <f t="shared" si="7"/>
        <v>0</v>
      </c>
      <c r="AB11" s="35">
        <v>1</v>
      </c>
      <c r="AC11" s="35">
        <v>0.87</v>
      </c>
      <c r="AD11" s="35">
        <v>1</v>
      </c>
      <c r="AE11" s="32">
        <f t="shared" si="4"/>
        <v>10.860711376595166</v>
      </c>
      <c r="AF11" s="32">
        <v>16</v>
      </c>
      <c r="AG11" s="32">
        <f t="shared" si="0"/>
        <v>20.88</v>
      </c>
      <c r="AH11" s="32">
        <v>24</v>
      </c>
      <c r="AI11" s="32">
        <f t="shared" si="5"/>
        <v>9.4488188976377945</v>
      </c>
      <c r="AJ11" s="30">
        <v>2.5</v>
      </c>
      <c r="AK11" s="30">
        <v>25</v>
      </c>
      <c r="AL11" s="21"/>
      <c r="AM11" s="22"/>
      <c r="AN11" s="27"/>
    </row>
    <row r="12" spans="1:40" x14ac:dyDescent="0.3">
      <c r="A12" s="30">
        <v>9</v>
      </c>
      <c r="B12" s="30" t="s">
        <v>33</v>
      </c>
      <c r="C12" s="30" t="s">
        <v>36</v>
      </c>
      <c r="D12" s="30" t="s">
        <v>37</v>
      </c>
      <c r="E12" s="30">
        <v>220</v>
      </c>
      <c r="F12" s="30"/>
      <c r="G12" s="30"/>
      <c r="H12" s="30"/>
      <c r="I12" s="30"/>
      <c r="J12" s="30"/>
      <c r="K12" s="30"/>
      <c r="L12" s="30"/>
      <c r="M12" s="30"/>
      <c r="N12" s="30">
        <v>1</v>
      </c>
      <c r="O12" s="30"/>
      <c r="P12" s="30"/>
      <c r="Q12" s="30"/>
      <c r="R12" s="30"/>
      <c r="S12" s="33">
        <f t="shared" si="6"/>
        <v>1000</v>
      </c>
      <c r="T12" s="33">
        <f t="shared" si="1"/>
        <v>1000</v>
      </c>
      <c r="U12" s="30">
        <v>2</v>
      </c>
      <c r="V12" s="27"/>
      <c r="W12" s="27">
        <v>1000</v>
      </c>
      <c r="X12" s="27"/>
      <c r="Y12" s="34">
        <f t="shared" si="2"/>
        <v>0</v>
      </c>
      <c r="Z12" s="34">
        <f t="shared" si="3"/>
        <v>7.8740157480314963</v>
      </c>
      <c r="AA12" s="34">
        <f t="shared" si="7"/>
        <v>0</v>
      </c>
      <c r="AB12" s="35">
        <v>1</v>
      </c>
      <c r="AC12" s="35">
        <v>0.87</v>
      </c>
      <c r="AD12" s="35">
        <v>1</v>
      </c>
      <c r="AE12" s="32">
        <f t="shared" si="4"/>
        <v>5.2246603970741905</v>
      </c>
      <c r="AF12" s="32">
        <v>16</v>
      </c>
      <c r="AG12" s="32">
        <f t="shared" si="0"/>
        <v>20.88</v>
      </c>
      <c r="AH12" s="32">
        <v>24</v>
      </c>
      <c r="AI12" s="32">
        <f t="shared" si="5"/>
        <v>4.5454545454545459</v>
      </c>
      <c r="AJ12" s="30">
        <v>2.5</v>
      </c>
      <c r="AK12" s="30">
        <v>25</v>
      </c>
      <c r="AL12" s="21"/>
      <c r="AM12" s="22"/>
      <c r="AN12" s="27"/>
    </row>
    <row r="13" spans="1:40" ht="13.2" customHeight="1" x14ac:dyDescent="0.3">
      <c r="A13" s="30">
        <v>10</v>
      </c>
      <c r="B13" s="30" t="s">
        <v>32</v>
      </c>
      <c r="C13" s="30" t="s">
        <v>36</v>
      </c>
      <c r="D13" s="30" t="s">
        <v>37</v>
      </c>
      <c r="E13" s="30">
        <v>220</v>
      </c>
      <c r="F13" s="30"/>
      <c r="G13" s="30"/>
      <c r="H13" s="30"/>
      <c r="I13" s="30"/>
      <c r="J13" s="30"/>
      <c r="K13" s="30"/>
      <c r="L13" s="30"/>
      <c r="M13" s="30"/>
      <c r="N13" s="30">
        <v>0</v>
      </c>
      <c r="O13" s="30"/>
      <c r="P13" s="30"/>
      <c r="Q13" s="30"/>
      <c r="R13" s="30"/>
      <c r="S13" s="33">
        <f>T13/AB13</f>
        <v>0</v>
      </c>
      <c r="T13" s="33">
        <f>(R13*R$3)+(Q13*Q$3)+(P13*P$3)+(O13*O$3)+(N13*N$3)+(M13*M$3)+(L13*L$3)+(K13*K$3)+(J13*J$3)+(I13*I$3)+(H13*H$3)+(F13*F$3)+(G13*G$3)</f>
        <v>0</v>
      </c>
      <c r="U13" s="30">
        <v>2</v>
      </c>
      <c r="V13" s="27"/>
      <c r="W13" s="27">
        <v>0</v>
      </c>
      <c r="X13" s="27"/>
      <c r="Y13" s="34">
        <f t="shared" si="2"/>
        <v>0</v>
      </c>
      <c r="Z13" s="34">
        <f t="shared" si="3"/>
        <v>0</v>
      </c>
      <c r="AA13" s="34">
        <f t="shared" si="7"/>
        <v>0</v>
      </c>
      <c r="AB13" s="35">
        <v>1</v>
      </c>
      <c r="AC13" s="35">
        <v>0.87</v>
      </c>
      <c r="AD13" s="35">
        <v>1</v>
      </c>
      <c r="AE13" s="32">
        <f>AI13/(AC13*AD13)</f>
        <v>0</v>
      </c>
      <c r="AF13" s="32">
        <v>16</v>
      </c>
      <c r="AG13" s="32">
        <f t="shared" si="0"/>
        <v>20.88</v>
      </c>
      <c r="AH13" s="32">
        <v>24</v>
      </c>
      <c r="AI13" s="32">
        <f t="shared" si="5"/>
        <v>0</v>
      </c>
      <c r="AJ13" s="30">
        <v>2.5</v>
      </c>
      <c r="AK13" s="30">
        <v>25</v>
      </c>
      <c r="AL13" s="21"/>
      <c r="AM13" s="22"/>
      <c r="AN13" s="27"/>
    </row>
    <row r="14" spans="1:40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3"/>
      <c r="T14" s="33"/>
      <c r="U14" s="30"/>
      <c r="V14" s="27"/>
      <c r="W14" s="27"/>
      <c r="X14" s="27"/>
      <c r="Y14" s="34"/>
      <c r="Z14" s="34"/>
      <c r="AA14" s="34"/>
      <c r="AB14" s="36"/>
      <c r="AC14" s="35"/>
      <c r="AD14" s="35"/>
      <c r="AE14" s="32"/>
      <c r="AF14" s="32"/>
      <c r="AG14" s="32"/>
      <c r="AH14" s="32"/>
      <c r="AI14" s="32"/>
      <c r="AJ14" s="30"/>
      <c r="AK14" s="30">
        <v>25</v>
      </c>
      <c r="AL14" s="21"/>
      <c r="AM14" s="22"/>
      <c r="AN14" s="27"/>
    </row>
    <row r="15" spans="1:40" x14ac:dyDescent="0.3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3"/>
      <c r="T15" s="33"/>
      <c r="U15" s="30"/>
      <c r="V15" s="27"/>
      <c r="W15" s="27"/>
      <c r="X15" s="27"/>
      <c r="Y15" s="34"/>
      <c r="Z15" s="34"/>
      <c r="AA15" s="34"/>
      <c r="AB15" s="36"/>
      <c r="AC15" s="35"/>
      <c r="AD15" s="35"/>
      <c r="AE15" s="32"/>
      <c r="AF15" s="32"/>
      <c r="AG15" s="32"/>
      <c r="AH15" s="32"/>
      <c r="AI15" s="32"/>
      <c r="AJ15" s="30"/>
      <c r="AK15" s="30"/>
      <c r="AL15" s="21"/>
      <c r="AM15" s="22"/>
      <c r="AN15" s="27"/>
    </row>
    <row r="16" spans="1:40" x14ac:dyDescent="0.3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3"/>
      <c r="T16" s="33"/>
      <c r="U16" s="30"/>
      <c r="V16" s="27"/>
      <c r="W16" s="27"/>
      <c r="X16" s="27"/>
      <c r="Y16" s="34"/>
      <c r="Z16" s="34"/>
      <c r="AA16" s="34"/>
      <c r="AB16" s="36"/>
      <c r="AC16" s="35"/>
      <c r="AD16" s="35"/>
      <c r="AE16" s="32"/>
      <c r="AF16" s="32"/>
      <c r="AG16" s="32"/>
      <c r="AH16" s="32"/>
      <c r="AI16" s="32"/>
      <c r="AJ16" s="30"/>
      <c r="AK16" s="30"/>
      <c r="AL16" s="21"/>
      <c r="AM16" s="22"/>
      <c r="AN16" s="27"/>
    </row>
    <row r="17" spans="1:40" x14ac:dyDescent="0.3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3"/>
      <c r="T17" s="33"/>
      <c r="U17" s="30"/>
      <c r="V17" s="27"/>
      <c r="W17" s="27"/>
      <c r="X17" s="27"/>
      <c r="Y17" s="34"/>
      <c r="Z17" s="34"/>
      <c r="AA17" s="34"/>
      <c r="AB17" s="36"/>
      <c r="AC17" s="35"/>
      <c r="AD17" s="35"/>
      <c r="AE17" s="32"/>
      <c r="AF17" s="32"/>
      <c r="AG17" s="32"/>
      <c r="AH17" s="32"/>
      <c r="AI17" s="32"/>
      <c r="AJ17" s="30"/>
      <c r="AK17" s="30"/>
      <c r="AL17" s="21"/>
      <c r="AM17" s="22"/>
      <c r="AN17" s="27"/>
    </row>
    <row r="18" spans="1:40" x14ac:dyDescent="0.3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3"/>
      <c r="T18" s="33"/>
      <c r="U18" s="30"/>
      <c r="V18" s="27"/>
      <c r="W18" s="27"/>
      <c r="X18" s="27"/>
      <c r="Y18" s="34"/>
      <c r="Z18" s="34"/>
      <c r="AA18" s="34"/>
      <c r="AB18" s="36"/>
      <c r="AC18" s="35"/>
      <c r="AD18" s="35"/>
      <c r="AE18" s="32"/>
      <c r="AF18" s="32"/>
      <c r="AG18" s="32"/>
      <c r="AH18" s="32"/>
      <c r="AI18" s="32"/>
      <c r="AJ18" s="30"/>
      <c r="AK18" s="30"/>
      <c r="AL18" s="21"/>
      <c r="AM18" s="22"/>
      <c r="AN18" s="27"/>
    </row>
    <row r="19" spans="1:40" x14ac:dyDescent="0.3">
      <c r="A19" s="37" t="s">
        <v>30</v>
      </c>
      <c r="B19" s="37"/>
      <c r="C19" s="37"/>
      <c r="D19" s="37"/>
      <c r="E19" s="37"/>
      <c r="F19" s="38">
        <f t="shared" ref="F19:T19" si="8">SUM(F4:F18)</f>
        <v>0</v>
      </c>
      <c r="G19" s="38">
        <f t="shared" si="8"/>
        <v>10</v>
      </c>
      <c r="H19" s="38">
        <f t="shared" si="8"/>
        <v>0</v>
      </c>
      <c r="I19" s="38">
        <f t="shared" si="8"/>
        <v>0</v>
      </c>
      <c r="J19" s="38">
        <f t="shared" si="8"/>
        <v>18</v>
      </c>
      <c r="K19" s="38">
        <f t="shared" si="8"/>
        <v>0</v>
      </c>
      <c r="L19" s="38">
        <f t="shared" si="8"/>
        <v>0</v>
      </c>
      <c r="M19" s="38">
        <f t="shared" si="8"/>
        <v>5</v>
      </c>
      <c r="N19" s="38">
        <f t="shared" si="8"/>
        <v>1</v>
      </c>
      <c r="O19" s="38">
        <f t="shared" si="8"/>
        <v>0</v>
      </c>
      <c r="P19" s="38">
        <f t="shared" si="8"/>
        <v>0</v>
      </c>
      <c r="Q19" s="38">
        <f t="shared" si="8"/>
        <v>0</v>
      </c>
      <c r="R19" s="38">
        <f t="shared" si="8"/>
        <v>1</v>
      </c>
      <c r="S19" s="39">
        <f>SUM(S4:S18)</f>
        <v>12740</v>
      </c>
      <c r="T19" s="38">
        <f t="shared" si="8"/>
        <v>12740</v>
      </c>
      <c r="U19" s="37"/>
      <c r="V19" s="28">
        <f>SUM(V4:V18)</f>
        <v>5940</v>
      </c>
      <c r="W19" s="28">
        <f>SUM(W4:W18)</f>
        <v>6800</v>
      </c>
      <c r="X19" s="28">
        <f>SUM(X4:X18)</f>
        <v>0</v>
      </c>
      <c r="Y19" s="40">
        <f>SUM(Y4:Y18)</f>
        <v>46.771653543307089</v>
      </c>
      <c r="Z19" s="40">
        <f t="shared" ref="Z19:AA19" si="9">SUM(Z4:Z18)</f>
        <v>53.54330708661417</v>
      </c>
      <c r="AA19" s="40">
        <f t="shared" si="9"/>
        <v>0</v>
      </c>
      <c r="AB19" s="41">
        <f>SUM(AB4:AB15)/12</f>
        <v>0.83333333333333337</v>
      </c>
      <c r="AC19" s="35"/>
      <c r="AD19" s="35"/>
      <c r="AE19" s="38"/>
      <c r="AF19" s="38"/>
      <c r="AG19" s="38"/>
      <c r="AH19" s="38"/>
      <c r="AI19" s="42">
        <f>(S19/380)</f>
        <v>33.526315789473685</v>
      </c>
      <c r="AJ19" s="37"/>
      <c r="AK19" s="38"/>
      <c r="AL19" s="43"/>
      <c r="AM19" s="43"/>
      <c r="AN19" s="28"/>
    </row>
    <row r="21" spans="1:40" x14ac:dyDescent="0.3">
      <c r="AC21" s="44"/>
    </row>
    <row r="23" spans="1:40" x14ac:dyDescent="0.3">
      <c r="O23" s="45"/>
      <c r="S23" s="23">
        <f>SUM(S4,S6,S11,S10,S9,S8,S7)/127</f>
        <v>38.897637795275593</v>
      </c>
      <c r="AA23" s="46" t="s">
        <v>88</v>
      </c>
      <c r="AB23" s="47">
        <f>SUM(AB4:AB13)/10</f>
        <v>1</v>
      </c>
    </row>
    <row r="24" spans="1:40" x14ac:dyDescent="0.3">
      <c r="S24" s="23">
        <f>SUM(S5,S13,S12)/220</f>
        <v>35.454545454545453</v>
      </c>
      <c r="AA24" s="45"/>
      <c r="AB24" s="45"/>
    </row>
    <row r="25" spans="1:40" x14ac:dyDescent="0.3">
      <c r="R25" s="46" t="s">
        <v>91</v>
      </c>
      <c r="S25" s="46">
        <f>SUM(S23:S24)</f>
        <v>74.352183249821053</v>
      </c>
      <c r="T25" s="48" t="s">
        <v>89</v>
      </c>
    </row>
    <row r="30" spans="1:40" x14ac:dyDescent="0.3">
      <c r="A30" s="87" t="s">
        <v>0</v>
      </c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9"/>
    </row>
    <row r="31" spans="1:40" x14ac:dyDescent="0.3">
      <c r="A31" s="85" t="s">
        <v>1</v>
      </c>
      <c r="B31" s="85" t="s">
        <v>2</v>
      </c>
      <c r="C31" s="85" t="s">
        <v>3</v>
      </c>
      <c r="D31" s="83" t="s">
        <v>4</v>
      </c>
      <c r="E31" s="83" t="s">
        <v>5</v>
      </c>
      <c r="F31" s="90" t="s">
        <v>6</v>
      </c>
      <c r="G31" s="91"/>
      <c r="H31" s="91"/>
      <c r="I31" s="91"/>
      <c r="J31" s="90" t="s">
        <v>7</v>
      </c>
      <c r="K31" s="91"/>
      <c r="L31" s="91"/>
      <c r="M31" s="92"/>
      <c r="N31" s="90" t="s">
        <v>8</v>
      </c>
      <c r="O31" s="91"/>
      <c r="P31" s="91"/>
      <c r="Q31" s="91"/>
      <c r="R31" s="92"/>
      <c r="S31" s="83" t="s">
        <v>9</v>
      </c>
      <c r="T31" s="83" t="s">
        <v>10</v>
      </c>
      <c r="U31" s="85" t="s">
        <v>11</v>
      </c>
      <c r="V31" s="93" t="s">
        <v>12</v>
      </c>
      <c r="W31" s="93" t="s">
        <v>13</v>
      </c>
      <c r="X31" s="93" t="s">
        <v>14</v>
      </c>
      <c r="Y31" s="95" t="s">
        <v>15</v>
      </c>
      <c r="Z31" s="83" t="s">
        <v>16</v>
      </c>
      <c r="AA31" s="83" t="s">
        <v>17</v>
      </c>
      <c r="AB31" s="85" t="s">
        <v>18</v>
      </c>
      <c r="AC31" s="85" t="s">
        <v>63</v>
      </c>
      <c r="AD31" s="85" t="s">
        <v>64</v>
      </c>
      <c r="AE31" s="83" t="s">
        <v>73</v>
      </c>
      <c r="AF31" s="83" t="s">
        <v>72</v>
      </c>
      <c r="AG31" s="83" t="s">
        <v>74</v>
      </c>
      <c r="AH31" s="83" t="s">
        <v>71</v>
      </c>
      <c r="AI31" s="83" t="s">
        <v>65</v>
      </c>
      <c r="AJ31" s="83" t="s">
        <v>62</v>
      </c>
      <c r="AK31" s="83" t="s">
        <v>27</v>
      </c>
    </row>
    <row r="32" spans="1:40" x14ac:dyDescent="0.3">
      <c r="A32" s="86"/>
      <c r="B32" s="86"/>
      <c r="C32" s="86"/>
      <c r="D32" s="84"/>
      <c r="E32" s="84"/>
      <c r="F32" s="29">
        <v>6</v>
      </c>
      <c r="G32" s="29">
        <v>14</v>
      </c>
      <c r="H32" s="29">
        <v>18</v>
      </c>
      <c r="I32" s="29">
        <v>24</v>
      </c>
      <c r="J32" s="29">
        <v>100</v>
      </c>
      <c r="K32" s="29">
        <v>200</v>
      </c>
      <c r="L32" s="29">
        <v>300</v>
      </c>
      <c r="M32" s="29">
        <v>600</v>
      </c>
      <c r="N32" s="29">
        <v>1000</v>
      </c>
      <c r="O32" s="29">
        <v>1800</v>
      </c>
      <c r="P32" s="29">
        <v>2000</v>
      </c>
      <c r="Q32" s="29">
        <v>7000</v>
      </c>
      <c r="R32" s="29">
        <v>6800</v>
      </c>
      <c r="S32" s="84"/>
      <c r="T32" s="84"/>
      <c r="U32" s="86"/>
      <c r="V32" s="94"/>
      <c r="W32" s="94"/>
      <c r="X32" s="94"/>
      <c r="Y32" s="96"/>
      <c r="Z32" s="84"/>
      <c r="AA32" s="84"/>
      <c r="AB32" s="86"/>
      <c r="AC32" s="86"/>
      <c r="AD32" s="86"/>
      <c r="AE32" s="84"/>
      <c r="AF32" s="84"/>
      <c r="AG32" s="84"/>
      <c r="AH32" s="84"/>
      <c r="AI32" s="84"/>
      <c r="AJ32" s="84"/>
      <c r="AK32" s="84"/>
    </row>
    <row r="33" spans="1:37" x14ac:dyDescent="0.3">
      <c r="A33" s="30">
        <v>1</v>
      </c>
      <c r="B33" s="31" t="s">
        <v>93</v>
      </c>
      <c r="C33" s="30" t="s">
        <v>34</v>
      </c>
      <c r="D33" s="30" t="s">
        <v>37</v>
      </c>
      <c r="E33" s="30">
        <v>127</v>
      </c>
      <c r="F33" s="30"/>
      <c r="G33" s="30">
        <v>28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2">
        <f>T33/AB33</f>
        <v>392</v>
      </c>
      <c r="T33" s="33">
        <f>(R33*R$3)+(Q33*Q$3)+(P33*P$3)+(O33*O$3)+(N33*N$3)+(M33*M$3)+(L33*L$3)+(K33*K$3)+(J33*J$3)+(I33*I$3)+(H33*H$3)+(F33*F$3)+(G33*G$3)</f>
        <v>392</v>
      </c>
      <c r="U33" s="30">
        <v>1</v>
      </c>
      <c r="V33" s="27"/>
      <c r="W33" s="60">
        <f>T33</f>
        <v>392</v>
      </c>
      <c r="X33" s="27"/>
      <c r="Y33" s="34">
        <f>V33/(127*AB33)</f>
        <v>0</v>
      </c>
      <c r="Z33" s="34">
        <f>(W33/(127*AB33))</f>
        <v>3.0866141732283463</v>
      </c>
      <c r="AA33" s="34">
        <f>(X33/(127*AB33))</f>
        <v>0</v>
      </c>
      <c r="AB33" s="35">
        <v>1</v>
      </c>
      <c r="AC33" s="35">
        <v>0.87</v>
      </c>
      <c r="AD33" s="35">
        <v>1</v>
      </c>
      <c r="AE33" s="32">
        <f>AI33/(AC33*AD33)</f>
        <v>3.5478323830210878</v>
      </c>
      <c r="AF33" s="32">
        <v>10</v>
      </c>
      <c r="AG33" s="32">
        <f t="shared" ref="AG33" si="10">AH33*AC33*AD33</f>
        <v>15.225</v>
      </c>
      <c r="AH33" s="32">
        <v>17.5</v>
      </c>
      <c r="AI33" s="32">
        <f>T33/(E33*AB33)</f>
        <v>3.0866141732283463</v>
      </c>
      <c r="AJ33" s="30">
        <v>1.5</v>
      </c>
      <c r="AK33" s="30">
        <v>25</v>
      </c>
    </row>
  </sheetData>
  <mergeCells count="59">
    <mergeCell ref="A1:AK1"/>
    <mergeCell ref="A2:A3"/>
    <mergeCell ref="B2:B3"/>
    <mergeCell ref="C2:C3"/>
    <mergeCell ref="D2:D3"/>
    <mergeCell ref="E2:E3"/>
    <mergeCell ref="F2:I2"/>
    <mergeCell ref="J2:M2"/>
    <mergeCell ref="N2:R2"/>
    <mergeCell ref="S2:S3"/>
    <mergeCell ref="AE2:AE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N2:AN3"/>
    <mergeCell ref="AD2:AD3"/>
    <mergeCell ref="AL2:AL3"/>
    <mergeCell ref="AM2:AM3"/>
    <mergeCell ref="AG2:AG3"/>
    <mergeCell ref="AH2:AH3"/>
    <mergeCell ref="AI2:AI3"/>
    <mergeCell ref="AJ2:AJ3"/>
    <mergeCell ref="AK2:AK3"/>
    <mergeCell ref="AF2:AF3"/>
    <mergeCell ref="A30:AK30"/>
    <mergeCell ref="A31:A32"/>
    <mergeCell ref="B31:B32"/>
    <mergeCell ref="C31:C32"/>
    <mergeCell ref="D31:D32"/>
    <mergeCell ref="E31:E32"/>
    <mergeCell ref="F31:I31"/>
    <mergeCell ref="J31:M31"/>
    <mergeCell ref="N31:R31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C31:AC32"/>
    <mergeCell ref="AD31:AD32"/>
    <mergeCell ref="AJ31:AJ32"/>
    <mergeCell ref="AK31:AK32"/>
    <mergeCell ref="AE31:AE32"/>
    <mergeCell ref="AF31:AF32"/>
    <mergeCell ref="AG31:AG32"/>
    <mergeCell ref="AH31:AH32"/>
    <mergeCell ref="AI31:AI32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7D64-0EE4-4EB9-B337-EE7A496D9212}">
  <dimension ref="C2:J13"/>
  <sheetViews>
    <sheetView zoomScale="106" zoomScaleNormal="115" workbookViewId="0">
      <selection activeCell="E3" sqref="E3"/>
    </sheetView>
  </sheetViews>
  <sheetFormatPr defaultRowHeight="14.4" x14ac:dyDescent="0.3"/>
  <cols>
    <col min="3" max="3" width="34.109375" bestFit="1" customWidth="1"/>
    <col min="4" max="4" width="17.21875" style="24" bestFit="1" customWidth="1"/>
    <col min="5" max="6" width="16.109375" style="24" bestFit="1" customWidth="1"/>
    <col min="7" max="7" width="17.21875" style="24" customWidth="1"/>
    <col min="8" max="8" width="9.44140625" style="24" hidden="1" customWidth="1"/>
    <col min="9" max="9" width="0" style="24" hidden="1" customWidth="1"/>
    <col min="10" max="10" width="31.33203125" bestFit="1" customWidth="1"/>
  </cols>
  <sheetData>
    <row r="2" spans="3:10" ht="72" x14ac:dyDescent="0.3">
      <c r="C2" s="57"/>
      <c r="D2" s="55" t="s">
        <v>78</v>
      </c>
      <c r="E2" s="56" t="s">
        <v>81</v>
      </c>
      <c r="F2" s="56" t="s">
        <v>82</v>
      </c>
      <c r="G2" s="56" t="s">
        <v>92</v>
      </c>
      <c r="H2" s="56" t="s">
        <v>92</v>
      </c>
      <c r="I2" s="56" t="s">
        <v>92</v>
      </c>
      <c r="J2" s="56" t="s">
        <v>96</v>
      </c>
    </row>
    <row r="3" spans="3:10" x14ac:dyDescent="0.3">
      <c r="C3" s="58" t="s">
        <v>75</v>
      </c>
      <c r="D3" s="53">
        <f>SUM('Quadro de Carga '!T4,'Quadro de Carga '!T6,'Quadro de Carga '!T7,'Quadro de Carga '!T8,'Quadro de Carga '!T9,'Quadro de Carga '!T10,'Quadro de Carga '!T11)</f>
        <v>4940</v>
      </c>
      <c r="E3" s="52">
        <v>0.52</v>
      </c>
      <c r="F3" s="52">
        <v>0.24</v>
      </c>
      <c r="G3" s="52">
        <f>(D3*16)*F3</f>
        <v>18969.599999999999</v>
      </c>
      <c r="H3" s="52">
        <f t="shared" ref="H3:I7" si="0">(E3*16)*G3</f>
        <v>157827.07199999999</v>
      </c>
      <c r="I3" s="52">
        <f t="shared" si="0"/>
        <v>606055.95647999994</v>
      </c>
      <c r="J3" s="52">
        <f>D3*E3</f>
        <v>2568.8000000000002</v>
      </c>
    </row>
    <row r="4" spans="3:10" x14ac:dyDescent="0.3">
      <c r="C4" s="58" t="s">
        <v>76</v>
      </c>
      <c r="D4" s="53">
        <f>'Quadro de Carga '!T5</f>
        <v>6800</v>
      </c>
      <c r="E4" s="52">
        <v>1</v>
      </c>
      <c r="F4" s="52">
        <v>0.43</v>
      </c>
      <c r="G4" s="52">
        <f t="shared" ref="G4:G7" si="1">(D4*16)*F4</f>
        <v>46784</v>
      </c>
      <c r="H4" s="52">
        <f t="shared" si="0"/>
        <v>748544</v>
      </c>
      <c r="I4" s="52">
        <f t="shared" si="0"/>
        <v>5149982.7199999997</v>
      </c>
      <c r="J4" s="52">
        <f t="shared" ref="J4:J8" si="2">D4*E4</f>
        <v>6800</v>
      </c>
    </row>
    <row r="5" spans="3:10" x14ac:dyDescent="0.3">
      <c r="C5" s="58" t="s">
        <v>77</v>
      </c>
      <c r="D5" s="53">
        <f>SUM('Quadro de Carga '!T13,'Quadro de Carga '!T12)</f>
        <v>1000</v>
      </c>
      <c r="E5" s="52">
        <v>1</v>
      </c>
      <c r="F5" s="52">
        <v>0.9</v>
      </c>
      <c r="G5" s="52">
        <f t="shared" si="1"/>
        <v>14400</v>
      </c>
      <c r="H5" s="52">
        <f t="shared" si="0"/>
        <v>230400</v>
      </c>
      <c r="I5" s="52">
        <f t="shared" si="0"/>
        <v>3317760</v>
      </c>
      <c r="J5" s="52">
        <f t="shared" si="2"/>
        <v>1000</v>
      </c>
    </row>
    <row r="6" spans="3:10" ht="28.8" x14ac:dyDescent="0.3">
      <c r="C6" s="59" t="s">
        <v>79</v>
      </c>
      <c r="D6" s="52"/>
      <c r="E6" s="52">
        <v>0.7</v>
      </c>
      <c r="F6" s="52">
        <v>0.5</v>
      </c>
      <c r="G6" s="52">
        <f t="shared" si="1"/>
        <v>0</v>
      </c>
      <c r="H6" s="52">
        <f t="shared" si="0"/>
        <v>0</v>
      </c>
      <c r="I6" s="52">
        <f t="shared" si="0"/>
        <v>0</v>
      </c>
      <c r="J6" s="52">
        <f t="shared" si="2"/>
        <v>0</v>
      </c>
    </row>
    <row r="7" spans="3:10" x14ac:dyDescent="0.3">
      <c r="C7" s="58" t="s">
        <v>80</v>
      </c>
      <c r="D7" s="52"/>
      <c r="E7" s="52">
        <v>1</v>
      </c>
      <c r="F7" s="52">
        <v>0.26</v>
      </c>
      <c r="G7" s="52">
        <f t="shared" si="1"/>
        <v>0</v>
      </c>
      <c r="H7" s="52">
        <f t="shared" si="0"/>
        <v>0</v>
      </c>
      <c r="I7" s="52">
        <f t="shared" si="0"/>
        <v>0</v>
      </c>
      <c r="J7" s="52">
        <f t="shared" si="2"/>
        <v>0</v>
      </c>
    </row>
    <row r="8" spans="3:10" x14ac:dyDescent="0.3">
      <c r="C8" s="58" t="s">
        <v>94</v>
      </c>
      <c r="D8" s="53"/>
      <c r="E8" s="52"/>
      <c r="F8" s="52"/>
      <c r="G8" s="53">
        <f>'Quadro de Carga '!T33</f>
        <v>392</v>
      </c>
      <c r="H8" s="53">
        <f>'Quadro de Carga '!U33</f>
        <v>1</v>
      </c>
      <c r="I8" s="53">
        <f>'Quadro de Carga '!V33</f>
        <v>0</v>
      </c>
      <c r="J8" s="53">
        <f t="shared" si="2"/>
        <v>0</v>
      </c>
    </row>
    <row r="9" spans="3:10" x14ac:dyDescent="0.3">
      <c r="C9" s="58" t="s">
        <v>97</v>
      </c>
      <c r="D9" s="73">
        <f>SUM(D3:D7)</f>
        <v>12740</v>
      </c>
      <c r="E9" s="54">
        <f>SUM(E3:E7)</f>
        <v>4.22</v>
      </c>
      <c r="F9" s="54">
        <f>SUM(F3:F8)</f>
        <v>2.33</v>
      </c>
      <c r="G9" s="54">
        <f>SUM(G3:G8)</f>
        <v>80545.600000000006</v>
      </c>
      <c r="H9" s="54">
        <f t="shared" ref="H9:I9" si="3">SUM(H3:H8)</f>
        <v>1136772.0719999999</v>
      </c>
      <c r="I9" s="54">
        <f t="shared" si="3"/>
        <v>9073798.676479999</v>
      </c>
      <c r="J9" s="54">
        <f>SUM(J3:J8)</f>
        <v>10368.799999999999</v>
      </c>
    </row>
    <row r="10" spans="3:10" ht="15" thickBot="1" x14ac:dyDescent="0.35"/>
    <row r="11" spans="3:10" ht="15" thickBot="1" x14ac:dyDescent="0.35">
      <c r="F11" s="25" t="s">
        <v>85</v>
      </c>
      <c r="G11" s="51" t="s">
        <v>95</v>
      </c>
    </row>
    <row r="12" spans="3:10" ht="15" thickBot="1" x14ac:dyDescent="0.35"/>
    <row r="13" spans="3:10" ht="15" thickBot="1" x14ac:dyDescent="0.35">
      <c r="C13" s="109" t="s">
        <v>83</v>
      </c>
      <c r="D13" s="110"/>
      <c r="E13" s="110"/>
      <c r="F13" s="110"/>
      <c r="G13" s="111"/>
    </row>
  </sheetData>
  <mergeCells count="1">
    <mergeCell ref="C13:G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3109-DA31-4670-86B4-83ED0884ABAA}">
  <dimension ref="A1:E10"/>
  <sheetViews>
    <sheetView workbookViewId="0">
      <selection activeCell="D16" sqref="D16"/>
    </sheetView>
  </sheetViews>
  <sheetFormatPr defaultRowHeight="14.4" x14ac:dyDescent="0.3"/>
  <cols>
    <col min="2" max="2" width="22" bestFit="1" customWidth="1"/>
    <col min="3" max="3" width="18.44140625" customWidth="1"/>
    <col min="4" max="4" width="10" bestFit="1" customWidth="1"/>
    <col min="5" max="5" width="11.33203125" bestFit="1" customWidth="1"/>
  </cols>
  <sheetData>
    <row r="1" spans="1:5" x14ac:dyDescent="0.3">
      <c r="A1" s="5"/>
      <c r="B1" s="5"/>
      <c r="C1" s="5" t="s">
        <v>39</v>
      </c>
      <c r="D1" s="5" t="s">
        <v>40</v>
      </c>
      <c r="E1" s="5" t="s">
        <v>41</v>
      </c>
    </row>
    <row r="2" spans="1:5" x14ac:dyDescent="0.3">
      <c r="A2" s="5" t="s">
        <v>42</v>
      </c>
      <c r="B2" s="5" t="s">
        <v>43</v>
      </c>
      <c r="C2" s="9">
        <v>0.45</v>
      </c>
      <c r="D2" s="6">
        <v>5412</v>
      </c>
      <c r="E2" s="10">
        <f>D2*C2</f>
        <v>2435.4</v>
      </c>
    </row>
    <row r="3" spans="1:5" x14ac:dyDescent="0.3">
      <c r="A3" s="5" t="s">
        <v>44</v>
      </c>
      <c r="B3" s="5" t="s">
        <v>45</v>
      </c>
      <c r="C3" s="11">
        <v>1</v>
      </c>
      <c r="D3" s="6">
        <v>7500</v>
      </c>
      <c r="E3" s="5">
        <f>D3*C3</f>
        <v>7500</v>
      </c>
    </row>
    <row r="4" spans="1:5" x14ac:dyDescent="0.3">
      <c r="A4" s="5" t="s">
        <v>46</v>
      </c>
      <c r="B4" s="5" t="s">
        <v>47</v>
      </c>
      <c r="C4" s="11"/>
      <c r="D4" s="6">
        <v>0</v>
      </c>
      <c r="E4" s="5">
        <f t="shared" ref="E4:E8" si="0">D4*C4</f>
        <v>0</v>
      </c>
    </row>
    <row r="5" spans="1:5" x14ac:dyDescent="0.3">
      <c r="A5" s="5" t="s">
        <v>48</v>
      </c>
      <c r="B5" s="5" t="s">
        <v>49</v>
      </c>
      <c r="C5" s="11"/>
      <c r="D5" s="6">
        <v>0</v>
      </c>
      <c r="E5" s="5">
        <f t="shared" si="0"/>
        <v>0</v>
      </c>
    </row>
    <row r="6" spans="1:5" x14ac:dyDescent="0.3">
      <c r="A6" s="5" t="s">
        <v>50</v>
      </c>
      <c r="B6" s="5" t="s">
        <v>51</v>
      </c>
      <c r="C6" s="11">
        <v>1</v>
      </c>
      <c r="D6" s="6">
        <v>2466</v>
      </c>
      <c r="E6" s="5">
        <f t="shared" si="0"/>
        <v>2466</v>
      </c>
    </row>
    <row r="7" spans="1:5" x14ac:dyDescent="0.3">
      <c r="A7" s="5" t="s">
        <v>52</v>
      </c>
      <c r="B7" s="5" t="s">
        <v>53</v>
      </c>
      <c r="C7" s="11"/>
      <c r="D7" s="5">
        <v>0</v>
      </c>
      <c r="E7" s="5">
        <f t="shared" si="0"/>
        <v>0</v>
      </c>
    </row>
    <row r="8" spans="1:5" x14ac:dyDescent="0.3">
      <c r="A8" s="5" t="s">
        <v>54</v>
      </c>
      <c r="B8" s="5" t="s">
        <v>55</v>
      </c>
      <c r="C8" s="11"/>
      <c r="D8" s="5">
        <v>0</v>
      </c>
      <c r="E8" s="5">
        <f t="shared" si="0"/>
        <v>0</v>
      </c>
    </row>
    <row r="9" spans="1:5" x14ac:dyDescent="0.3">
      <c r="A9" s="5"/>
      <c r="B9" s="5"/>
      <c r="C9" s="5"/>
      <c r="D9" s="5" t="s">
        <v>56</v>
      </c>
      <c r="E9" s="5">
        <f>SUM(E2:E8)</f>
        <v>12401.4</v>
      </c>
    </row>
    <row r="10" spans="1:5" x14ac:dyDescent="0.3">
      <c r="A10" s="4"/>
      <c r="B10" s="4"/>
      <c r="C10" s="4"/>
      <c r="D10" s="7" t="s">
        <v>56</v>
      </c>
      <c r="E10" s="8">
        <f>E9/0.92</f>
        <v>13479.782608695652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D969-1451-4AC4-B7BD-7AE3B9C7D98C}">
  <dimension ref="A1:N9"/>
  <sheetViews>
    <sheetView workbookViewId="0">
      <selection activeCell="F23" sqref="F23"/>
    </sheetView>
  </sheetViews>
  <sheetFormatPr defaultRowHeight="14.4" x14ac:dyDescent="0.3"/>
  <cols>
    <col min="1" max="1" width="7.6640625" bestFit="1" customWidth="1"/>
    <col min="2" max="2" width="20.109375" bestFit="1" customWidth="1"/>
    <col min="3" max="3" width="10.109375" bestFit="1" customWidth="1"/>
    <col min="4" max="4" width="11.5546875" bestFit="1" customWidth="1"/>
    <col min="5" max="5" width="16.5546875" bestFit="1" customWidth="1"/>
    <col min="6" max="6" width="15.88671875" bestFit="1" customWidth="1"/>
    <col min="7" max="7" width="12.88671875" bestFit="1" customWidth="1"/>
    <col min="8" max="9" width="12" bestFit="1" customWidth="1"/>
    <col min="10" max="10" width="11.88671875" bestFit="1" customWidth="1"/>
    <col min="11" max="11" width="5.88671875" bestFit="1" customWidth="1"/>
    <col min="12" max="12" width="6.5546875" bestFit="1" customWidth="1"/>
    <col min="13" max="13" width="12.88671875" bestFit="1" customWidth="1"/>
    <col min="14" max="14" width="8.109375" bestFit="1" customWidth="1"/>
  </cols>
  <sheetData>
    <row r="1" spans="1:14" x14ac:dyDescent="0.3">
      <c r="A1" s="116" t="s">
        <v>57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8"/>
    </row>
    <row r="2" spans="1:14" x14ac:dyDescent="0.3">
      <c r="A2" s="119" t="s">
        <v>1</v>
      </c>
      <c r="B2" s="112" t="s">
        <v>2</v>
      </c>
      <c r="C2" s="112" t="s">
        <v>3</v>
      </c>
      <c r="D2" s="114" t="s">
        <v>5</v>
      </c>
      <c r="E2" s="114" t="s">
        <v>9</v>
      </c>
      <c r="F2" s="114" t="s">
        <v>10</v>
      </c>
      <c r="G2" s="112" t="s">
        <v>11</v>
      </c>
      <c r="H2" s="114" t="s">
        <v>12</v>
      </c>
      <c r="I2" s="114" t="s">
        <v>13</v>
      </c>
      <c r="J2" s="114" t="s">
        <v>14</v>
      </c>
      <c r="K2" s="112" t="s">
        <v>18</v>
      </c>
      <c r="L2" s="112" t="s">
        <v>24</v>
      </c>
      <c r="M2" s="114" t="s">
        <v>25</v>
      </c>
      <c r="N2" s="121" t="s">
        <v>26</v>
      </c>
    </row>
    <row r="3" spans="1:14" x14ac:dyDescent="0.3">
      <c r="A3" s="120"/>
      <c r="B3" s="113"/>
      <c r="C3" s="113"/>
      <c r="D3" s="115"/>
      <c r="E3" s="115"/>
      <c r="F3" s="115"/>
      <c r="G3" s="113"/>
      <c r="H3" s="115"/>
      <c r="I3" s="115"/>
      <c r="J3" s="115"/>
      <c r="K3" s="113"/>
      <c r="L3" s="113"/>
      <c r="M3" s="115"/>
      <c r="N3" s="122"/>
    </row>
    <row r="4" spans="1:14" x14ac:dyDescent="0.3">
      <c r="A4" s="12" t="s">
        <v>58</v>
      </c>
      <c r="B4" s="1" t="s">
        <v>59</v>
      </c>
      <c r="C4" s="1" t="s">
        <v>86</v>
      </c>
      <c r="D4" s="1">
        <v>220</v>
      </c>
      <c r="E4" s="20">
        <f>'Quadro de Carga '!S19</f>
        <v>12740</v>
      </c>
      <c r="F4" s="3">
        <f>'Quadro de Carga '!T19</f>
        <v>12740</v>
      </c>
      <c r="G4" s="1" t="s">
        <v>87</v>
      </c>
      <c r="H4" s="3">
        <f>'Quadro de Carga '!V19</f>
        <v>5940</v>
      </c>
      <c r="I4" s="1">
        <f>'Quadro de Carga '!W19</f>
        <v>6800</v>
      </c>
      <c r="J4" s="1">
        <f>'Quadro de Carga '!X19</f>
        <v>0</v>
      </c>
      <c r="K4" s="13">
        <f>'Quadro de Carga '!AB23</f>
        <v>1</v>
      </c>
      <c r="L4" s="2">
        <v>89.863994273443097</v>
      </c>
      <c r="M4" s="1" t="s">
        <v>90</v>
      </c>
      <c r="N4" s="14">
        <v>63</v>
      </c>
    </row>
    <row r="5" spans="1:14" ht="15" thickBot="1" x14ac:dyDescent="0.35">
      <c r="A5" s="15" t="s">
        <v>30</v>
      </c>
      <c r="B5" s="16"/>
      <c r="C5" s="16"/>
      <c r="D5" s="16"/>
      <c r="E5" s="26">
        <f>SUM(E4:E4)</f>
        <v>12740</v>
      </c>
      <c r="F5" s="17">
        <f>SUM(F4:F4)</f>
        <v>12740</v>
      </c>
      <c r="G5" s="18"/>
      <c r="H5" s="17">
        <f t="shared" ref="H5:J5" si="0">SUM(H4:H4)</f>
        <v>5940</v>
      </c>
      <c r="I5" s="17">
        <f t="shared" si="0"/>
        <v>6800</v>
      </c>
      <c r="J5" s="17">
        <f t="shared" si="0"/>
        <v>0</v>
      </c>
      <c r="K5" s="18"/>
      <c r="L5" s="17"/>
      <c r="M5" s="18"/>
      <c r="N5" s="19"/>
    </row>
    <row r="7" spans="1:14" x14ac:dyDescent="0.3">
      <c r="A7" s="112" t="s">
        <v>19</v>
      </c>
      <c r="B7" s="112" t="s">
        <v>20</v>
      </c>
      <c r="C7" s="112" t="s">
        <v>21</v>
      </c>
      <c r="D7" s="112" t="s">
        <v>22</v>
      </c>
      <c r="E7" s="112" t="s">
        <v>23</v>
      </c>
      <c r="F7" s="112" t="s">
        <v>24</v>
      </c>
      <c r="G7" s="114" t="s">
        <v>25</v>
      </c>
    </row>
    <row r="8" spans="1:14" x14ac:dyDescent="0.3">
      <c r="A8" s="113"/>
      <c r="B8" s="113"/>
      <c r="C8" s="113"/>
      <c r="D8" s="113"/>
      <c r="E8" s="113"/>
      <c r="F8" s="113"/>
      <c r="G8" s="115"/>
    </row>
    <row r="9" spans="1:14" x14ac:dyDescent="0.3">
      <c r="A9" s="1">
        <v>0.94</v>
      </c>
      <c r="B9" s="1">
        <v>1</v>
      </c>
      <c r="C9" s="2">
        <f>F9/(A9*B9)</f>
        <v>95.59999390791819</v>
      </c>
      <c r="D9" s="2">
        <f>E9*A9*B9</f>
        <v>97.759999999999991</v>
      </c>
      <c r="E9" s="2">
        <v>104</v>
      </c>
      <c r="F9" s="2">
        <v>89.863994273443097</v>
      </c>
      <c r="G9" s="1">
        <v>25</v>
      </c>
    </row>
  </sheetData>
  <mergeCells count="22">
    <mergeCell ref="A1:N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F7:F8"/>
    <mergeCell ref="G7:G8"/>
    <mergeCell ref="A7:A8"/>
    <mergeCell ref="B7:B8"/>
    <mergeCell ref="C7:C8"/>
    <mergeCell ref="D7:D8"/>
    <mergeCell ref="E7:E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CFE69-431A-49F7-A6C7-E8EE4666C559}">
  <dimension ref="B6:Y16"/>
  <sheetViews>
    <sheetView topLeftCell="G1" workbookViewId="0">
      <selection activeCell="O20" sqref="O20"/>
    </sheetView>
  </sheetViews>
  <sheetFormatPr defaultRowHeight="14.4" x14ac:dyDescent="0.3"/>
  <cols>
    <col min="3" max="3" width="29.21875" bestFit="1" customWidth="1"/>
    <col min="6" max="6" width="12.6640625" bestFit="1" customWidth="1"/>
    <col min="7" max="7" width="12.44140625" bestFit="1" customWidth="1"/>
    <col min="8" max="8" width="8.77734375" bestFit="1" customWidth="1"/>
    <col min="10" max="10" width="6" bestFit="1" customWidth="1"/>
    <col min="11" max="11" width="29.21875" bestFit="1" customWidth="1"/>
    <col min="14" max="14" width="0" hidden="1" customWidth="1"/>
    <col min="17" max="18" width="0" hidden="1" customWidth="1"/>
    <col min="21" max="23" width="0" hidden="1" customWidth="1"/>
    <col min="25" max="25" width="15.77734375" bestFit="1" customWidth="1"/>
  </cols>
  <sheetData>
    <row r="6" spans="2:25" x14ac:dyDescent="0.3">
      <c r="B6" s="99" t="s">
        <v>141</v>
      </c>
      <c r="C6" s="99"/>
      <c r="D6" s="99" t="s">
        <v>143</v>
      </c>
      <c r="E6" s="99" t="s">
        <v>144</v>
      </c>
      <c r="F6" s="99" t="s">
        <v>145</v>
      </c>
      <c r="G6" s="99" t="s">
        <v>146</v>
      </c>
      <c r="H6" s="99" t="s">
        <v>147</v>
      </c>
      <c r="J6" s="85" t="s">
        <v>1</v>
      </c>
      <c r="K6" s="85" t="s">
        <v>2</v>
      </c>
      <c r="L6" s="90" t="s">
        <v>6</v>
      </c>
      <c r="M6" s="91"/>
      <c r="N6" s="91"/>
      <c r="O6" s="91"/>
      <c r="P6" s="90" t="s">
        <v>7</v>
      </c>
      <c r="Q6" s="91"/>
      <c r="R6" s="91"/>
      <c r="S6" s="92"/>
      <c r="T6" s="90" t="s">
        <v>8</v>
      </c>
      <c r="U6" s="91"/>
      <c r="V6" s="91"/>
      <c r="W6" s="91"/>
      <c r="X6" s="92"/>
      <c r="Y6" s="83" t="s">
        <v>10</v>
      </c>
    </row>
    <row r="7" spans="2:25" x14ac:dyDescent="0.3">
      <c r="B7" s="65" t="s">
        <v>142</v>
      </c>
      <c r="C7" s="65" t="s">
        <v>148</v>
      </c>
      <c r="D7" s="99"/>
      <c r="E7" s="99"/>
      <c r="F7" s="99"/>
      <c r="G7" s="99"/>
      <c r="H7" s="99"/>
      <c r="J7" s="86"/>
      <c r="K7" s="86"/>
      <c r="L7" s="29">
        <v>6</v>
      </c>
      <c r="M7" s="29">
        <v>14</v>
      </c>
      <c r="N7" s="29">
        <v>18</v>
      </c>
      <c r="O7" s="29">
        <v>24</v>
      </c>
      <c r="P7" s="29">
        <v>100</v>
      </c>
      <c r="Q7" s="29">
        <v>200</v>
      </c>
      <c r="R7" s="29">
        <v>300</v>
      </c>
      <c r="S7" s="29">
        <v>600</v>
      </c>
      <c r="T7" s="29">
        <v>1000</v>
      </c>
      <c r="U7" s="29">
        <v>1800</v>
      </c>
      <c r="V7" s="29">
        <v>2000</v>
      </c>
      <c r="W7" s="29">
        <v>7000</v>
      </c>
      <c r="X7" s="29">
        <v>6800</v>
      </c>
      <c r="Y7" s="84"/>
    </row>
    <row r="8" spans="2:25" x14ac:dyDescent="0.3">
      <c r="B8">
        <v>1</v>
      </c>
      <c r="C8" t="s">
        <v>66</v>
      </c>
      <c r="J8" s="30">
        <v>1</v>
      </c>
      <c r="K8" s="31" t="s">
        <v>66</v>
      </c>
      <c r="L8" s="30"/>
      <c r="M8" s="30">
        <v>10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3">
        <v>140</v>
      </c>
    </row>
    <row r="9" spans="2:25" x14ac:dyDescent="0.3">
      <c r="B9">
        <v>2</v>
      </c>
      <c r="C9" t="s">
        <v>31</v>
      </c>
      <c r="J9" s="30">
        <v>2</v>
      </c>
      <c r="K9" s="31" t="s">
        <v>31</v>
      </c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>
        <v>1</v>
      </c>
      <c r="Y9" s="33">
        <v>6800</v>
      </c>
    </row>
    <row r="10" spans="2:25" x14ac:dyDescent="0.3">
      <c r="B10">
        <v>3</v>
      </c>
      <c r="C10" t="s">
        <v>61</v>
      </c>
      <c r="J10" s="30">
        <v>3</v>
      </c>
      <c r="K10" s="30" t="s">
        <v>61</v>
      </c>
      <c r="L10" s="30"/>
      <c r="M10" s="30"/>
      <c r="N10" s="30"/>
      <c r="O10" s="30"/>
      <c r="P10" s="30"/>
      <c r="Q10" s="30"/>
      <c r="R10" s="30"/>
      <c r="S10" s="30">
        <v>2</v>
      </c>
      <c r="T10" s="30"/>
      <c r="U10" s="30"/>
      <c r="V10" s="30"/>
      <c r="W10" s="30"/>
      <c r="X10" s="30"/>
      <c r="Y10" s="33">
        <v>1200</v>
      </c>
    </row>
    <row r="11" spans="2:25" x14ac:dyDescent="0.3">
      <c r="B11">
        <v>4</v>
      </c>
      <c r="C11" t="s">
        <v>60</v>
      </c>
      <c r="J11" s="30">
        <v>4</v>
      </c>
      <c r="K11" s="31" t="s">
        <v>60</v>
      </c>
      <c r="L11" s="30"/>
      <c r="M11" s="30"/>
      <c r="N11" s="30"/>
      <c r="O11" s="30"/>
      <c r="P11" s="30">
        <v>1</v>
      </c>
      <c r="Q11" s="30"/>
      <c r="R11" s="30"/>
      <c r="S11" s="30">
        <v>1</v>
      </c>
      <c r="T11" s="30"/>
      <c r="U11" s="30"/>
      <c r="V11" s="30"/>
      <c r="W11" s="30"/>
      <c r="X11" s="30"/>
      <c r="Y11" s="33">
        <v>700</v>
      </c>
    </row>
    <row r="12" spans="2:25" ht="26.4" x14ac:dyDescent="0.3">
      <c r="B12">
        <v>5</v>
      </c>
      <c r="C12" t="s">
        <v>68</v>
      </c>
      <c r="J12" s="30">
        <v>5</v>
      </c>
      <c r="K12" s="31" t="s">
        <v>68</v>
      </c>
      <c r="L12" s="30"/>
      <c r="M12" s="30"/>
      <c r="N12" s="30"/>
      <c r="O12" s="30"/>
      <c r="P12" s="30">
        <v>5</v>
      </c>
      <c r="Q12" s="30"/>
      <c r="R12" s="30"/>
      <c r="S12" s="30">
        <v>1</v>
      </c>
      <c r="T12" s="30"/>
      <c r="U12" s="30"/>
      <c r="V12" s="30"/>
      <c r="W12" s="30"/>
      <c r="X12" s="30"/>
      <c r="Y12" s="33">
        <v>1100</v>
      </c>
    </row>
    <row r="13" spans="2:25" x14ac:dyDescent="0.3">
      <c r="B13">
        <v>6</v>
      </c>
      <c r="C13" t="s">
        <v>67</v>
      </c>
      <c r="J13" s="30">
        <v>6</v>
      </c>
      <c r="K13" s="30" t="s">
        <v>67</v>
      </c>
      <c r="L13" s="30"/>
      <c r="M13" s="30"/>
      <c r="N13" s="30"/>
      <c r="O13" s="30"/>
      <c r="P13" s="30">
        <v>3</v>
      </c>
      <c r="Q13" s="30"/>
      <c r="R13" s="30"/>
      <c r="S13" s="30"/>
      <c r="T13" s="30"/>
      <c r="U13" s="30"/>
      <c r="V13" s="30"/>
      <c r="W13" s="30"/>
      <c r="X13" s="30"/>
      <c r="Y13" s="33">
        <v>300</v>
      </c>
    </row>
    <row r="14" spans="2:25" x14ac:dyDescent="0.3">
      <c r="B14">
        <v>7</v>
      </c>
      <c r="C14" t="s">
        <v>69</v>
      </c>
      <c r="J14" s="30">
        <v>7</v>
      </c>
      <c r="K14" s="30" t="s">
        <v>69</v>
      </c>
      <c r="L14" s="30"/>
      <c r="M14" s="30"/>
      <c r="N14" s="30"/>
      <c r="O14" s="30"/>
      <c r="P14" s="30">
        <v>3</v>
      </c>
      <c r="Q14" s="30"/>
      <c r="R14" s="30"/>
      <c r="S14" s="30"/>
      <c r="T14" s="30"/>
      <c r="U14" s="30"/>
      <c r="V14" s="30"/>
      <c r="W14" s="30"/>
      <c r="X14" s="30"/>
      <c r="Y14" s="33">
        <v>300</v>
      </c>
    </row>
    <row r="15" spans="2:25" x14ac:dyDescent="0.3">
      <c r="B15">
        <v>8</v>
      </c>
      <c r="C15" t="s">
        <v>70</v>
      </c>
      <c r="J15" s="30">
        <v>8</v>
      </c>
      <c r="K15" s="30" t="s">
        <v>70</v>
      </c>
      <c r="L15" s="30"/>
      <c r="M15" s="30"/>
      <c r="N15" s="30"/>
      <c r="O15" s="30"/>
      <c r="P15" s="30">
        <v>6</v>
      </c>
      <c r="Q15" s="30"/>
      <c r="R15" s="30"/>
      <c r="S15" s="30">
        <v>1</v>
      </c>
      <c r="T15" s="30"/>
      <c r="U15" s="30"/>
      <c r="V15" s="30"/>
      <c r="W15" s="30"/>
      <c r="X15" s="30"/>
      <c r="Y15" s="33">
        <v>1200</v>
      </c>
    </row>
    <row r="16" spans="2:25" x14ac:dyDescent="0.3">
      <c r="B16">
        <v>9</v>
      </c>
      <c r="C16" t="s">
        <v>33</v>
      </c>
      <c r="J16" s="30">
        <v>9</v>
      </c>
      <c r="K16" s="30" t="s">
        <v>33</v>
      </c>
      <c r="L16" s="30"/>
      <c r="M16" s="30"/>
      <c r="N16" s="30"/>
      <c r="O16" s="30"/>
      <c r="P16" s="30"/>
      <c r="Q16" s="30"/>
      <c r="R16" s="30"/>
      <c r="S16" s="30"/>
      <c r="T16" s="30">
        <v>1</v>
      </c>
      <c r="U16" s="30"/>
      <c r="V16" s="30"/>
      <c r="W16" s="30"/>
      <c r="X16" s="30"/>
      <c r="Y16" s="33">
        <v>1000</v>
      </c>
    </row>
  </sheetData>
  <mergeCells count="12">
    <mergeCell ref="B6:C6"/>
    <mergeCell ref="Y6:Y7"/>
    <mergeCell ref="D6:D7"/>
    <mergeCell ref="E6:E7"/>
    <mergeCell ref="F6:F7"/>
    <mergeCell ref="G6:G7"/>
    <mergeCell ref="H6:H7"/>
    <mergeCell ref="J6:J7"/>
    <mergeCell ref="K6:K7"/>
    <mergeCell ref="L6:O6"/>
    <mergeCell ref="P6:S6"/>
    <mergeCell ref="T6:X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A1EF7-6152-45BF-99D4-0C49592C3537}">
  <dimension ref="F6:Z21"/>
  <sheetViews>
    <sheetView topLeftCell="C1" zoomScale="76" zoomScaleNormal="76" workbookViewId="0">
      <selection activeCell="O25" sqref="O25"/>
    </sheetView>
  </sheetViews>
  <sheetFormatPr defaultRowHeight="14.4" x14ac:dyDescent="0.3"/>
  <cols>
    <col min="7" max="7" width="29.21875" bestFit="1" customWidth="1"/>
    <col min="10" max="10" width="11.44140625" bestFit="1" customWidth="1"/>
    <col min="11" max="11" width="8.77734375" bestFit="1" customWidth="1"/>
    <col min="14" max="14" width="12.5546875" customWidth="1"/>
    <col min="15" max="15" width="22.44140625" customWidth="1"/>
    <col min="16" max="16" width="33" customWidth="1"/>
    <col min="18" max="18" width="10.21875" customWidth="1"/>
    <col min="19" max="19" width="15.6640625" customWidth="1"/>
    <col min="23" max="23" width="12.21875" bestFit="1" customWidth="1"/>
    <col min="24" max="24" width="21" bestFit="1" customWidth="1"/>
    <col min="25" max="25" width="16.44140625" bestFit="1" customWidth="1"/>
    <col min="26" max="26" width="15.5546875" bestFit="1" customWidth="1"/>
  </cols>
  <sheetData>
    <row r="6" spans="6:26" x14ac:dyDescent="0.3">
      <c r="F6" s="100" t="s">
        <v>204</v>
      </c>
      <c r="G6" s="100"/>
      <c r="H6" s="100"/>
      <c r="I6" s="100"/>
      <c r="J6" s="100"/>
      <c r="K6" s="100"/>
      <c r="L6" s="100"/>
      <c r="M6" s="100"/>
      <c r="N6" s="100"/>
      <c r="O6" s="100"/>
      <c r="P6" s="100"/>
      <c r="W6" s="99" t="s">
        <v>200</v>
      </c>
      <c r="X6" s="99"/>
      <c r="Y6" s="99"/>
      <c r="Z6" s="99"/>
    </row>
    <row r="7" spans="6:26" ht="43.2" x14ac:dyDescent="0.3">
      <c r="F7" s="66" t="s">
        <v>201</v>
      </c>
      <c r="G7" s="66" t="s">
        <v>2</v>
      </c>
      <c r="H7" s="66" t="s">
        <v>111</v>
      </c>
      <c r="I7" s="66" t="s">
        <v>191</v>
      </c>
      <c r="J7" s="66" t="s">
        <v>64</v>
      </c>
      <c r="K7" s="66" t="s">
        <v>224</v>
      </c>
      <c r="L7" s="66" t="s">
        <v>192</v>
      </c>
      <c r="M7" s="66" t="s">
        <v>190</v>
      </c>
      <c r="N7" s="66" t="s">
        <v>222</v>
      </c>
      <c r="O7" s="66" t="s">
        <v>223</v>
      </c>
      <c r="P7" s="66" t="s">
        <v>225</v>
      </c>
      <c r="T7" s="66"/>
      <c r="W7" s="65" t="s">
        <v>196</v>
      </c>
      <c r="X7" s="65" t="s">
        <v>197</v>
      </c>
      <c r="Y7" s="65" t="s">
        <v>198</v>
      </c>
      <c r="Z7" s="65" t="s">
        <v>199</v>
      </c>
    </row>
    <row r="8" spans="6:26" x14ac:dyDescent="0.3">
      <c r="F8" s="76">
        <v>1</v>
      </c>
      <c r="G8" s="67" t="s">
        <v>195</v>
      </c>
      <c r="H8" s="67">
        <v>140</v>
      </c>
      <c r="I8" s="67">
        <v>127</v>
      </c>
      <c r="J8" s="24">
        <v>0.8</v>
      </c>
      <c r="K8" s="24">
        <v>0.87</v>
      </c>
      <c r="L8" s="74">
        <v>1.5838537424201284</v>
      </c>
      <c r="M8" s="24">
        <v>1.5</v>
      </c>
      <c r="N8" s="24">
        <v>17.5</v>
      </c>
      <c r="O8" s="67">
        <v>12.18</v>
      </c>
      <c r="P8" s="76" t="s">
        <v>226</v>
      </c>
      <c r="T8" s="24"/>
      <c r="W8" s="65">
        <v>1</v>
      </c>
      <c r="X8" s="76" t="s">
        <v>202</v>
      </c>
      <c r="Y8" s="76">
        <v>5</v>
      </c>
      <c r="Z8" s="76" t="s">
        <v>205</v>
      </c>
    </row>
    <row r="9" spans="6:26" x14ac:dyDescent="0.3">
      <c r="F9" s="76">
        <v>2</v>
      </c>
      <c r="G9" s="67" t="s">
        <v>31</v>
      </c>
      <c r="H9" s="67">
        <v>6800</v>
      </c>
      <c r="I9" s="67">
        <v>220</v>
      </c>
      <c r="J9" s="24">
        <v>1</v>
      </c>
      <c r="K9" s="24">
        <v>0.87</v>
      </c>
      <c r="L9" s="74">
        <v>35.527690700104493</v>
      </c>
      <c r="M9" s="24">
        <v>10</v>
      </c>
      <c r="N9" s="24">
        <v>57</v>
      </c>
      <c r="O9" s="67">
        <v>49.589999999999996</v>
      </c>
      <c r="P9" s="76" t="s">
        <v>226</v>
      </c>
      <c r="T9" s="24"/>
      <c r="W9" s="65">
        <v>2</v>
      </c>
      <c r="X9" s="76">
        <v>2</v>
      </c>
      <c r="Y9" s="76">
        <v>3</v>
      </c>
      <c r="Z9" s="76" t="s">
        <v>206</v>
      </c>
    </row>
    <row r="10" spans="6:26" x14ac:dyDescent="0.3">
      <c r="F10" s="76">
        <v>3</v>
      </c>
      <c r="G10" s="67" t="s">
        <v>61</v>
      </c>
      <c r="H10" s="67">
        <v>1200</v>
      </c>
      <c r="I10" s="67">
        <v>127</v>
      </c>
      <c r="J10" s="24">
        <v>1</v>
      </c>
      <c r="K10" s="24">
        <v>0.87</v>
      </c>
      <c r="L10" s="74">
        <v>10.860711376595166</v>
      </c>
      <c r="M10" s="24">
        <v>2.5</v>
      </c>
      <c r="N10" s="24">
        <v>24</v>
      </c>
      <c r="O10" s="67">
        <v>20.88</v>
      </c>
      <c r="P10" s="76" t="s">
        <v>226</v>
      </c>
      <c r="T10" s="24"/>
      <c r="W10" s="65">
        <v>3</v>
      </c>
      <c r="X10" s="76">
        <v>3</v>
      </c>
      <c r="Y10" s="76">
        <v>3</v>
      </c>
      <c r="Z10" s="76" t="s">
        <v>205</v>
      </c>
    </row>
    <row r="11" spans="6:26" x14ac:dyDescent="0.3">
      <c r="F11" s="76">
        <v>4</v>
      </c>
      <c r="G11" s="67" t="s">
        <v>60</v>
      </c>
      <c r="H11" s="67">
        <v>700</v>
      </c>
      <c r="I11" s="67">
        <v>127</v>
      </c>
      <c r="J11" s="24">
        <v>0.8</v>
      </c>
      <c r="K11" s="24">
        <v>0.87</v>
      </c>
      <c r="L11" s="74">
        <v>7.9192687121006422</v>
      </c>
      <c r="M11" s="24">
        <v>2.5</v>
      </c>
      <c r="N11" s="24">
        <v>24</v>
      </c>
      <c r="O11" s="67">
        <v>16.704000000000001</v>
      </c>
      <c r="P11" s="76" t="s">
        <v>226</v>
      </c>
      <c r="T11" s="24"/>
      <c r="W11" s="65">
        <v>4</v>
      </c>
      <c r="X11" s="76" t="s">
        <v>203</v>
      </c>
      <c r="Y11" s="76">
        <v>6</v>
      </c>
      <c r="Z11" s="76" t="s">
        <v>205</v>
      </c>
    </row>
    <row r="12" spans="6:26" ht="28.8" x14ac:dyDescent="0.3">
      <c r="F12" s="76">
        <v>5</v>
      </c>
      <c r="G12" s="67" t="s">
        <v>68</v>
      </c>
      <c r="H12" s="67">
        <v>1100</v>
      </c>
      <c r="I12" s="67">
        <v>127</v>
      </c>
      <c r="J12" s="24">
        <v>1</v>
      </c>
      <c r="K12" s="24">
        <v>0.87</v>
      </c>
      <c r="L12" s="74">
        <v>9.9556520952122369</v>
      </c>
      <c r="M12" s="24">
        <v>2.5</v>
      </c>
      <c r="N12" s="24">
        <v>24</v>
      </c>
      <c r="O12" s="67">
        <v>20.88</v>
      </c>
      <c r="P12" s="76" t="s">
        <v>226</v>
      </c>
      <c r="T12" s="24"/>
      <c r="W12" s="65">
        <v>5</v>
      </c>
      <c r="X12" s="76">
        <v>5</v>
      </c>
      <c r="Y12" s="76">
        <v>3</v>
      </c>
      <c r="Z12" s="76" t="s">
        <v>205</v>
      </c>
    </row>
    <row r="13" spans="6:26" x14ac:dyDescent="0.3">
      <c r="F13" s="76">
        <v>6</v>
      </c>
      <c r="G13" s="67" t="s">
        <v>67</v>
      </c>
      <c r="H13" s="67">
        <v>300</v>
      </c>
      <c r="I13" s="67">
        <v>127</v>
      </c>
      <c r="J13" s="24">
        <v>0.8</v>
      </c>
      <c r="K13" s="24">
        <v>0.87</v>
      </c>
      <c r="L13" s="74">
        <v>3.3939723051859891</v>
      </c>
      <c r="M13" s="24">
        <v>2.5</v>
      </c>
      <c r="N13" s="24">
        <v>24</v>
      </c>
      <c r="O13" s="67">
        <v>16.704000000000001</v>
      </c>
      <c r="P13" s="76" t="s">
        <v>226</v>
      </c>
      <c r="T13" s="24"/>
      <c r="W13" s="65">
        <v>6</v>
      </c>
      <c r="X13" s="76">
        <v>7</v>
      </c>
      <c r="Y13" s="76">
        <v>3</v>
      </c>
      <c r="Z13" s="76" t="s">
        <v>205</v>
      </c>
    </row>
    <row r="14" spans="6:26" x14ac:dyDescent="0.3">
      <c r="F14" s="76">
        <v>7</v>
      </c>
      <c r="G14" s="24" t="s">
        <v>69</v>
      </c>
      <c r="H14" s="24">
        <v>300</v>
      </c>
      <c r="I14" s="24">
        <v>127</v>
      </c>
      <c r="J14" s="24">
        <v>0.8</v>
      </c>
      <c r="K14" s="24">
        <v>0.87</v>
      </c>
      <c r="L14" s="75">
        <v>3.3939723051859891</v>
      </c>
      <c r="M14" s="24">
        <v>2.5</v>
      </c>
      <c r="N14" s="24">
        <v>24</v>
      </c>
      <c r="O14" s="24">
        <v>16.704000000000001</v>
      </c>
      <c r="P14" s="76" t="s">
        <v>226</v>
      </c>
      <c r="T14" s="24"/>
      <c r="W14" s="65">
        <v>7</v>
      </c>
      <c r="X14" s="76">
        <v>9</v>
      </c>
      <c r="Y14" s="76">
        <v>3</v>
      </c>
      <c r="Z14" s="76" t="s">
        <v>205</v>
      </c>
    </row>
    <row r="15" spans="6:26" x14ac:dyDescent="0.3">
      <c r="F15" s="76">
        <v>8</v>
      </c>
      <c r="G15" s="24" t="s">
        <v>70</v>
      </c>
      <c r="H15" s="24">
        <v>1200</v>
      </c>
      <c r="I15" s="24">
        <v>127</v>
      </c>
      <c r="J15" s="24">
        <v>1</v>
      </c>
      <c r="K15" s="24">
        <v>0.87</v>
      </c>
      <c r="L15" s="75">
        <v>10.860711376595166</v>
      </c>
      <c r="M15" s="24">
        <v>2.5</v>
      </c>
      <c r="N15" s="24">
        <v>24</v>
      </c>
      <c r="O15" s="24">
        <v>20.88</v>
      </c>
      <c r="P15" s="76" t="s">
        <v>226</v>
      </c>
      <c r="T15" s="24"/>
      <c r="W15" s="65">
        <v>8</v>
      </c>
      <c r="X15" s="76">
        <v>10</v>
      </c>
      <c r="Y15" s="76">
        <v>3</v>
      </c>
      <c r="Z15" s="76" t="s">
        <v>205</v>
      </c>
    </row>
    <row r="16" spans="6:26" x14ac:dyDescent="0.3">
      <c r="F16" s="76">
        <v>9</v>
      </c>
      <c r="G16" s="24" t="s">
        <v>33</v>
      </c>
      <c r="H16" s="24">
        <v>1000</v>
      </c>
      <c r="I16" s="24">
        <v>220</v>
      </c>
      <c r="J16" s="24">
        <v>1</v>
      </c>
      <c r="K16" s="24">
        <v>0.87</v>
      </c>
      <c r="L16" s="75">
        <v>5.2246603970741905</v>
      </c>
      <c r="M16" s="24">
        <v>2.5</v>
      </c>
      <c r="N16" s="24">
        <v>24</v>
      </c>
      <c r="O16" s="24">
        <v>20.88</v>
      </c>
      <c r="P16" s="76" t="s">
        <v>226</v>
      </c>
      <c r="T16" s="24"/>
    </row>
    <row r="17" spans="7:16" x14ac:dyDescent="0.3">
      <c r="G17" s="24"/>
      <c r="H17" s="24"/>
      <c r="I17" s="24"/>
      <c r="J17" s="24"/>
      <c r="K17" s="24"/>
      <c r="L17" s="24"/>
      <c r="M17" s="24"/>
      <c r="N17" s="24"/>
      <c r="O17" s="24"/>
      <c r="P17" s="24"/>
    </row>
    <row r="21" spans="7:16" x14ac:dyDescent="0.3">
      <c r="G21" s="68"/>
    </row>
  </sheetData>
  <mergeCells count="2">
    <mergeCell ref="W6:Z6"/>
    <mergeCell ref="F6:P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4B98-B227-4392-933E-13A65BE7B597}">
  <dimension ref="G5:S19"/>
  <sheetViews>
    <sheetView topLeftCell="A4" zoomScale="85" zoomScaleNormal="85" workbookViewId="0">
      <selection activeCell="J17" sqref="J17"/>
    </sheetView>
  </sheetViews>
  <sheetFormatPr defaultRowHeight="14.4" x14ac:dyDescent="0.3"/>
  <cols>
    <col min="1" max="7" width="8.88671875" style="76"/>
    <col min="8" max="8" width="13" style="76" customWidth="1"/>
    <col min="9" max="15" width="8.88671875" style="76"/>
    <col min="16" max="16" width="12" style="76" customWidth="1"/>
    <col min="17" max="17" width="12.21875" style="76" bestFit="1" customWidth="1"/>
    <col min="18" max="18" width="8.88671875" style="76"/>
    <col min="19" max="19" width="11.88671875" style="76" bestFit="1" customWidth="1"/>
    <col min="20" max="16384" width="8.88671875" style="76"/>
  </cols>
  <sheetData>
    <row r="5" spans="7:19" x14ac:dyDescent="0.3">
      <c r="I5" s="80"/>
    </row>
    <row r="8" spans="7:19" x14ac:dyDescent="0.3">
      <c r="O8" s="101" t="s">
        <v>141</v>
      </c>
      <c r="P8" s="101" t="s">
        <v>148</v>
      </c>
      <c r="Q8" s="104" t="s">
        <v>215</v>
      </c>
      <c r="R8" s="104"/>
      <c r="S8" s="104"/>
    </row>
    <row r="9" spans="7:19" x14ac:dyDescent="0.3">
      <c r="G9" s="101" t="s">
        <v>141</v>
      </c>
      <c r="H9" s="101" t="s">
        <v>148</v>
      </c>
      <c r="I9" s="104" t="s">
        <v>221</v>
      </c>
      <c r="J9" s="104"/>
      <c r="K9" s="104"/>
      <c r="L9" s="104"/>
      <c r="M9" s="104"/>
      <c r="O9" s="101"/>
      <c r="P9" s="101"/>
      <c r="Q9" s="78" t="s">
        <v>216</v>
      </c>
      <c r="R9" s="102" t="s">
        <v>220</v>
      </c>
      <c r="S9" s="78" t="s">
        <v>218</v>
      </c>
    </row>
    <row r="10" spans="7:19" x14ac:dyDescent="0.3">
      <c r="G10" s="101"/>
      <c r="H10" s="101"/>
      <c r="I10" s="77" t="s">
        <v>214</v>
      </c>
      <c r="J10" s="82" t="s">
        <v>220</v>
      </c>
      <c r="K10" s="77" t="s">
        <v>194</v>
      </c>
      <c r="L10" s="82" t="s">
        <v>220</v>
      </c>
      <c r="M10" s="77" t="s">
        <v>193</v>
      </c>
      <c r="O10" s="101"/>
      <c r="P10" s="101"/>
      <c r="Q10" s="78" t="s">
        <v>217</v>
      </c>
      <c r="R10" s="103"/>
      <c r="S10" s="78" t="s">
        <v>219</v>
      </c>
    </row>
    <row r="11" spans="7:19" x14ac:dyDescent="0.3">
      <c r="G11" s="79">
        <v>1</v>
      </c>
      <c r="H11" s="79" t="s">
        <v>101</v>
      </c>
      <c r="I11" s="79">
        <v>1.58</v>
      </c>
      <c r="J11" s="81" t="s">
        <v>220</v>
      </c>
      <c r="K11" s="79">
        <v>10</v>
      </c>
      <c r="L11" s="81" t="s">
        <v>220</v>
      </c>
      <c r="M11" s="61">
        <v>12.18</v>
      </c>
      <c r="O11" s="79">
        <v>1</v>
      </c>
      <c r="P11" s="79" t="s">
        <v>101</v>
      </c>
      <c r="Q11" s="61">
        <f>1.35*K11</f>
        <v>13.5</v>
      </c>
      <c r="R11" s="81" t="s">
        <v>220</v>
      </c>
      <c r="S11" s="61">
        <f>1.45*M11</f>
        <v>17.660999999999998</v>
      </c>
    </row>
    <row r="12" spans="7:19" x14ac:dyDescent="0.3">
      <c r="G12" s="79">
        <v>2</v>
      </c>
      <c r="H12" s="79" t="s">
        <v>76</v>
      </c>
      <c r="I12" s="79">
        <v>35.53</v>
      </c>
      <c r="J12" s="81" t="s">
        <v>220</v>
      </c>
      <c r="K12" s="79">
        <v>50</v>
      </c>
      <c r="L12" s="81" t="s">
        <v>220</v>
      </c>
      <c r="M12" s="61">
        <v>49.589999999999996</v>
      </c>
      <c r="O12" s="79">
        <v>2</v>
      </c>
      <c r="P12" s="79" t="s">
        <v>76</v>
      </c>
      <c r="Q12" s="61">
        <f t="shared" ref="Q12:Q19" si="0">1.35*K12</f>
        <v>67.5</v>
      </c>
      <c r="R12" s="81" t="s">
        <v>220</v>
      </c>
      <c r="S12" s="61">
        <f t="shared" ref="S12:S19" si="1">1.45*M12</f>
        <v>71.905499999999989</v>
      </c>
    </row>
    <row r="13" spans="7:19" ht="43.2" x14ac:dyDescent="0.3">
      <c r="G13" s="79">
        <v>3</v>
      </c>
      <c r="H13" s="79" t="s">
        <v>207</v>
      </c>
      <c r="I13" s="79">
        <v>10.86</v>
      </c>
      <c r="J13" s="81" t="s">
        <v>220</v>
      </c>
      <c r="K13" s="79">
        <v>16</v>
      </c>
      <c r="L13" s="81" t="s">
        <v>220</v>
      </c>
      <c r="M13" s="61">
        <v>20.88</v>
      </c>
      <c r="O13" s="79">
        <v>3</v>
      </c>
      <c r="P13" s="79" t="s">
        <v>207</v>
      </c>
      <c r="Q13" s="61">
        <f t="shared" si="0"/>
        <v>21.6</v>
      </c>
      <c r="R13" s="81" t="s">
        <v>220</v>
      </c>
      <c r="S13" s="61">
        <f t="shared" si="1"/>
        <v>30.275999999999996</v>
      </c>
    </row>
    <row r="14" spans="7:19" ht="43.2" x14ac:dyDescent="0.3">
      <c r="G14" s="79">
        <v>4</v>
      </c>
      <c r="H14" s="79" t="s">
        <v>208</v>
      </c>
      <c r="I14" s="79">
        <v>5.52</v>
      </c>
      <c r="J14" s="81" t="s">
        <v>220</v>
      </c>
      <c r="K14" s="79">
        <v>10</v>
      </c>
      <c r="L14" s="81" t="s">
        <v>220</v>
      </c>
      <c r="M14" s="61">
        <v>16.704000000000001</v>
      </c>
      <c r="O14" s="79">
        <v>4</v>
      </c>
      <c r="P14" s="79" t="s">
        <v>208</v>
      </c>
      <c r="Q14" s="61">
        <f t="shared" si="0"/>
        <v>13.5</v>
      </c>
      <c r="R14" s="81" t="s">
        <v>220</v>
      </c>
      <c r="S14" s="61">
        <f t="shared" si="1"/>
        <v>24.220800000000001</v>
      </c>
    </row>
    <row r="15" spans="7:19" ht="43.2" x14ac:dyDescent="0.3">
      <c r="G15" s="79">
        <v>5</v>
      </c>
      <c r="H15" s="79" t="s">
        <v>209</v>
      </c>
      <c r="I15" s="79">
        <v>9.9600000000000009</v>
      </c>
      <c r="J15" s="81" t="s">
        <v>220</v>
      </c>
      <c r="K15" s="79">
        <v>16</v>
      </c>
      <c r="L15" s="81" t="s">
        <v>220</v>
      </c>
      <c r="M15" s="61">
        <v>20.88</v>
      </c>
      <c r="O15" s="79">
        <v>5</v>
      </c>
      <c r="P15" s="79" t="s">
        <v>209</v>
      </c>
      <c r="Q15" s="61">
        <f t="shared" si="0"/>
        <v>21.6</v>
      </c>
      <c r="R15" s="81" t="s">
        <v>220</v>
      </c>
      <c r="S15" s="61">
        <f t="shared" si="1"/>
        <v>30.275999999999996</v>
      </c>
    </row>
    <row r="16" spans="7:19" ht="28.8" x14ac:dyDescent="0.3">
      <c r="G16" s="79">
        <v>6</v>
      </c>
      <c r="H16" s="79" t="s">
        <v>210</v>
      </c>
      <c r="I16" s="79">
        <v>3.39</v>
      </c>
      <c r="J16" s="81" t="s">
        <v>220</v>
      </c>
      <c r="K16" s="79">
        <v>10</v>
      </c>
      <c r="L16" s="81" t="s">
        <v>220</v>
      </c>
      <c r="M16" s="61">
        <v>16.704000000000001</v>
      </c>
      <c r="O16" s="79">
        <v>6</v>
      </c>
      <c r="P16" s="79" t="s">
        <v>210</v>
      </c>
      <c r="Q16" s="61">
        <f t="shared" si="0"/>
        <v>13.5</v>
      </c>
      <c r="R16" s="81" t="s">
        <v>220</v>
      </c>
      <c r="S16" s="61">
        <f t="shared" si="1"/>
        <v>24.220800000000001</v>
      </c>
    </row>
    <row r="17" spans="7:19" ht="43.2" x14ac:dyDescent="0.3">
      <c r="G17" s="79">
        <v>7</v>
      </c>
      <c r="H17" s="79" t="s">
        <v>211</v>
      </c>
      <c r="I17" s="79">
        <v>3.39</v>
      </c>
      <c r="J17" s="81" t="s">
        <v>220</v>
      </c>
      <c r="K17" s="79">
        <v>10</v>
      </c>
      <c r="L17" s="81" t="s">
        <v>220</v>
      </c>
      <c r="M17" s="61">
        <v>16.704000000000001</v>
      </c>
      <c r="O17" s="79">
        <v>7</v>
      </c>
      <c r="P17" s="79" t="s">
        <v>211</v>
      </c>
      <c r="Q17" s="61">
        <f t="shared" si="0"/>
        <v>13.5</v>
      </c>
      <c r="R17" s="81" t="s">
        <v>220</v>
      </c>
      <c r="S17" s="61">
        <f t="shared" si="1"/>
        <v>24.220800000000001</v>
      </c>
    </row>
    <row r="18" spans="7:19" ht="43.2" x14ac:dyDescent="0.3">
      <c r="G18" s="79">
        <v>8</v>
      </c>
      <c r="H18" s="79" t="s">
        <v>212</v>
      </c>
      <c r="I18" s="79">
        <v>10.86</v>
      </c>
      <c r="J18" s="81" t="s">
        <v>220</v>
      </c>
      <c r="K18" s="79">
        <v>16</v>
      </c>
      <c r="L18" s="81" t="s">
        <v>220</v>
      </c>
      <c r="M18" s="61">
        <v>20.88</v>
      </c>
      <c r="O18" s="79">
        <v>8</v>
      </c>
      <c r="P18" s="79" t="s">
        <v>212</v>
      </c>
      <c r="Q18" s="61">
        <f t="shared" si="0"/>
        <v>21.6</v>
      </c>
      <c r="R18" s="81" t="s">
        <v>220</v>
      </c>
      <c r="S18" s="61">
        <f t="shared" si="1"/>
        <v>30.275999999999996</v>
      </c>
    </row>
    <row r="19" spans="7:19" ht="43.2" x14ac:dyDescent="0.3">
      <c r="G19" s="79">
        <v>9</v>
      </c>
      <c r="H19" s="79" t="s">
        <v>213</v>
      </c>
      <c r="I19" s="79">
        <v>5.22</v>
      </c>
      <c r="J19" s="81" t="s">
        <v>220</v>
      </c>
      <c r="K19" s="79">
        <v>10</v>
      </c>
      <c r="L19" s="81" t="s">
        <v>220</v>
      </c>
      <c r="M19" s="61">
        <v>20.88</v>
      </c>
      <c r="O19" s="79">
        <v>9</v>
      </c>
      <c r="P19" s="79" t="s">
        <v>213</v>
      </c>
      <c r="Q19" s="61">
        <f t="shared" si="0"/>
        <v>13.5</v>
      </c>
      <c r="R19" s="81" t="s">
        <v>220</v>
      </c>
      <c r="S19" s="61">
        <f t="shared" si="1"/>
        <v>30.275999999999996</v>
      </c>
    </row>
  </sheetData>
  <mergeCells count="7">
    <mergeCell ref="G9:G10"/>
    <mergeCell ref="P8:P10"/>
    <mergeCell ref="O8:O10"/>
    <mergeCell ref="R9:R10"/>
    <mergeCell ref="Q8:S8"/>
    <mergeCell ref="I9:M9"/>
    <mergeCell ref="H9:H10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60DE-2C28-4FF3-AF0A-E5D7FE5B171B}">
  <dimension ref="G8:Q16"/>
  <sheetViews>
    <sheetView topLeftCell="B1" workbookViewId="0">
      <selection activeCell="G8" sqref="G8:J16"/>
    </sheetView>
  </sheetViews>
  <sheetFormatPr defaultRowHeight="14.4" x14ac:dyDescent="0.3"/>
  <cols>
    <col min="7" max="7" width="11.44140625" customWidth="1"/>
    <col min="8" max="8" width="17.6640625" customWidth="1"/>
    <col min="9" max="9" width="16.33203125" customWidth="1"/>
    <col min="10" max="10" width="15.6640625" customWidth="1"/>
  </cols>
  <sheetData>
    <row r="8" spans="7:17" ht="28.8" x14ac:dyDescent="0.3">
      <c r="G8" s="66" t="s">
        <v>149</v>
      </c>
      <c r="H8" s="66" t="s">
        <v>150</v>
      </c>
      <c r="I8" s="66" t="s">
        <v>151</v>
      </c>
      <c r="J8" s="66" t="s">
        <v>152</v>
      </c>
      <c r="N8" s="66"/>
      <c r="O8" s="66"/>
      <c r="P8" s="66"/>
      <c r="Q8" s="66"/>
    </row>
    <row r="9" spans="7:17" x14ac:dyDescent="0.3">
      <c r="G9" s="67" t="s">
        <v>102</v>
      </c>
      <c r="H9" s="67">
        <v>100</v>
      </c>
      <c r="I9" s="67">
        <v>121</v>
      </c>
      <c r="J9" s="67" t="s">
        <v>153</v>
      </c>
      <c r="N9" s="68"/>
      <c r="O9" s="68"/>
      <c r="P9" s="69"/>
      <c r="Q9" s="68"/>
    </row>
    <row r="10" spans="7:17" x14ac:dyDescent="0.3">
      <c r="G10" s="67" t="s">
        <v>103</v>
      </c>
      <c r="H10" s="67">
        <v>100</v>
      </c>
      <c r="I10" s="67">
        <v>129</v>
      </c>
      <c r="J10" s="67" t="s">
        <v>153</v>
      </c>
      <c r="N10" s="68"/>
      <c r="O10" s="68"/>
      <c r="P10" s="69"/>
      <c r="Q10" s="68"/>
    </row>
    <row r="11" spans="7:17" ht="28.8" x14ac:dyDescent="0.3">
      <c r="G11" s="67" t="s">
        <v>104</v>
      </c>
      <c r="H11" s="67">
        <v>200</v>
      </c>
      <c r="I11" s="67">
        <v>233</v>
      </c>
      <c r="J11" s="67" t="s">
        <v>154</v>
      </c>
      <c r="N11" s="68"/>
      <c r="O11" s="68"/>
      <c r="P11" s="69"/>
      <c r="Q11" s="68"/>
    </row>
    <row r="12" spans="7:17" x14ac:dyDescent="0.3">
      <c r="G12" s="67" t="s">
        <v>105</v>
      </c>
      <c r="H12" s="67">
        <v>100</v>
      </c>
      <c r="I12" s="67">
        <v>202</v>
      </c>
      <c r="J12" s="67" t="s">
        <v>155</v>
      </c>
      <c r="N12" s="68"/>
      <c r="O12" s="68"/>
      <c r="P12" s="69"/>
      <c r="Q12" s="68"/>
    </row>
    <row r="13" spans="7:17" x14ac:dyDescent="0.3">
      <c r="G13" s="67" t="s">
        <v>106</v>
      </c>
      <c r="H13" s="67">
        <v>100</v>
      </c>
      <c r="I13" s="67">
        <v>218</v>
      </c>
      <c r="J13" s="67" t="s">
        <v>156</v>
      </c>
      <c r="N13" s="68"/>
      <c r="O13" s="68"/>
      <c r="P13" s="69"/>
      <c r="Q13" s="68"/>
    </row>
    <row r="14" spans="7:17" ht="28.8" x14ac:dyDescent="0.3">
      <c r="G14" s="67" t="s">
        <v>112</v>
      </c>
      <c r="H14" s="67">
        <v>200</v>
      </c>
      <c r="I14" s="67">
        <v>254</v>
      </c>
      <c r="J14" s="67" t="s">
        <v>157</v>
      </c>
      <c r="N14" s="68"/>
      <c r="O14" s="68"/>
      <c r="P14" s="69"/>
      <c r="Q14" s="68"/>
    </row>
    <row r="15" spans="7:17" ht="28.8" x14ac:dyDescent="0.3">
      <c r="G15" s="67" t="s">
        <v>107</v>
      </c>
      <c r="H15" s="67">
        <v>200</v>
      </c>
      <c r="I15" s="67">
        <v>364</v>
      </c>
      <c r="J15" s="67" t="s">
        <v>158</v>
      </c>
      <c r="N15" s="68"/>
      <c r="O15" s="68"/>
      <c r="P15" s="69"/>
      <c r="Q15" s="68"/>
    </row>
    <row r="16" spans="7:17" ht="28.8" x14ac:dyDescent="0.3">
      <c r="G16" s="67" t="s">
        <v>160</v>
      </c>
      <c r="H16" s="67">
        <v>100</v>
      </c>
      <c r="I16" s="67">
        <v>106</v>
      </c>
      <c r="J16" s="67" t="s">
        <v>159</v>
      </c>
      <c r="N16" s="68"/>
      <c r="O16" s="68"/>
      <c r="P16" s="69"/>
      <c r="Q16" s="68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9A7E-AE9D-49B9-B8AF-E16A823C74DB}">
  <dimension ref="E4:J24"/>
  <sheetViews>
    <sheetView topLeftCell="C1" workbookViewId="0">
      <selection activeCell="F19" sqref="F19"/>
    </sheetView>
  </sheetViews>
  <sheetFormatPr defaultRowHeight="14.4" x14ac:dyDescent="0.3"/>
  <cols>
    <col min="5" max="5" width="36.21875" bestFit="1" customWidth="1"/>
    <col min="6" max="6" width="27.6640625" bestFit="1" customWidth="1"/>
    <col min="7" max="7" width="12.88671875" bestFit="1" customWidth="1"/>
    <col min="8" max="8" width="12.88671875" customWidth="1"/>
    <col min="9" max="9" width="12.5546875" bestFit="1" customWidth="1"/>
    <col min="10" max="10" width="16.6640625" bestFit="1" customWidth="1"/>
  </cols>
  <sheetData>
    <row r="4" spans="5:10" x14ac:dyDescent="0.3">
      <c r="E4" s="105" t="s">
        <v>98</v>
      </c>
      <c r="F4" s="105"/>
      <c r="G4" s="105"/>
      <c r="H4" s="105"/>
      <c r="I4" s="105"/>
      <c r="J4" s="105"/>
    </row>
    <row r="5" spans="5:10" x14ac:dyDescent="0.3">
      <c r="E5" s="105" t="s">
        <v>99</v>
      </c>
      <c r="F5" s="105" t="s">
        <v>100</v>
      </c>
      <c r="G5" s="105"/>
      <c r="H5" s="106" t="s">
        <v>101</v>
      </c>
      <c r="I5" s="107"/>
      <c r="J5" s="108"/>
    </row>
    <row r="6" spans="5:10" x14ac:dyDescent="0.3">
      <c r="E6" s="105"/>
      <c r="F6" s="62" t="s">
        <v>109</v>
      </c>
      <c r="G6" s="62" t="s">
        <v>110</v>
      </c>
      <c r="H6" s="62" t="s">
        <v>126</v>
      </c>
      <c r="I6" s="62" t="s">
        <v>111</v>
      </c>
      <c r="J6" s="62" t="s">
        <v>78</v>
      </c>
    </row>
    <row r="7" spans="5:10" x14ac:dyDescent="0.3">
      <c r="E7" s="62" t="s">
        <v>102</v>
      </c>
      <c r="F7" s="61">
        <v>7.7</v>
      </c>
      <c r="G7" s="61">
        <v>11.1</v>
      </c>
      <c r="H7" s="61">
        <v>1</v>
      </c>
      <c r="I7" s="61">
        <v>100</v>
      </c>
      <c r="J7" s="61">
        <v>100</v>
      </c>
    </row>
    <row r="8" spans="5:10" x14ac:dyDescent="0.3">
      <c r="E8" s="62" t="s">
        <v>103</v>
      </c>
      <c r="F8" s="61">
        <v>6.6</v>
      </c>
      <c r="G8" s="61">
        <v>10.7</v>
      </c>
      <c r="H8" s="61">
        <v>1</v>
      </c>
      <c r="I8" s="61">
        <v>100</v>
      </c>
      <c r="J8" s="61">
        <v>100</v>
      </c>
    </row>
    <row r="9" spans="5:10" x14ac:dyDescent="0.3">
      <c r="E9" s="62" t="s">
        <v>104</v>
      </c>
      <c r="F9" s="61">
        <v>2.7</v>
      </c>
      <c r="G9" s="61">
        <v>6.6</v>
      </c>
      <c r="H9" s="61">
        <v>1</v>
      </c>
      <c r="I9" s="61">
        <v>100</v>
      </c>
      <c r="J9" s="61">
        <v>100</v>
      </c>
    </row>
    <row r="10" spans="5:10" x14ac:dyDescent="0.3">
      <c r="E10" s="62" t="s">
        <v>105</v>
      </c>
      <c r="F10" s="61">
        <v>1.8</v>
      </c>
      <c r="G10" s="61">
        <v>6</v>
      </c>
      <c r="H10" s="61">
        <v>1</v>
      </c>
      <c r="I10" s="61">
        <v>100</v>
      </c>
      <c r="J10" s="61">
        <v>100</v>
      </c>
    </row>
    <row r="11" spans="5:10" x14ac:dyDescent="0.3">
      <c r="E11" s="62" t="s">
        <v>106</v>
      </c>
      <c r="F11" s="61">
        <v>4.24</v>
      </c>
      <c r="G11" s="61">
        <v>8.25</v>
      </c>
      <c r="H11" s="61">
        <v>1</v>
      </c>
      <c r="I11" s="61">
        <v>100</v>
      </c>
      <c r="J11" s="61">
        <v>100</v>
      </c>
    </row>
    <row r="12" spans="5:10" x14ac:dyDescent="0.3">
      <c r="E12" s="62" t="s">
        <v>107</v>
      </c>
      <c r="F12" s="61">
        <v>4.24</v>
      </c>
      <c r="G12" s="61">
        <v>8.25</v>
      </c>
      <c r="H12" s="61">
        <v>2</v>
      </c>
      <c r="I12" s="61">
        <v>80</v>
      </c>
      <c r="J12" s="61">
        <v>160</v>
      </c>
    </row>
    <row r="13" spans="5:10" x14ac:dyDescent="0.3">
      <c r="E13" s="62" t="s">
        <v>112</v>
      </c>
      <c r="F13" s="61">
        <v>10.6</v>
      </c>
      <c r="G13" s="61">
        <v>13.3</v>
      </c>
      <c r="H13" s="61">
        <v>2</v>
      </c>
      <c r="I13" s="61">
        <v>80</v>
      </c>
      <c r="J13" s="61">
        <v>160</v>
      </c>
    </row>
    <row r="14" spans="5:10" x14ac:dyDescent="0.3">
      <c r="E14" s="62" t="s">
        <v>108</v>
      </c>
      <c r="F14" s="61">
        <v>8.92</v>
      </c>
      <c r="G14" s="61">
        <v>12.3</v>
      </c>
      <c r="H14" s="61">
        <v>1</v>
      </c>
      <c r="I14" s="61">
        <v>100</v>
      </c>
      <c r="J14" s="61">
        <v>100</v>
      </c>
    </row>
    <row r="17" spans="5:7" x14ac:dyDescent="0.3">
      <c r="E17" t="s">
        <v>113</v>
      </c>
      <c r="F17" t="s">
        <v>121</v>
      </c>
      <c r="G17" t="s">
        <v>124</v>
      </c>
    </row>
    <row r="18" spans="5:7" x14ac:dyDescent="0.3">
      <c r="E18" t="s">
        <v>114</v>
      </c>
      <c r="F18" t="s">
        <v>121</v>
      </c>
      <c r="G18" t="s">
        <v>124</v>
      </c>
    </row>
    <row r="19" spans="5:7" x14ac:dyDescent="0.3">
      <c r="E19" t="s">
        <v>115</v>
      </c>
      <c r="F19" t="s">
        <v>121</v>
      </c>
      <c r="G19" t="s">
        <v>124</v>
      </c>
    </row>
    <row r="20" spans="5:7" x14ac:dyDescent="0.3">
      <c r="E20" s="63" t="s">
        <v>116</v>
      </c>
      <c r="F20" t="s">
        <v>121</v>
      </c>
      <c r="G20" t="s">
        <v>124</v>
      </c>
    </row>
    <row r="21" spans="5:7" x14ac:dyDescent="0.3">
      <c r="E21" s="63" t="s">
        <v>117</v>
      </c>
      <c r="F21" t="s">
        <v>121</v>
      </c>
      <c r="G21" t="s">
        <v>124</v>
      </c>
    </row>
    <row r="22" spans="5:7" x14ac:dyDescent="0.3">
      <c r="E22" s="63" t="s">
        <v>118</v>
      </c>
      <c r="F22" t="s">
        <v>121</v>
      </c>
      <c r="G22" t="s">
        <v>124</v>
      </c>
    </row>
    <row r="23" spans="5:7" x14ac:dyDescent="0.3">
      <c r="E23" s="63" t="s">
        <v>119</v>
      </c>
      <c r="F23" t="s">
        <v>122</v>
      </c>
      <c r="G23" t="s">
        <v>125</v>
      </c>
    </row>
    <row r="24" spans="5:7" x14ac:dyDescent="0.3">
      <c r="E24" s="63" t="s">
        <v>120</v>
      </c>
      <c r="F24" t="s">
        <v>123</v>
      </c>
      <c r="G24" t="s">
        <v>124</v>
      </c>
    </row>
  </sheetData>
  <mergeCells count="4">
    <mergeCell ref="F5:G5"/>
    <mergeCell ref="E5:E6"/>
    <mergeCell ref="E4:J4"/>
    <mergeCell ref="H5:J5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9E55-DF5D-4776-AA4A-F20972D0B46F}">
  <dimension ref="D7:S41"/>
  <sheetViews>
    <sheetView topLeftCell="B4" workbookViewId="0">
      <selection activeCell="D20" sqref="D20:D27"/>
    </sheetView>
  </sheetViews>
  <sheetFormatPr defaultRowHeight="14.4" x14ac:dyDescent="0.3"/>
  <cols>
    <col min="4" max="4" width="18.44140625" bestFit="1" customWidth="1"/>
    <col min="5" max="5" width="9.109375" bestFit="1" customWidth="1"/>
    <col min="6" max="6" width="12.88671875" bestFit="1" customWidth="1"/>
    <col min="7" max="7" width="9.5546875" bestFit="1" customWidth="1"/>
    <col min="8" max="8" width="12.5546875" bestFit="1" customWidth="1"/>
    <col min="9" max="9" width="12.5546875" customWidth="1"/>
    <col min="10" max="10" width="16.6640625" bestFit="1" customWidth="1"/>
    <col min="13" max="13" width="18.44140625" bestFit="1" customWidth="1"/>
    <col min="14" max="14" width="10.109375" bestFit="1" customWidth="1"/>
  </cols>
  <sheetData>
    <row r="7" spans="4:19" x14ac:dyDescent="0.3">
      <c r="D7" s="105" t="s">
        <v>127</v>
      </c>
      <c r="E7" s="105"/>
      <c r="F7" s="105"/>
      <c r="G7" s="105"/>
      <c r="H7" s="105"/>
      <c r="I7" s="105"/>
      <c r="J7" s="105"/>
      <c r="M7" s="106" t="s">
        <v>127</v>
      </c>
      <c r="N7" s="107"/>
      <c r="O7" s="108"/>
      <c r="P7" s="71"/>
      <c r="Q7" s="71"/>
      <c r="R7" s="71"/>
      <c r="S7" s="71"/>
    </row>
    <row r="8" spans="4:19" x14ac:dyDescent="0.3">
      <c r="D8" s="105" t="s">
        <v>99</v>
      </c>
      <c r="E8" s="105" t="s">
        <v>100</v>
      </c>
      <c r="F8" s="105"/>
      <c r="G8" s="106" t="s">
        <v>128</v>
      </c>
      <c r="H8" s="107"/>
      <c r="I8" s="107"/>
      <c r="J8" s="108"/>
      <c r="M8" s="105" t="s">
        <v>99</v>
      </c>
      <c r="N8" s="106" t="s">
        <v>137</v>
      </c>
      <c r="O8" s="108"/>
    </row>
    <row r="9" spans="4:19" x14ac:dyDescent="0.3">
      <c r="D9" s="105"/>
      <c r="E9" s="62" t="s">
        <v>109</v>
      </c>
      <c r="F9" s="62" t="s">
        <v>110</v>
      </c>
      <c r="G9" s="62" t="s">
        <v>126</v>
      </c>
      <c r="H9" s="62" t="s">
        <v>111</v>
      </c>
      <c r="I9" s="62" t="s">
        <v>18</v>
      </c>
      <c r="J9" s="62" t="s">
        <v>84</v>
      </c>
      <c r="M9" s="105"/>
      <c r="N9" s="62" t="s">
        <v>138</v>
      </c>
      <c r="O9" s="62" t="s">
        <v>139</v>
      </c>
    </row>
    <row r="10" spans="4:19" x14ac:dyDescent="0.3">
      <c r="D10" s="62" t="s">
        <v>102</v>
      </c>
      <c r="E10" s="61">
        <v>7.7</v>
      </c>
      <c r="F10" s="61">
        <v>11.1</v>
      </c>
      <c r="G10" s="61">
        <v>3</v>
      </c>
      <c r="H10" s="61">
        <v>100</v>
      </c>
      <c r="I10" s="61">
        <v>0.8</v>
      </c>
      <c r="J10" s="61">
        <f>H10*G10</f>
        <v>300</v>
      </c>
      <c r="M10" s="62" t="s">
        <v>104</v>
      </c>
      <c r="N10" s="64" t="s">
        <v>76</v>
      </c>
      <c r="O10" s="64">
        <v>6800</v>
      </c>
    </row>
    <row r="11" spans="4:19" x14ac:dyDescent="0.3">
      <c r="D11" s="62" t="s">
        <v>103</v>
      </c>
      <c r="E11" s="61">
        <v>6.6</v>
      </c>
      <c r="F11" s="61">
        <v>10.7</v>
      </c>
      <c r="G11" s="61">
        <v>3</v>
      </c>
      <c r="H11" s="61">
        <v>100</v>
      </c>
      <c r="I11" s="61">
        <v>0.8</v>
      </c>
      <c r="J11" s="61">
        <f t="shared" ref="J11:J17" si="0">H11*G11</f>
        <v>300</v>
      </c>
      <c r="M11" s="62" t="s">
        <v>102</v>
      </c>
      <c r="N11" s="64" t="s">
        <v>140</v>
      </c>
      <c r="O11" s="64">
        <v>1000</v>
      </c>
    </row>
    <row r="12" spans="4:19" x14ac:dyDescent="0.3">
      <c r="D12" s="62" t="s">
        <v>104</v>
      </c>
      <c r="E12" s="61">
        <v>2.7</v>
      </c>
      <c r="F12" s="61">
        <v>6.6</v>
      </c>
      <c r="G12" s="52">
        <v>2</v>
      </c>
      <c r="H12" s="61">
        <v>600</v>
      </c>
      <c r="I12" s="61">
        <v>0.8</v>
      </c>
      <c r="J12" s="61">
        <f t="shared" si="0"/>
        <v>1200</v>
      </c>
    </row>
    <row r="13" spans="4:19" x14ac:dyDescent="0.3">
      <c r="D13" s="62" t="s">
        <v>105</v>
      </c>
      <c r="E13" s="61">
        <v>1.8</v>
      </c>
      <c r="F13" s="61">
        <v>6</v>
      </c>
      <c r="G13" s="61">
        <v>0</v>
      </c>
      <c r="H13" s="61">
        <v>100</v>
      </c>
      <c r="I13" s="61">
        <v>0.8</v>
      </c>
      <c r="J13" s="61">
        <f t="shared" si="0"/>
        <v>0</v>
      </c>
    </row>
    <row r="14" spans="4:19" x14ac:dyDescent="0.3">
      <c r="D14" s="62" t="s">
        <v>106</v>
      </c>
      <c r="E14" s="61">
        <v>4.24</v>
      </c>
      <c r="F14" s="61">
        <v>8.25</v>
      </c>
      <c r="G14" s="61">
        <v>3</v>
      </c>
      <c r="H14" s="61">
        <v>100</v>
      </c>
      <c r="I14" s="61">
        <v>0.8</v>
      </c>
      <c r="J14" s="61">
        <f t="shared" si="0"/>
        <v>300</v>
      </c>
    </row>
    <row r="15" spans="4:19" x14ac:dyDescent="0.3">
      <c r="D15" s="62" t="s">
        <v>107</v>
      </c>
      <c r="E15" s="61">
        <v>4.24</v>
      </c>
      <c r="F15" s="61">
        <v>8.25</v>
      </c>
      <c r="G15" s="61">
        <v>4</v>
      </c>
      <c r="H15" s="61">
        <v>80</v>
      </c>
      <c r="I15" s="61">
        <v>0.8</v>
      </c>
      <c r="J15" s="61">
        <f t="shared" si="0"/>
        <v>320</v>
      </c>
    </row>
    <row r="16" spans="4:19" x14ac:dyDescent="0.3">
      <c r="D16" s="62" t="s">
        <v>112</v>
      </c>
      <c r="E16" s="61">
        <v>10.6</v>
      </c>
      <c r="F16" s="61">
        <v>13.3</v>
      </c>
      <c r="G16" s="61">
        <v>3</v>
      </c>
      <c r="H16" s="61">
        <v>80</v>
      </c>
      <c r="I16" s="61">
        <v>0.8</v>
      </c>
      <c r="J16" s="61">
        <f t="shared" si="0"/>
        <v>240</v>
      </c>
    </row>
    <row r="17" spans="4:10" x14ac:dyDescent="0.3">
      <c r="D17" s="62" t="s">
        <v>108</v>
      </c>
      <c r="E17" s="61">
        <v>8.92</v>
      </c>
      <c r="F17" s="61">
        <v>12.3</v>
      </c>
      <c r="G17" s="52">
        <v>4</v>
      </c>
      <c r="H17" s="61">
        <v>100</v>
      </c>
      <c r="I17" s="61">
        <v>0.8</v>
      </c>
      <c r="J17" s="61">
        <f t="shared" si="0"/>
        <v>400</v>
      </c>
    </row>
    <row r="20" spans="4:10" x14ac:dyDescent="0.3">
      <c r="D20" s="70" t="s">
        <v>129</v>
      </c>
    </row>
    <row r="21" spans="4:10" x14ac:dyDescent="0.3">
      <c r="D21" t="s">
        <v>130</v>
      </c>
    </row>
    <row r="22" spans="4:10" x14ac:dyDescent="0.3">
      <c r="D22" t="s">
        <v>131</v>
      </c>
    </row>
    <row r="23" spans="4:10" x14ac:dyDescent="0.3">
      <c r="D23" s="63" t="s">
        <v>132</v>
      </c>
    </row>
    <row r="24" spans="4:10" x14ac:dyDescent="0.3">
      <c r="D24" s="63" t="s">
        <v>133</v>
      </c>
    </row>
    <row r="25" spans="4:10" x14ac:dyDescent="0.3">
      <c r="D25" s="63" t="s">
        <v>134</v>
      </c>
    </row>
    <row r="26" spans="4:10" x14ac:dyDescent="0.3">
      <c r="D26" s="63" t="s">
        <v>136</v>
      </c>
    </row>
    <row r="27" spans="4:10" x14ac:dyDescent="0.3">
      <c r="D27" s="63" t="s">
        <v>135</v>
      </c>
    </row>
    <row r="31" spans="4:10" ht="57.6" x14ac:dyDescent="0.3">
      <c r="D31" s="66" t="s">
        <v>149</v>
      </c>
      <c r="E31" s="66" t="s">
        <v>161</v>
      </c>
      <c r="F31" s="66" t="s">
        <v>162</v>
      </c>
      <c r="G31" s="66" t="s">
        <v>163</v>
      </c>
      <c r="H31" s="66" t="s">
        <v>84</v>
      </c>
      <c r="I31" s="66" t="s">
        <v>152</v>
      </c>
    </row>
    <row r="32" spans="4:10" ht="43.2" x14ac:dyDescent="0.3">
      <c r="D32" s="68" t="s">
        <v>102</v>
      </c>
      <c r="E32" s="68" t="s">
        <v>164</v>
      </c>
      <c r="F32" s="68"/>
      <c r="G32" s="68"/>
      <c r="H32" s="68"/>
      <c r="I32" s="68" t="s">
        <v>165</v>
      </c>
    </row>
    <row r="33" spans="4:9" x14ac:dyDescent="0.3">
      <c r="D33" s="68" t="s">
        <v>103</v>
      </c>
      <c r="E33" s="68" t="s">
        <v>164</v>
      </c>
      <c r="F33" s="68"/>
      <c r="G33" s="68"/>
      <c r="H33" s="68"/>
      <c r="I33" s="68"/>
    </row>
    <row r="34" spans="4:9" ht="28.8" x14ac:dyDescent="0.3">
      <c r="D34" s="68" t="s">
        <v>104</v>
      </c>
      <c r="E34" s="68" t="s">
        <v>164</v>
      </c>
      <c r="F34" s="68"/>
      <c r="G34" s="68"/>
      <c r="H34" s="68"/>
      <c r="I34" s="68" t="s">
        <v>166</v>
      </c>
    </row>
    <row r="35" spans="4:9" ht="28.8" x14ac:dyDescent="0.3">
      <c r="D35" s="68" t="s">
        <v>106</v>
      </c>
      <c r="E35" s="68" t="s">
        <v>164</v>
      </c>
      <c r="F35" s="68"/>
      <c r="G35" s="68"/>
      <c r="H35" s="68"/>
      <c r="I35" s="68" t="s">
        <v>167</v>
      </c>
    </row>
    <row r="36" spans="4:9" ht="43.2" x14ac:dyDescent="0.3">
      <c r="D36" s="68" t="s">
        <v>107</v>
      </c>
      <c r="E36" s="68" t="s">
        <v>164</v>
      </c>
      <c r="F36" s="68"/>
      <c r="G36" s="68"/>
      <c r="H36" s="68"/>
      <c r="I36" s="68" t="s">
        <v>168</v>
      </c>
    </row>
    <row r="37" spans="4:9" ht="57.6" x14ac:dyDescent="0.3">
      <c r="D37" s="68" t="s">
        <v>107</v>
      </c>
      <c r="E37" s="68" t="s">
        <v>169</v>
      </c>
      <c r="F37" s="68"/>
      <c r="G37" s="68"/>
      <c r="H37" s="68"/>
      <c r="I37" s="68" t="s">
        <v>170</v>
      </c>
    </row>
    <row r="38" spans="4:9" x14ac:dyDescent="0.3">
      <c r="D38" s="68" t="s">
        <v>171</v>
      </c>
      <c r="E38" s="68" t="s">
        <v>164</v>
      </c>
      <c r="F38" s="68"/>
      <c r="G38" s="68"/>
      <c r="H38" s="68"/>
      <c r="I38" s="68"/>
    </row>
    <row r="39" spans="4:9" ht="28.8" x14ac:dyDescent="0.3">
      <c r="D39" s="68" t="s">
        <v>171</v>
      </c>
      <c r="E39" s="68" t="s">
        <v>169</v>
      </c>
      <c r="F39" s="68"/>
      <c r="G39" s="68"/>
      <c r="H39" s="68"/>
      <c r="I39" s="68" t="s">
        <v>172</v>
      </c>
    </row>
    <row r="40" spans="4:9" ht="28.8" x14ac:dyDescent="0.3">
      <c r="D40" s="68" t="s">
        <v>104</v>
      </c>
      <c r="E40" s="68" t="s">
        <v>169</v>
      </c>
      <c r="F40" s="68"/>
      <c r="G40" s="68"/>
      <c r="H40" s="68"/>
      <c r="I40" s="68" t="s">
        <v>173</v>
      </c>
    </row>
    <row r="41" spans="4:9" ht="28.8" x14ac:dyDescent="0.3">
      <c r="D41" s="68" t="s">
        <v>174</v>
      </c>
      <c r="E41" s="68" t="s">
        <v>164</v>
      </c>
      <c r="F41" s="68"/>
      <c r="G41" s="68"/>
      <c r="H41" s="68"/>
      <c r="I41" s="68" t="s">
        <v>175</v>
      </c>
    </row>
  </sheetData>
  <mergeCells count="7">
    <mergeCell ref="N8:O8"/>
    <mergeCell ref="D7:J7"/>
    <mergeCell ref="D8:D9"/>
    <mergeCell ref="E8:F8"/>
    <mergeCell ref="G8:J8"/>
    <mergeCell ref="M8:M9"/>
    <mergeCell ref="M7:O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7C349-8F4C-4993-A912-D3354E22CBBD}">
  <dimension ref="H10:L15"/>
  <sheetViews>
    <sheetView topLeftCell="A4" workbookViewId="0">
      <selection activeCell="H24" sqref="H24"/>
    </sheetView>
  </sheetViews>
  <sheetFormatPr defaultRowHeight="14.4" x14ac:dyDescent="0.3"/>
  <cols>
    <col min="8" max="8" width="12" customWidth="1"/>
    <col min="9" max="9" width="13.88671875" customWidth="1"/>
    <col min="10" max="10" width="13.6640625" customWidth="1"/>
    <col min="11" max="11" width="15.44140625" customWidth="1"/>
    <col min="12" max="12" width="21.5546875" customWidth="1"/>
  </cols>
  <sheetData>
    <row r="10" spans="8:12" ht="28.8" x14ac:dyDescent="0.3">
      <c r="H10" s="66" t="s">
        <v>176</v>
      </c>
      <c r="I10" s="66" t="s">
        <v>177</v>
      </c>
      <c r="J10" s="66" t="s">
        <v>178</v>
      </c>
      <c r="K10" s="66" t="s">
        <v>179</v>
      </c>
      <c r="L10" s="66" t="s">
        <v>152</v>
      </c>
    </row>
    <row r="11" spans="8:12" ht="28.8" x14ac:dyDescent="0.3">
      <c r="H11" s="68" t="s">
        <v>101</v>
      </c>
      <c r="I11" s="69">
        <v>140</v>
      </c>
      <c r="J11" s="68">
        <v>0.52</v>
      </c>
      <c r="K11" s="69">
        <f>I11*J11</f>
        <v>72.8</v>
      </c>
      <c r="L11" s="68" t="s">
        <v>180</v>
      </c>
    </row>
    <row r="12" spans="8:12" ht="28.8" x14ac:dyDescent="0.3">
      <c r="H12" s="68" t="s">
        <v>181</v>
      </c>
      <c r="I12" s="69">
        <v>4800</v>
      </c>
      <c r="J12" s="68">
        <v>0.52</v>
      </c>
      <c r="K12" s="69">
        <f t="shared" ref="K12:K14" si="0">I12*J12</f>
        <v>2496</v>
      </c>
      <c r="L12" s="68" t="s">
        <v>182</v>
      </c>
    </row>
    <row r="13" spans="8:12" ht="28.8" x14ac:dyDescent="0.3">
      <c r="H13" s="68" t="s">
        <v>183</v>
      </c>
      <c r="I13" s="68">
        <v>6800</v>
      </c>
      <c r="J13" s="68">
        <v>1</v>
      </c>
      <c r="K13" s="69">
        <f t="shared" si="0"/>
        <v>6800</v>
      </c>
      <c r="L13" s="68" t="s">
        <v>184</v>
      </c>
    </row>
    <row r="14" spans="8:12" ht="43.2" x14ac:dyDescent="0.3">
      <c r="H14" s="68" t="s">
        <v>185</v>
      </c>
      <c r="I14" s="68">
        <v>1000</v>
      </c>
      <c r="J14" s="68">
        <v>1</v>
      </c>
      <c r="K14" s="69">
        <f t="shared" si="0"/>
        <v>1000</v>
      </c>
      <c r="L14" s="68" t="s">
        <v>186</v>
      </c>
    </row>
    <row r="15" spans="8:12" ht="28.8" x14ac:dyDescent="0.3">
      <c r="H15" s="72" t="s">
        <v>187</v>
      </c>
      <c r="I15" s="72">
        <f>SUM(I11:I14)</f>
        <v>12740</v>
      </c>
      <c r="J15" s="67" t="s">
        <v>188</v>
      </c>
      <c r="K15" s="72">
        <f>SUM(K11:K14)</f>
        <v>10368.799999999999</v>
      </c>
      <c r="L15" s="68" t="s">
        <v>189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F030-5381-44B1-B3BD-25AFE5864D12}">
  <dimension ref="E8:O32"/>
  <sheetViews>
    <sheetView tabSelected="1" topLeftCell="B4" zoomScale="85" zoomScaleNormal="85" workbookViewId="0">
      <selection activeCell="M12" sqref="M12"/>
    </sheetView>
  </sheetViews>
  <sheetFormatPr defaultRowHeight="14.4" x14ac:dyDescent="0.3"/>
  <cols>
    <col min="5" max="5" width="13.5546875" customWidth="1"/>
    <col min="6" max="6" width="34.88671875" bestFit="1" customWidth="1"/>
    <col min="7" max="7" width="10.88671875" customWidth="1"/>
    <col min="11" max="11" width="15.21875" customWidth="1"/>
    <col min="12" max="12" width="18.109375" customWidth="1"/>
    <col min="13" max="13" width="26.21875" customWidth="1"/>
    <col min="14" max="14" width="32.88671875" customWidth="1"/>
    <col min="15" max="15" width="29.88671875" customWidth="1"/>
  </cols>
  <sheetData>
    <row r="8" spans="5:15" ht="15" thickBot="1" x14ac:dyDescent="0.35"/>
    <row r="9" spans="5:15" ht="47.4" thickBot="1" x14ac:dyDescent="0.35">
      <c r="E9" s="133" t="s">
        <v>201</v>
      </c>
      <c r="F9" s="133"/>
      <c r="G9" s="123" t="s">
        <v>230</v>
      </c>
      <c r="H9" s="123" t="s">
        <v>191</v>
      </c>
      <c r="I9" s="123" t="s">
        <v>20</v>
      </c>
      <c r="J9" s="123" t="s">
        <v>224</v>
      </c>
      <c r="K9" s="123" t="s">
        <v>214</v>
      </c>
      <c r="L9" s="123" t="s">
        <v>231</v>
      </c>
      <c r="M9" s="123" t="s">
        <v>232</v>
      </c>
      <c r="N9" s="123" t="s">
        <v>233</v>
      </c>
      <c r="O9" s="123" t="s">
        <v>225</v>
      </c>
    </row>
    <row r="10" spans="5:15" ht="16.2" thickBot="1" x14ac:dyDescent="0.35">
      <c r="E10" s="124">
        <v>1</v>
      </c>
      <c r="F10" s="125" t="s">
        <v>195</v>
      </c>
      <c r="G10" s="125">
        <v>140</v>
      </c>
      <c r="H10" s="125">
        <v>127</v>
      </c>
      <c r="I10" s="126">
        <v>0.8</v>
      </c>
      <c r="J10" s="126">
        <v>0.87</v>
      </c>
      <c r="K10" s="125">
        <v>1.58</v>
      </c>
      <c r="L10" s="126">
        <v>1.5</v>
      </c>
      <c r="M10" s="126">
        <v>17.5</v>
      </c>
      <c r="N10" s="125">
        <v>12.18</v>
      </c>
      <c r="O10" s="126" t="s">
        <v>226</v>
      </c>
    </row>
    <row r="11" spans="5:15" ht="16.2" thickBot="1" x14ac:dyDescent="0.35">
      <c r="E11" s="127">
        <v>2</v>
      </c>
      <c r="F11" s="128" t="s">
        <v>227</v>
      </c>
      <c r="G11" s="128">
        <v>6800</v>
      </c>
      <c r="H11" s="128">
        <v>220</v>
      </c>
      <c r="I11" s="129">
        <v>1</v>
      </c>
      <c r="J11" s="129">
        <v>0.87</v>
      </c>
      <c r="K11" s="128">
        <v>35.53</v>
      </c>
      <c r="L11" s="129">
        <v>10</v>
      </c>
      <c r="M11" s="129">
        <v>57</v>
      </c>
      <c r="N11" s="128">
        <v>49.59</v>
      </c>
      <c r="O11" s="129" t="s">
        <v>226</v>
      </c>
    </row>
    <row r="12" spans="5:15" ht="47.4" thickBot="1" x14ac:dyDescent="0.35">
      <c r="E12" s="130">
        <v>3</v>
      </c>
      <c r="F12" s="131" t="s">
        <v>228</v>
      </c>
      <c r="G12" s="131">
        <v>1200</v>
      </c>
      <c r="H12" s="131">
        <v>127</v>
      </c>
      <c r="I12" s="132">
        <v>1</v>
      </c>
      <c r="J12" s="132">
        <v>0.87</v>
      </c>
      <c r="K12" s="131">
        <v>10.86</v>
      </c>
      <c r="L12" s="132">
        <v>2.5</v>
      </c>
      <c r="M12" s="132">
        <v>24</v>
      </c>
      <c r="N12" s="131">
        <v>20.88</v>
      </c>
      <c r="O12" s="132" t="s">
        <v>226</v>
      </c>
    </row>
    <row r="13" spans="5:15" ht="47.4" thickBot="1" x14ac:dyDescent="0.35">
      <c r="E13" s="127">
        <v>4</v>
      </c>
      <c r="F13" s="128" t="s">
        <v>229</v>
      </c>
      <c r="G13" s="128">
        <v>700</v>
      </c>
      <c r="H13" s="128">
        <v>127</v>
      </c>
      <c r="I13" s="129">
        <v>0.8</v>
      </c>
      <c r="J13" s="129">
        <v>0.87</v>
      </c>
      <c r="K13" s="128">
        <v>7.92</v>
      </c>
      <c r="L13" s="129">
        <v>2.5</v>
      </c>
      <c r="M13" s="129">
        <v>24</v>
      </c>
      <c r="N13" s="128">
        <v>16.704000000000001</v>
      </c>
      <c r="O13" s="129" t="s">
        <v>226</v>
      </c>
    </row>
    <row r="14" spans="5:15" ht="47.4" thickBot="1" x14ac:dyDescent="0.35">
      <c r="E14" s="130">
        <v>5</v>
      </c>
      <c r="F14" s="131" t="s">
        <v>68</v>
      </c>
      <c r="G14" s="131">
        <v>1100</v>
      </c>
      <c r="H14" s="131">
        <v>127</v>
      </c>
      <c r="I14" s="132">
        <v>1</v>
      </c>
      <c r="J14" s="132">
        <v>0.87</v>
      </c>
      <c r="K14" s="131">
        <v>9.9600000000000009</v>
      </c>
      <c r="L14" s="132">
        <v>2.5</v>
      </c>
      <c r="M14" s="132">
        <v>24</v>
      </c>
      <c r="N14" s="131">
        <v>20.88</v>
      </c>
      <c r="O14" s="132" t="s">
        <v>226</v>
      </c>
    </row>
    <row r="15" spans="5:15" ht="31.8" thickBot="1" x14ac:dyDescent="0.35">
      <c r="E15" s="127">
        <v>6</v>
      </c>
      <c r="F15" s="128" t="s">
        <v>67</v>
      </c>
      <c r="G15" s="128">
        <v>300</v>
      </c>
      <c r="H15" s="128">
        <v>127</v>
      </c>
      <c r="I15" s="129">
        <v>0.8</v>
      </c>
      <c r="J15" s="129">
        <v>0.87</v>
      </c>
      <c r="K15" s="128">
        <v>3.39</v>
      </c>
      <c r="L15" s="129">
        <v>2.5</v>
      </c>
      <c r="M15" s="129">
        <v>24</v>
      </c>
      <c r="N15" s="128">
        <v>16.704000000000001</v>
      </c>
      <c r="O15" s="129" t="s">
        <v>226</v>
      </c>
    </row>
    <row r="16" spans="5:15" ht="16.2" thickBot="1" x14ac:dyDescent="0.35">
      <c r="E16" s="130">
        <v>7</v>
      </c>
      <c r="F16" s="132" t="s">
        <v>69</v>
      </c>
      <c r="G16" s="132">
        <v>300</v>
      </c>
      <c r="H16" s="132">
        <v>127</v>
      </c>
      <c r="I16" s="132">
        <v>0.8</v>
      </c>
      <c r="J16" s="132">
        <v>0.87</v>
      </c>
      <c r="K16" s="132">
        <v>3.39</v>
      </c>
      <c r="L16" s="132">
        <v>2.5</v>
      </c>
      <c r="M16" s="132">
        <v>24</v>
      </c>
      <c r="N16" s="132">
        <v>16.704000000000001</v>
      </c>
      <c r="O16" s="132" t="s">
        <v>226</v>
      </c>
    </row>
    <row r="17" spans="5:15" ht="16.2" thickBot="1" x14ac:dyDescent="0.35">
      <c r="E17" s="127">
        <v>8</v>
      </c>
      <c r="F17" s="129" t="s">
        <v>70</v>
      </c>
      <c r="G17" s="129">
        <v>1200</v>
      </c>
      <c r="H17" s="129">
        <v>127</v>
      </c>
      <c r="I17" s="129">
        <v>1</v>
      </c>
      <c r="J17" s="129">
        <v>0.87</v>
      </c>
      <c r="K17" s="129">
        <v>10.86</v>
      </c>
      <c r="L17" s="129">
        <v>2.5</v>
      </c>
      <c r="M17" s="129">
        <v>24</v>
      </c>
      <c r="N17" s="129">
        <v>20.88</v>
      </c>
      <c r="O17" s="129" t="s">
        <v>226</v>
      </c>
    </row>
    <row r="18" spans="5:15" ht="16.2" thickBot="1" x14ac:dyDescent="0.35">
      <c r="E18" s="130">
        <v>9</v>
      </c>
      <c r="F18" s="132" t="s">
        <v>33</v>
      </c>
      <c r="G18" s="132">
        <v>1000</v>
      </c>
      <c r="H18" s="132">
        <v>220</v>
      </c>
      <c r="I18" s="132">
        <v>1</v>
      </c>
      <c r="J18" s="132">
        <v>0.87</v>
      </c>
      <c r="K18" s="132">
        <v>5.22</v>
      </c>
      <c r="L18" s="132">
        <v>2.5</v>
      </c>
      <c r="M18" s="132">
        <v>24</v>
      </c>
      <c r="N18" s="132">
        <v>20.88</v>
      </c>
      <c r="O18" s="132" t="s">
        <v>226</v>
      </c>
    </row>
    <row r="23" spans="5:15" x14ac:dyDescent="0.3">
      <c r="E23" t="s">
        <v>201</v>
      </c>
      <c r="F23" t="s">
        <v>2</v>
      </c>
      <c r="G23" t="s">
        <v>111</v>
      </c>
      <c r="H23" t="s">
        <v>191</v>
      </c>
      <c r="I23" t="s">
        <v>20</v>
      </c>
      <c r="J23" t="s">
        <v>224</v>
      </c>
      <c r="K23" t="s">
        <v>192</v>
      </c>
      <c r="L23" t="s">
        <v>190</v>
      </c>
      <c r="M23" t="s">
        <v>222</v>
      </c>
      <c r="N23" t="s">
        <v>223</v>
      </c>
      <c r="O23" t="s">
        <v>225</v>
      </c>
    </row>
    <row r="24" spans="5:15" x14ac:dyDescent="0.3">
      <c r="E24">
        <v>1</v>
      </c>
      <c r="F24" t="s">
        <v>195</v>
      </c>
      <c r="G24">
        <v>140</v>
      </c>
      <c r="H24">
        <v>127</v>
      </c>
      <c r="I24">
        <v>0.8</v>
      </c>
      <c r="J24">
        <v>0.87</v>
      </c>
      <c r="K24">
        <v>1.58</v>
      </c>
      <c r="L24">
        <v>1.5</v>
      </c>
      <c r="M24">
        <v>17.5</v>
      </c>
      <c r="N24">
        <v>12.18</v>
      </c>
      <c r="O24" t="s">
        <v>226</v>
      </c>
    </row>
    <row r="25" spans="5:15" x14ac:dyDescent="0.3">
      <c r="E25">
        <v>2</v>
      </c>
      <c r="F25" t="s">
        <v>227</v>
      </c>
      <c r="G25">
        <v>6800</v>
      </c>
      <c r="H25">
        <v>220</v>
      </c>
      <c r="I25">
        <v>1</v>
      </c>
      <c r="J25">
        <v>0.87</v>
      </c>
      <c r="K25">
        <v>35.53</v>
      </c>
      <c r="L25">
        <v>10</v>
      </c>
      <c r="M25">
        <v>57</v>
      </c>
      <c r="N25">
        <v>49.59</v>
      </c>
      <c r="O25" t="s">
        <v>226</v>
      </c>
    </row>
    <row r="26" spans="5:15" x14ac:dyDescent="0.3">
      <c r="E26">
        <v>3</v>
      </c>
      <c r="F26" t="s">
        <v>228</v>
      </c>
      <c r="G26">
        <v>1200</v>
      </c>
      <c r="H26">
        <v>127</v>
      </c>
      <c r="I26">
        <v>1</v>
      </c>
      <c r="J26">
        <v>0.87</v>
      </c>
      <c r="K26">
        <v>10.86</v>
      </c>
      <c r="L26">
        <v>2.5</v>
      </c>
      <c r="M26">
        <v>24</v>
      </c>
      <c r="N26">
        <v>20.88</v>
      </c>
      <c r="O26" t="s">
        <v>226</v>
      </c>
    </row>
    <row r="27" spans="5:15" x14ac:dyDescent="0.3">
      <c r="E27">
        <v>4</v>
      </c>
      <c r="F27" t="s">
        <v>229</v>
      </c>
      <c r="G27">
        <v>700</v>
      </c>
      <c r="H27">
        <v>127</v>
      </c>
      <c r="I27">
        <v>0.8</v>
      </c>
      <c r="J27">
        <v>0.87</v>
      </c>
      <c r="K27">
        <v>7.92</v>
      </c>
      <c r="L27">
        <v>2.5</v>
      </c>
      <c r="M27">
        <v>24</v>
      </c>
      <c r="N27">
        <v>16.704000000000001</v>
      </c>
      <c r="O27" t="s">
        <v>226</v>
      </c>
    </row>
    <row r="28" spans="5:15" x14ac:dyDescent="0.3">
      <c r="E28">
        <v>5</v>
      </c>
      <c r="F28" t="s">
        <v>68</v>
      </c>
      <c r="G28">
        <v>1100</v>
      </c>
      <c r="H28">
        <v>127</v>
      </c>
      <c r="I28">
        <v>1</v>
      </c>
      <c r="J28">
        <v>0.87</v>
      </c>
      <c r="K28">
        <v>9.9600000000000009</v>
      </c>
      <c r="L28">
        <v>2.5</v>
      </c>
      <c r="M28">
        <v>24</v>
      </c>
      <c r="N28">
        <v>20.88</v>
      </c>
      <c r="O28" t="s">
        <v>226</v>
      </c>
    </row>
    <row r="29" spans="5:15" x14ac:dyDescent="0.3">
      <c r="E29">
        <v>6</v>
      </c>
      <c r="F29" t="s">
        <v>67</v>
      </c>
      <c r="G29">
        <v>300</v>
      </c>
      <c r="H29">
        <v>127</v>
      </c>
      <c r="I29">
        <v>0.8</v>
      </c>
      <c r="J29">
        <v>0.87</v>
      </c>
      <c r="K29">
        <v>3.39</v>
      </c>
      <c r="L29">
        <v>2.5</v>
      </c>
      <c r="M29">
        <v>24</v>
      </c>
      <c r="N29">
        <v>16.704000000000001</v>
      </c>
      <c r="O29" t="s">
        <v>226</v>
      </c>
    </row>
    <row r="30" spans="5:15" x14ac:dyDescent="0.3">
      <c r="E30">
        <v>7</v>
      </c>
      <c r="F30" t="s">
        <v>69</v>
      </c>
      <c r="G30">
        <v>300</v>
      </c>
      <c r="H30">
        <v>127</v>
      </c>
      <c r="I30">
        <v>0.8</v>
      </c>
      <c r="J30">
        <v>0.87</v>
      </c>
      <c r="K30">
        <v>3.39</v>
      </c>
      <c r="L30">
        <v>2.5</v>
      </c>
      <c r="M30">
        <v>24</v>
      </c>
      <c r="N30">
        <v>16.704000000000001</v>
      </c>
      <c r="O30" t="s">
        <v>226</v>
      </c>
    </row>
    <row r="31" spans="5:15" x14ac:dyDescent="0.3">
      <c r="E31">
        <v>8</v>
      </c>
      <c r="F31" t="s">
        <v>70</v>
      </c>
      <c r="G31">
        <v>1200</v>
      </c>
      <c r="H31">
        <v>127</v>
      </c>
      <c r="I31">
        <v>1</v>
      </c>
      <c r="J31">
        <v>0.87</v>
      </c>
      <c r="K31">
        <v>10.86</v>
      </c>
      <c r="L31">
        <v>2.5</v>
      </c>
      <c r="M31">
        <v>24</v>
      </c>
      <c r="N31">
        <v>20.88</v>
      </c>
      <c r="O31" t="s">
        <v>226</v>
      </c>
    </row>
    <row r="32" spans="5:15" x14ac:dyDescent="0.3">
      <c r="E32">
        <v>9</v>
      </c>
      <c r="F32" t="s">
        <v>33</v>
      </c>
      <c r="G32">
        <v>1000</v>
      </c>
      <c r="H32">
        <v>220</v>
      </c>
      <c r="I32">
        <v>1</v>
      </c>
      <c r="J32">
        <v>0.87</v>
      </c>
      <c r="K32">
        <v>5.22</v>
      </c>
      <c r="L32">
        <v>2.5</v>
      </c>
      <c r="M32">
        <v>24</v>
      </c>
      <c r="N32">
        <v>20.88</v>
      </c>
      <c r="O32" t="s">
        <v>226</v>
      </c>
    </row>
  </sheetData>
  <mergeCells count="1">
    <mergeCell ref="E9:F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Quadro de Carga </vt:lpstr>
      <vt:lpstr>Divisão de Circuitos</vt:lpstr>
      <vt:lpstr>CONDUTORES  ELETRODUTOS</vt:lpstr>
      <vt:lpstr>Disjuntores</vt:lpstr>
      <vt:lpstr>Luminotecnico</vt:lpstr>
      <vt:lpstr>Iluminação</vt:lpstr>
      <vt:lpstr>TUG e TUE</vt:lpstr>
      <vt:lpstr>DEMANDA TOTAL</vt:lpstr>
      <vt:lpstr>Planilha1</vt:lpstr>
      <vt:lpstr>Planilha2</vt:lpstr>
      <vt:lpstr>Calculo de demanda </vt:lpstr>
      <vt:lpstr>Quadro de carga do medidor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zonzini</dc:creator>
  <cp:lastModifiedBy>Bruno Oliveira</cp:lastModifiedBy>
  <dcterms:created xsi:type="dcterms:W3CDTF">2021-05-10T21:07:12Z</dcterms:created>
  <dcterms:modified xsi:type="dcterms:W3CDTF">2025-07-22T00:05:37Z</dcterms:modified>
</cp:coreProperties>
</file>