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25600" yWindow="0" windowWidth="38400" windowHeight="21140" tabRatio="995"/>
  </bookViews>
  <sheets>
    <sheet name="setup" sheetId="1" r:id="rId1"/>
    <sheet name="biogas" sheetId="2" r:id="rId2"/>
    <sheet name="nylon bag info" sheetId="3" r:id="rId3"/>
    <sheet name="GC data" sheetId="4" r:id="rId4"/>
    <sheet name="T0" sheetId="5" r:id="rId5"/>
    <sheet name="Water column" sheetId="6" r:id="rId6"/>
    <sheet name="macrocube" sheetId="7" r:id="rId7"/>
    <sheet name="TGV_TBMP" sheetId="8" r:id="rId8"/>
    <sheet name="excel solver_total" sheetId="9" r:id="rId9"/>
    <sheet name="excel solver_N" sheetId="10" r:id="rId10"/>
    <sheet name="excel_solver_S" sheetId="11" r:id="rId11"/>
  </sheets>
  <definedNames>
    <definedName name="solver_adj" localSheetId="9" hidden="1">'excel solver_N'!$E$30</definedName>
    <definedName name="solver_adj" localSheetId="8" hidden="1">'excel solver_total'!$E$30</definedName>
    <definedName name="solver_adj" localSheetId="10" hidden="1">excel_solver_S!$E$30</definedName>
    <definedName name="solver_adj" localSheetId="2" hidden="1">'nylon bag info'!$D$30</definedName>
    <definedName name="solver_cvg" localSheetId="9" hidden="1">0.0001</definedName>
    <definedName name="solver_cvg" localSheetId="8" hidden="1">0.0001</definedName>
    <definedName name="solver_cvg" localSheetId="10" hidden="1">0.0001</definedName>
    <definedName name="solver_cvg" localSheetId="2" hidden="1">0.0001</definedName>
    <definedName name="solver_drv" localSheetId="9" hidden="1">1</definedName>
    <definedName name="solver_drv" localSheetId="8" hidden="1">1</definedName>
    <definedName name="solver_drv" localSheetId="10" hidden="1">1</definedName>
    <definedName name="solver_drv" localSheetId="2" hidden="1">1</definedName>
    <definedName name="solver_eng" localSheetId="9" hidden="1">1</definedName>
    <definedName name="solver_eng" localSheetId="8" hidden="1">1</definedName>
    <definedName name="solver_eng" localSheetId="10" hidden="1">1</definedName>
    <definedName name="solver_eng" localSheetId="2" hidden="1">1</definedName>
    <definedName name="solver_itr" localSheetId="9" hidden="1">2147483647</definedName>
    <definedName name="solver_itr" localSheetId="8" hidden="1">2147483647</definedName>
    <definedName name="solver_itr" localSheetId="10" hidden="1">2147483647</definedName>
    <definedName name="solver_itr" localSheetId="2" hidden="1">2147483647</definedName>
    <definedName name="solver_lin" localSheetId="9" hidden="1">2</definedName>
    <definedName name="solver_lin" localSheetId="8" hidden="1">2</definedName>
    <definedName name="solver_lin" localSheetId="10" hidden="1">2</definedName>
    <definedName name="solver_lin" localSheetId="2" hidden="1">2</definedName>
    <definedName name="solver_mip" localSheetId="9" hidden="1">2147483647</definedName>
    <definedName name="solver_mip" localSheetId="8" hidden="1">2147483647</definedName>
    <definedName name="solver_mip" localSheetId="10" hidden="1">2147483647</definedName>
    <definedName name="solver_mip" localSheetId="2" hidden="1">2147483647</definedName>
    <definedName name="solver_mni" localSheetId="9" hidden="1">30</definedName>
    <definedName name="solver_mni" localSheetId="8" hidden="1">30</definedName>
    <definedName name="solver_mni" localSheetId="10" hidden="1">30</definedName>
    <definedName name="solver_mni" localSheetId="2" hidden="1">30</definedName>
    <definedName name="solver_mrt" localSheetId="9" hidden="1">0.075</definedName>
    <definedName name="solver_mrt" localSheetId="8" hidden="1">0.075</definedName>
    <definedName name="solver_mrt" localSheetId="10" hidden="1">0.075</definedName>
    <definedName name="solver_mrt" localSheetId="2" hidden="1">0.075</definedName>
    <definedName name="solver_msl" localSheetId="9" hidden="1">2</definedName>
    <definedName name="solver_msl" localSheetId="8" hidden="1">2</definedName>
    <definedName name="solver_msl" localSheetId="10" hidden="1">2</definedName>
    <definedName name="solver_msl" localSheetId="2" hidden="1">2</definedName>
    <definedName name="solver_neg" localSheetId="9" hidden="1">1</definedName>
    <definedName name="solver_neg" localSheetId="8" hidden="1">1</definedName>
    <definedName name="solver_neg" localSheetId="10" hidden="1">1</definedName>
    <definedName name="solver_neg" localSheetId="2" hidden="1">1</definedName>
    <definedName name="solver_nod" localSheetId="9" hidden="1">2147483647</definedName>
    <definedName name="solver_nod" localSheetId="8" hidden="1">2147483647</definedName>
    <definedName name="solver_nod" localSheetId="10" hidden="1">2147483647</definedName>
    <definedName name="solver_nod" localSheetId="2" hidden="1">2147483647</definedName>
    <definedName name="solver_num" localSheetId="9" hidden="1">0</definedName>
    <definedName name="solver_num" localSheetId="8" hidden="1">0</definedName>
    <definedName name="solver_num" localSheetId="10" hidden="1">0</definedName>
    <definedName name="solver_num" localSheetId="2" hidden="1">0</definedName>
    <definedName name="solver_opt" localSheetId="9" hidden="1">'excel solver_N'!$J$37</definedName>
    <definedName name="solver_opt" localSheetId="8" hidden="1">'excel solver_total'!$J$37</definedName>
    <definedName name="solver_opt" localSheetId="10" hidden="1">excel_solver_S!$J$37</definedName>
    <definedName name="solver_opt" localSheetId="2" hidden="1">'nylon bag info'!$H$37</definedName>
    <definedName name="solver_pre" localSheetId="9" hidden="1">0.000001</definedName>
    <definedName name="solver_pre" localSheetId="8" hidden="1">0.000001</definedName>
    <definedName name="solver_pre" localSheetId="10" hidden="1">0.000001</definedName>
    <definedName name="solver_pre" localSheetId="2" hidden="1">0.000001</definedName>
    <definedName name="solver_rbv" localSheetId="9" hidden="1">1</definedName>
    <definedName name="solver_rbv" localSheetId="8" hidden="1">1</definedName>
    <definedName name="solver_rbv" localSheetId="10" hidden="1">1</definedName>
    <definedName name="solver_rbv" localSheetId="2" hidden="1">1</definedName>
    <definedName name="solver_rlx" localSheetId="9" hidden="1">2</definedName>
    <definedName name="solver_rlx" localSheetId="8" hidden="1">2</definedName>
    <definedName name="solver_rlx" localSheetId="10" hidden="1">2</definedName>
    <definedName name="solver_rlx" localSheetId="2" hidden="1">1</definedName>
    <definedName name="solver_rsd" localSheetId="9" hidden="1">0</definedName>
    <definedName name="solver_rsd" localSheetId="8" hidden="1">0</definedName>
    <definedName name="solver_rsd" localSheetId="10" hidden="1">0</definedName>
    <definedName name="solver_rsd" localSheetId="2" hidden="1">0</definedName>
    <definedName name="solver_scl" localSheetId="9" hidden="1">1</definedName>
    <definedName name="solver_scl" localSheetId="8" hidden="1">1</definedName>
    <definedName name="solver_scl" localSheetId="10" hidden="1">1</definedName>
    <definedName name="solver_scl" localSheetId="2" hidden="1">2</definedName>
    <definedName name="solver_sho" localSheetId="9" hidden="1">2</definedName>
    <definedName name="solver_sho" localSheetId="8" hidden="1">2</definedName>
    <definedName name="solver_sho" localSheetId="10" hidden="1">2</definedName>
    <definedName name="solver_sho" localSheetId="2" hidden="1">2</definedName>
    <definedName name="solver_ssz" localSheetId="9" hidden="1">100</definedName>
    <definedName name="solver_ssz" localSheetId="8" hidden="1">100</definedName>
    <definedName name="solver_ssz" localSheetId="10" hidden="1">100</definedName>
    <definedName name="solver_ssz" localSheetId="2" hidden="1">100</definedName>
    <definedName name="solver_tim" localSheetId="9" hidden="1">2147483647</definedName>
    <definedName name="solver_tim" localSheetId="8" hidden="1">2147483647</definedName>
    <definedName name="solver_tim" localSheetId="10" hidden="1">2147483647</definedName>
    <definedName name="solver_tim" localSheetId="2" hidden="1">2147483647</definedName>
    <definedName name="solver_tol" localSheetId="9" hidden="1">0.01</definedName>
    <definedName name="solver_tol" localSheetId="8" hidden="1">0.01</definedName>
    <definedName name="solver_tol" localSheetId="10" hidden="1">0.01</definedName>
    <definedName name="solver_tol" localSheetId="2" hidden="1">0.01</definedName>
    <definedName name="solver_typ" localSheetId="9" hidden="1">2</definedName>
    <definedName name="solver_typ" localSheetId="8" hidden="1">2</definedName>
    <definedName name="solver_typ" localSheetId="10" hidden="1">2</definedName>
    <definedName name="solver_typ" localSheetId="2" hidden="1">2</definedName>
    <definedName name="solver_val" localSheetId="9" hidden="1">0</definedName>
    <definedName name="solver_val" localSheetId="8" hidden="1">0</definedName>
    <definedName name="solver_val" localSheetId="10" hidden="1">0</definedName>
    <definedName name="solver_val" localSheetId="2" hidden="1">0</definedName>
    <definedName name="solver_ver" localSheetId="9" hidden="1">2</definedName>
    <definedName name="solver_ver" localSheetId="8" hidden="1">2</definedName>
    <definedName name="solver_ver" localSheetId="10" hidden="1">2</definedName>
    <definedName name="solver_ver" localSheetId="2" hidden="1">2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9" i="1"/>
  <c r="K29" i="11"/>
  <c r="K28" i="11"/>
  <c r="K27" i="11"/>
  <c r="K26" i="11"/>
  <c r="J9" i="11"/>
  <c r="J10" i="11"/>
  <c r="J11" i="11"/>
  <c r="J12" i="11"/>
  <c r="J13" i="11"/>
  <c r="J14" i="11"/>
  <c r="J15" i="11"/>
  <c r="J16" i="11"/>
  <c r="J17" i="11"/>
  <c r="J18" i="11"/>
  <c r="J19" i="11"/>
  <c r="J8" i="11"/>
  <c r="K28" i="10"/>
  <c r="K27" i="10"/>
  <c r="K26" i="10"/>
  <c r="K25" i="10"/>
  <c r="J9" i="10"/>
  <c r="J10" i="10"/>
  <c r="J11" i="10"/>
  <c r="J12" i="10"/>
  <c r="J13" i="10"/>
  <c r="J14" i="10"/>
  <c r="J15" i="10"/>
  <c r="J16" i="10"/>
  <c r="J17" i="10"/>
  <c r="J18" i="10"/>
  <c r="J19" i="10"/>
  <c r="J8" i="10"/>
  <c r="B30" i="9"/>
  <c r="C30" i="9"/>
  <c r="F36" i="9"/>
  <c r="F35" i="9"/>
  <c r="F34" i="9"/>
  <c r="F33" i="9"/>
  <c r="J9" i="9"/>
  <c r="J10" i="9"/>
  <c r="J11" i="9"/>
  <c r="J12" i="9"/>
  <c r="J13" i="9"/>
  <c r="J14" i="9"/>
  <c r="J15" i="9"/>
  <c r="J16" i="9"/>
  <c r="J17" i="9"/>
  <c r="J18" i="9"/>
  <c r="J19" i="9"/>
  <c r="J8" i="9"/>
  <c r="F32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8" i="9"/>
  <c r="G32" i="9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8" i="11"/>
  <c r="S8" i="3"/>
  <c r="R8" i="3"/>
  <c r="P8" i="3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8" i="10"/>
  <c r="R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8" i="10"/>
  <c r="F36" i="10"/>
  <c r="F35" i="10"/>
  <c r="F34" i="10"/>
  <c r="F33" i="10"/>
  <c r="F32" i="10"/>
  <c r="I32" i="11"/>
  <c r="J32" i="11"/>
  <c r="I33" i="11"/>
  <c r="J33" i="11"/>
  <c r="I34" i="11"/>
  <c r="J34" i="11"/>
  <c r="I35" i="11"/>
  <c r="J35" i="11"/>
  <c r="I36" i="11"/>
  <c r="J36" i="11"/>
  <c r="J37" i="11"/>
  <c r="G32" i="11"/>
  <c r="F36" i="11"/>
  <c r="F35" i="11"/>
  <c r="F34" i="11"/>
  <c r="F32" i="11"/>
  <c r="F33" i="11"/>
  <c r="C30" i="11"/>
  <c r="B30" i="11"/>
  <c r="G36" i="11"/>
  <c r="L2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H32" i="11"/>
  <c r="G33" i="11"/>
  <c r="H33" i="11"/>
  <c r="G34" i="11"/>
  <c r="H34" i="11"/>
  <c r="G35" i="11"/>
  <c r="H35" i="11"/>
  <c r="H36" i="11"/>
  <c r="H37" i="11"/>
  <c r="F22" i="11"/>
  <c r="G22" i="11"/>
  <c r="I22" i="11"/>
  <c r="J22" i="11"/>
  <c r="N2" i="11"/>
  <c r="R22" i="11"/>
  <c r="O22" i="11"/>
  <c r="Q22" i="11"/>
  <c r="F21" i="11"/>
  <c r="G21" i="11"/>
  <c r="I21" i="11"/>
  <c r="J21" i="11"/>
  <c r="R21" i="11"/>
  <c r="O21" i="11"/>
  <c r="Q21" i="11"/>
  <c r="F20" i="11"/>
  <c r="G20" i="11"/>
  <c r="I20" i="11"/>
  <c r="J20" i="11"/>
  <c r="R20" i="11"/>
  <c r="O20" i="11"/>
  <c r="Q20" i="11"/>
  <c r="F19" i="11"/>
  <c r="G19" i="11"/>
  <c r="R19" i="11"/>
  <c r="O19" i="11"/>
  <c r="Q19" i="11"/>
  <c r="F18" i="11"/>
  <c r="G18" i="11"/>
  <c r="R18" i="11"/>
  <c r="O18" i="11"/>
  <c r="Q18" i="11"/>
  <c r="F17" i="11"/>
  <c r="G17" i="11"/>
  <c r="R17" i="11"/>
  <c r="O17" i="11"/>
  <c r="Q17" i="11"/>
  <c r="F16" i="11"/>
  <c r="G16" i="11"/>
  <c r="R16" i="11"/>
  <c r="O16" i="11"/>
  <c r="Q16" i="11"/>
  <c r="F15" i="11"/>
  <c r="G15" i="11"/>
  <c r="R15" i="11"/>
  <c r="O15" i="11"/>
  <c r="Q15" i="11"/>
  <c r="F14" i="11"/>
  <c r="G14" i="11"/>
  <c r="R14" i="11"/>
  <c r="O14" i="11"/>
  <c r="Q14" i="11"/>
  <c r="F13" i="11"/>
  <c r="G13" i="11"/>
  <c r="R13" i="11"/>
  <c r="O13" i="11"/>
  <c r="Q13" i="11"/>
  <c r="F12" i="11"/>
  <c r="G12" i="11"/>
  <c r="R12" i="11"/>
  <c r="O12" i="11"/>
  <c r="Q12" i="11"/>
  <c r="F11" i="11"/>
  <c r="G11" i="11"/>
  <c r="R11" i="11"/>
  <c r="O11" i="11"/>
  <c r="Q11" i="11"/>
  <c r="F10" i="11"/>
  <c r="G10" i="11"/>
  <c r="R10" i="11"/>
  <c r="O10" i="11"/>
  <c r="Q10" i="11"/>
  <c r="F9" i="11"/>
  <c r="G9" i="11"/>
  <c r="R9" i="11"/>
  <c r="O9" i="11"/>
  <c r="Q9" i="11"/>
  <c r="F8" i="11"/>
  <c r="G8" i="11"/>
  <c r="R8" i="11"/>
  <c r="T8" i="11"/>
  <c r="O8" i="11"/>
  <c r="Q8" i="11"/>
  <c r="M2" i="11"/>
  <c r="C30" i="10"/>
  <c r="B30" i="10"/>
  <c r="G32" i="10"/>
  <c r="I32" i="10"/>
  <c r="J32" i="10"/>
  <c r="I33" i="10"/>
  <c r="I8" i="10"/>
  <c r="I9" i="10"/>
  <c r="I10" i="10"/>
  <c r="J33" i="10"/>
  <c r="I34" i="10"/>
  <c r="I11" i="10"/>
  <c r="I12" i="10"/>
  <c r="I13" i="10"/>
  <c r="J34" i="10"/>
  <c r="I35" i="10"/>
  <c r="I14" i="10"/>
  <c r="I15" i="10"/>
  <c r="I16" i="10"/>
  <c r="J35" i="10"/>
  <c r="I36" i="10"/>
  <c r="I17" i="10"/>
  <c r="I18" i="10"/>
  <c r="I19" i="10"/>
  <c r="J36" i="10"/>
  <c r="J37" i="10"/>
  <c r="H32" i="10"/>
  <c r="G33" i="10"/>
  <c r="H33" i="10"/>
  <c r="G34" i="10"/>
  <c r="H34" i="10"/>
  <c r="G35" i="10"/>
  <c r="H35" i="10"/>
  <c r="G36" i="10"/>
  <c r="H36" i="10"/>
  <c r="H37" i="10"/>
  <c r="F22" i="10"/>
  <c r="G22" i="10"/>
  <c r="I22" i="10"/>
  <c r="J22" i="10"/>
  <c r="N2" i="10"/>
  <c r="R22" i="10"/>
  <c r="L2" i="10"/>
  <c r="O22" i="10"/>
  <c r="Q22" i="10"/>
  <c r="F21" i="10"/>
  <c r="G21" i="10"/>
  <c r="I21" i="10"/>
  <c r="J21" i="10"/>
  <c r="R21" i="10"/>
  <c r="O21" i="10"/>
  <c r="Q21" i="10"/>
  <c r="F20" i="10"/>
  <c r="G20" i="10"/>
  <c r="I20" i="10"/>
  <c r="J20" i="10"/>
  <c r="R20" i="10"/>
  <c r="O20" i="10"/>
  <c r="Q20" i="10"/>
  <c r="F19" i="10"/>
  <c r="G19" i="10"/>
  <c r="R19" i="10"/>
  <c r="O19" i="10"/>
  <c r="Q19" i="10"/>
  <c r="F18" i="10"/>
  <c r="G18" i="10"/>
  <c r="R18" i="10"/>
  <c r="O18" i="10"/>
  <c r="Q18" i="10"/>
  <c r="F17" i="10"/>
  <c r="G17" i="10"/>
  <c r="R17" i="10"/>
  <c r="O17" i="10"/>
  <c r="Q17" i="10"/>
  <c r="F16" i="10"/>
  <c r="G16" i="10"/>
  <c r="R16" i="10"/>
  <c r="O16" i="10"/>
  <c r="Q16" i="10"/>
  <c r="F15" i="10"/>
  <c r="G15" i="10"/>
  <c r="R15" i="10"/>
  <c r="O15" i="10"/>
  <c r="Q15" i="10"/>
  <c r="F14" i="10"/>
  <c r="G14" i="10"/>
  <c r="R14" i="10"/>
  <c r="O14" i="10"/>
  <c r="Q14" i="10"/>
  <c r="F13" i="10"/>
  <c r="G13" i="10"/>
  <c r="R13" i="10"/>
  <c r="O13" i="10"/>
  <c r="Q13" i="10"/>
  <c r="F12" i="10"/>
  <c r="G12" i="10"/>
  <c r="R12" i="10"/>
  <c r="O12" i="10"/>
  <c r="Q12" i="10"/>
  <c r="F11" i="10"/>
  <c r="G11" i="10"/>
  <c r="R11" i="10"/>
  <c r="O11" i="10"/>
  <c r="Q11" i="10"/>
  <c r="F10" i="10"/>
  <c r="G10" i="10"/>
  <c r="R10" i="10"/>
  <c r="O10" i="10"/>
  <c r="Q10" i="10"/>
  <c r="F9" i="10"/>
  <c r="G9" i="10"/>
  <c r="R9" i="10"/>
  <c r="O9" i="10"/>
  <c r="Q9" i="10"/>
  <c r="F8" i="10"/>
  <c r="G8" i="10"/>
  <c r="O8" i="10"/>
  <c r="Q8" i="10"/>
  <c r="M2" i="10"/>
  <c r="I8" i="9"/>
  <c r="G33" i="9"/>
  <c r="G34" i="9"/>
  <c r="G35" i="9"/>
  <c r="G36" i="9"/>
  <c r="I32" i="9"/>
  <c r="J32" i="9"/>
  <c r="I33" i="9"/>
  <c r="I34" i="9"/>
  <c r="I35" i="9"/>
  <c r="I36" i="9"/>
  <c r="J33" i="9"/>
  <c r="J34" i="9"/>
  <c r="J35" i="9"/>
  <c r="J36" i="9"/>
  <c r="J37" i="9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8" i="3"/>
  <c r="L2" i="3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H32" i="9"/>
  <c r="H33" i="9"/>
  <c r="H34" i="9"/>
  <c r="H35" i="9"/>
  <c r="H36" i="9"/>
  <c r="H37" i="9"/>
  <c r="F22" i="9"/>
  <c r="G22" i="9"/>
  <c r="I22" i="9"/>
  <c r="J22" i="9"/>
  <c r="S22" i="9"/>
  <c r="N2" i="9"/>
  <c r="R22" i="9"/>
  <c r="L2" i="9"/>
  <c r="O22" i="9"/>
  <c r="Q22" i="9"/>
  <c r="F21" i="9"/>
  <c r="G21" i="9"/>
  <c r="I21" i="9"/>
  <c r="J21" i="9"/>
  <c r="S21" i="9"/>
  <c r="R21" i="9"/>
  <c r="O21" i="9"/>
  <c r="Q21" i="9"/>
  <c r="F20" i="9"/>
  <c r="G20" i="9"/>
  <c r="I20" i="9"/>
  <c r="J20" i="9"/>
  <c r="S20" i="9"/>
  <c r="R20" i="9"/>
  <c r="O20" i="9"/>
  <c r="Q20" i="9"/>
  <c r="I19" i="9"/>
  <c r="S19" i="9"/>
  <c r="R19" i="9"/>
  <c r="O19" i="9"/>
  <c r="Q19" i="9"/>
  <c r="I18" i="9"/>
  <c r="S18" i="9"/>
  <c r="R18" i="9"/>
  <c r="O18" i="9"/>
  <c r="Q18" i="9"/>
  <c r="I17" i="9"/>
  <c r="S17" i="9"/>
  <c r="R17" i="9"/>
  <c r="O17" i="9"/>
  <c r="Q17" i="9"/>
  <c r="I16" i="9"/>
  <c r="S16" i="9"/>
  <c r="R16" i="9"/>
  <c r="O16" i="9"/>
  <c r="Q16" i="9"/>
  <c r="I15" i="9"/>
  <c r="S15" i="9"/>
  <c r="R15" i="9"/>
  <c r="O15" i="9"/>
  <c r="Q15" i="9"/>
  <c r="I14" i="9"/>
  <c r="S14" i="9"/>
  <c r="R14" i="9"/>
  <c r="O14" i="9"/>
  <c r="Q14" i="9"/>
  <c r="I13" i="9"/>
  <c r="S13" i="9"/>
  <c r="R13" i="9"/>
  <c r="O13" i="9"/>
  <c r="Q13" i="9"/>
  <c r="I12" i="9"/>
  <c r="S12" i="9"/>
  <c r="R12" i="9"/>
  <c r="O12" i="9"/>
  <c r="Q12" i="9"/>
  <c r="I11" i="9"/>
  <c r="S11" i="9"/>
  <c r="R11" i="9"/>
  <c r="O11" i="9"/>
  <c r="Q11" i="9"/>
  <c r="I10" i="9"/>
  <c r="S10" i="9"/>
  <c r="R10" i="9"/>
  <c r="O10" i="9"/>
  <c r="Q10" i="9"/>
  <c r="I9" i="9"/>
  <c r="S9" i="9"/>
  <c r="R9" i="9"/>
  <c r="O9" i="9"/>
  <c r="Q9" i="9"/>
  <c r="R8" i="9"/>
  <c r="S8" i="9"/>
  <c r="T8" i="9"/>
  <c r="O8" i="9"/>
  <c r="Q8" i="9"/>
  <c r="M2" i="9"/>
  <c r="O9" i="3"/>
  <c r="Q9" i="3"/>
  <c r="O10" i="3"/>
  <c r="Q10" i="3"/>
  <c r="O11" i="3"/>
  <c r="Q11" i="3"/>
  <c r="O12" i="3"/>
  <c r="Q12" i="3"/>
  <c r="O13" i="3"/>
  <c r="Q13" i="3"/>
  <c r="O14" i="3"/>
  <c r="Q14" i="3"/>
  <c r="O15" i="3"/>
  <c r="Q15" i="3"/>
  <c r="O16" i="3"/>
  <c r="Q16" i="3"/>
  <c r="O17" i="3"/>
  <c r="Q17" i="3"/>
  <c r="O18" i="3"/>
  <c r="Q18" i="3"/>
  <c r="O19" i="3"/>
  <c r="Q19" i="3"/>
  <c r="O20" i="3"/>
  <c r="Q20" i="3"/>
  <c r="O21" i="3"/>
  <c r="Q21" i="3"/>
  <c r="O22" i="3"/>
  <c r="Q22" i="3"/>
  <c r="O8" i="3"/>
  <c r="Q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N2" i="3"/>
  <c r="M2" i="3"/>
  <c r="G8" i="3"/>
  <c r="F9" i="3"/>
  <c r="G9" i="3"/>
  <c r="I9" i="3"/>
  <c r="J9" i="3"/>
  <c r="F10" i="3"/>
  <c r="G10" i="3"/>
  <c r="I10" i="3"/>
  <c r="J10" i="3"/>
  <c r="F11" i="3"/>
  <c r="G11" i="3"/>
  <c r="I11" i="3"/>
  <c r="J11" i="3"/>
  <c r="F12" i="3"/>
  <c r="G12" i="3"/>
  <c r="I12" i="3"/>
  <c r="J12" i="3"/>
  <c r="F13" i="3"/>
  <c r="G13" i="3"/>
  <c r="I13" i="3"/>
  <c r="J13" i="3"/>
  <c r="F14" i="3"/>
  <c r="G14" i="3"/>
  <c r="I14" i="3"/>
  <c r="J14" i="3"/>
  <c r="F15" i="3"/>
  <c r="G15" i="3"/>
  <c r="I15" i="3"/>
  <c r="J15" i="3"/>
  <c r="F16" i="3"/>
  <c r="G16" i="3"/>
  <c r="I16" i="3"/>
  <c r="J16" i="3"/>
  <c r="F17" i="3"/>
  <c r="G17" i="3"/>
  <c r="I17" i="3"/>
  <c r="J17" i="3"/>
  <c r="F18" i="3"/>
  <c r="G18" i="3"/>
  <c r="I18" i="3"/>
  <c r="J18" i="3"/>
  <c r="F19" i="3"/>
  <c r="G19" i="3"/>
  <c r="I19" i="3"/>
  <c r="J19" i="3"/>
  <c r="F20" i="3"/>
  <c r="G20" i="3"/>
  <c r="I20" i="3"/>
  <c r="J20" i="3"/>
  <c r="F21" i="3"/>
  <c r="G21" i="3"/>
  <c r="I21" i="3"/>
  <c r="J21" i="3"/>
  <c r="F22" i="3"/>
  <c r="G22" i="3"/>
  <c r="I22" i="3"/>
  <c r="J22" i="3"/>
  <c r="F8" i="3"/>
  <c r="I8" i="3"/>
  <c r="J8" i="3"/>
  <c r="B16" i="8"/>
  <c r="B15" i="8"/>
  <c r="B12" i="8"/>
  <c r="B11" i="8"/>
  <c r="B10" i="8"/>
  <c r="F4" i="8"/>
  <c r="G4" i="8"/>
  <c r="H7" i="8"/>
  <c r="G7" i="8"/>
  <c r="F7" i="8"/>
  <c r="E7" i="8"/>
  <c r="D7" i="8"/>
  <c r="H4" i="8"/>
  <c r="E4" i="8"/>
  <c r="D4" i="8"/>
  <c r="F7" i="7"/>
  <c r="E7" i="7"/>
  <c r="F6" i="7"/>
  <c r="E6" i="7"/>
  <c r="F5" i="7"/>
  <c r="E5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F8" i="7"/>
  <c r="E8" i="7"/>
  <c r="B59" i="4"/>
  <c r="B60" i="4"/>
  <c r="B61" i="4"/>
  <c r="B62" i="4"/>
  <c r="B58" i="4"/>
  <c r="E62" i="4"/>
  <c r="E61" i="4"/>
  <c r="E60" i="4"/>
  <c r="E59" i="4"/>
  <c r="E58" i="4"/>
  <c r="E57" i="4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197" i="2"/>
  <c r="H197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196" i="2"/>
  <c r="L211" i="2"/>
  <c r="M211" i="2"/>
  <c r="N211" i="2"/>
  <c r="L210" i="2"/>
  <c r="M210" i="2"/>
  <c r="N210" i="2"/>
  <c r="L209" i="2"/>
  <c r="M209" i="2"/>
  <c r="N209" i="2"/>
  <c r="L208" i="2"/>
  <c r="M208" i="2"/>
  <c r="N208" i="2"/>
  <c r="L207" i="2"/>
  <c r="M207" i="2"/>
  <c r="N207" i="2"/>
  <c r="L206" i="2"/>
  <c r="M206" i="2"/>
  <c r="N206" i="2"/>
  <c r="L205" i="2"/>
  <c r="M205" i="2"/>
  <c r="N205" i="2"/>
  <c r="L204" i="2"/>
  <c r="M204" i="2"/>
  <c r="N204" i="2"/>
  <c r="L203" i="2"/>
  <c r="M203" i="2"/>
  <c r="N203" i="2"/>
  <c r="L202" i="2"/>
  <c r="M202" i="2"/>
  <c r="N202" i="2"/>
  <c r="L201" i="2"/>
  <c r="M201" i="2"/>
  <c r="N201" i="2"/>
  <c r="L200" i="2"/>
  <c r="M200" i="2"/>
  <c r="N200" i="2"/>
  <c r="L199" i="2"/>
  <c r="M199" i="2"/>
  <c r="N199" i="2"/>
  <c r="L198" i="2"/>
  <c r="M198" i="2"/>
  <c r="N198" i="2"/>
  <c r="L197" i="2"/>
  <c r="M197" i="2"/>
  <c r="N197" i="2"/>
  <c r="L196" i="2"/>
  <c r="M196" i="2"/>
  <c r="N196" i="2"/>
  <c r="L195" i="2"/>
  <c r="L194" i="2"/>
  <c r="E52" i="4"/>
  <c r="E53" i="4"/>
  <c r="E54" i="4"/>
  <c r="E55" i="4"/>
  <c r="E56" i="4"/>
  <c r="E51" i="4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77" i="2"/>
  <c r="L193" i="2"/>
  <c r="M193" i="2"/>
  <c r="N193" i="2"/>
  <c r="L192" i="2"/>
  <c r="M192" i="2"/>
  <c r="N192" i="2"/>
  <c r="L191" i="2"/>
  <c r="M191" i="2"/>
  <c r="N191" i="2"/>
  <c r="L190" i="2"/>
  <c r="M190" i="2"/>
  <c r="N190" i="2"/>
  <c r="L189" i="2"/>
  <c r="M189" i="2"/>
  <c r="N189" i="2"/>
  <c r="L188" i="2"/>
  <c r="M188" i="2"/>
  <c r="N188" i="2"/>
  <c r="L187" i="2"/>
  <c r="M187" i="2"/>
  <c r="N187" i="2"/>
  <c r="L186" i="2"/>
  <c r="M186" i="2"/>
  <c r="N186" i="2"/>
  <c r="L185" i="2"/>
  <c r="M185" i="2"/>
  <c r="N185" i="2"/>
  <c r="L184" i="2"/>
  <c r="M184" i="2"/>
  <c r="N184" i="2"/>
  <c r="L183" i="2"/>
  <c r="M183" i="2"/>
  <c r="N183" i="2"/>
  <c r="L182" i="2"/>
  <c r="M182" i="2"/>
  <c r="N182" i="2"/>
  <c r="L181" i="2"/>
  <c r="M181" i="2"/>
  <c r="N181" i="2"/>
  <c r="L180" i="2"/>
  <c r="M180" i="2"/>
  <c r="N180" i="2"/>
  <c r="L179" i="2"/>
  <c r="M179" i="2"/>
  <c r="N179" i="2"/>
  <c r="L178" i="2"/>
  <c r="M178" i="2"/>
  <c r="N178" i="2"/>
  <c r="L177" i="2"/>
  <c r="L176" i="2"/>
  <c r="E50" i="4"/>
  <c r="E49" i="4"/>
  <c r="E48" i="4"/>
  <c r="E47" i="4"/>
  <c r="E46" i="4"/>
  <c r="E45" i="4"/>
  <c r="E44" i="4"/>
  <c r="L155" i="2"/>
  <c r="L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7" i="2"/>
  <c r="M7" i="2"/>
  <c r="E2" i="6"/>
  <c r="E13" i="6"/>
  <c r="E14" i="6"/>
  <c r="E15" i="6"/>
  <c r="E16" i="6"/>
  <c r="E17" i="6"/>
  <c r="E18" i="6"/>
  <c r="E19" i="6"/>
  <c r="E20" i="6"/>
  <c r="E21" i="6"/>
  <c r="E12" i="6"/>
  <c r="K12" i="6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6" i="2"/>
  <c r="B23" i="6"/>
  <c r="B24" i="6"/>
  <c r="E3" i="6"/>
  <c r="E6" i="6"/>
  <c r="E5" i="6"/>
  <c r="E4" i="6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3" i="4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7" i="1"/>
  <c r="O28" i="1"/>
  <c r="O29" i="1"/>
  <c r="O30" i="1"/>
  <c r="O31" i="1"/>
  <c r="O32" i="1"/>
  <c r="O9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8" i="1"/>
  <c r="M31" i="1"/>
  <c r="M32" i="1"/>
  <c r="M30" i="1"/>
  <c r="M28" i="1"/>
  <c r="M29" i="1"/>
  <c r="M2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8" i="1"/>
  <c r="D30" i="2"/>
  <c r="D31" i="2"/>
  <c r="D29" i="2"/>
  <c r="D27" i="2"/>
  <c r="D28" i="2"/>
  <c r="D26" i="2"/>
  <c r="D24" i="2"/>
  <c r="D25" i="2"/>
  <c r="D23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7" i="2"/>
  <c r="D6" i="2"/>
  <c r="D5" i="2"/>
  <c r="B5" i="2"/>
  <c r="C5" i="2"/>
  <c r="F5" i="2"/>
  <c r="G5" i="2"/>
  <c r="H5" i="2"/>
  <c r="I5" i="2"/>
  <c r="J5" i="2"/>
  <c r="B6" i="2"/>
  <c r="C6" i="2"/>
  <c r="F6" i="2"/>
  <c r="G6" i="2"/>
  <c r="H6" i="2"/>
  <c r="I6" i="2"/>
  <c r="J6" i="2"/>
  <c r="B7" i="2"/>
  <c r="C7" i="2"/>
  <c r="F7" i="2"/>
  <c r="G7" i="2"/>
  <c r="H7" i="2"/>
  <c r="I7" i="2"/>
  <c r="J7" i="2"/>
  <c r="B8" i="2"/>
  <c r="C8" i="2"/>
  <c r="F8" i="2"/>
  <c r="G8" i="2"/>
  <c r="H8" i="2"/>
  <c r="I8" i="2"/>
  <c r="J8" i="2"/>
  <c r="B9" i="2"/>
  <c r="C9" i="2"/>
  <c r="F9" i="2"/>
  <c r="G9" i="2"/>
  <c r="H9" i="2"/>
  <c r="I9" i="2"/>
  <c r="J9" i="2"/>
  <c r="B10" i="2"/>
  <c r="C10" i="2"/>
  <c r="F10" i="2"/>
  <c r="G10" i="2"/>
  <c r="H10" i="2"/>
  <c r="I10" i="2"/>
  <c r="J10" i="2"/>
  <c r="B11" i="2"/>
  <c r="C11" i="2"/>
  <c r="F11" i="2"/>
  <c r="G11" i="2"/>
  <c r="H11" i="2"/>
  <c r="I11" i="2"/>
  <c r="J11" i="2"/>
  <c r="B12" i="2"/>
  <c r="C12" i="2"/>
  <c r="F12" i="2"/>
  <c r="G12" i="2"/>
  <c r="H12" i="2"/>
  <c r="I12" i="2"/>
  <c r="J12" i="2"/>
  <c r="B13" i="2"/>
  <c r="C13" i="2"/>
  <c r="F13" i="2"/>
  <c r="G13" i="2"/>
  <c r="H13" i="2"/>
  <c r="I13" i="2"/>
  <c r="J13" i="2"/>
  <c r="B14" i="2"/>
  <c r="C14" i="2"/>
  <c r="F14" i="2"/>
  <c r="G14" i="2"/>
  <c r="H14" i="2"/>
  <c r="I14" i="2"/>
  <c r="J14" i="2"/>
  <c r="B15" i="2"/>
  <c r="C15" i="2"/>
  <c r="F15" i="2"/>
  <c r="G15" i="2"/>
  <c r="H15" i="2"/>
  <c r="I15" i="2"/>
  <c r="J15" i="2"/>
  <c r="B16" i="2"/>
  <c r="C16" i="2"/>
  <c r="F16" i="2"/>
  <c r="G16" i="2"/>
  <c r="H16" i="2"/>
  <c r="I16" i="2"/>
  <c r="J16" i="2"/>
  <c r="B17" i="2"/>
  <c r="C17" i="2"/>
  <c r="F17" i="2"/>
  <c r="G17" i="2"/>
  <c r="H17" i="2"/>
  <c r="I17" i="2"/>
  <c r="J17" i="2"/>
  <c r="B18" i="2"/>
  <c r="C18" i="2"/>
  <c r="F18" i="2"/>
  <c r="G18" i="2"/>
  <c r="H18" i="2"/>
  <c r="I18" i="2"/>
  <c r="J18" i="2"/>
  <c r="B19" i="2"/>
  <c r="C19" i="2"/>
  <c r="F19" i="2"/>
  <c r="G19" i="2"/>
  <c r="H19" i="2"/>
  <c r="I19" i="2"/>
  <c r="J19" i="2"/>
  <c r="B20" i="2"/>
  <c r="C20" i="2"/>
  <c r="F20" i="2"/>
  <c r="G20" i="2"/>
  <c r="H20" i="2"/>
  <c r="I20" i="2"/>
  <c r="J20" i="2"/>
  <c r="B21" i="2"/>
  <c r="C21" i="2"/>
  <c r="F21" i="2"/>
  <c r="G21" i="2"/>
  <c r="H21" i="2"/>
  <c r="I21" i="2"/>
  <c r="J21" i="2"/>
  <c r="B22" i="2"/>
  <c r="C22" i="2"/>
  <c r="F22" i="2"/>
  <c r="G22" i="2"/>
  <c r="H22" i="2"/>
  <c r="I22" i="2"/>
  <c r="J22" i="2"/>
  <c r="B23" i="2"/>
  <c r="C23" i="2"/>
  <c r="F23" i="2"/>
  <c r="G23" i="2"/>
  <c r="H23" i="2"/>
  <c r="I23" i="2"/>
  <c r="J23" i="2"/>
  <c r="B24" i="2"/>
  <c r="C24" i="2"/>
  <c r="F24" i="2"/>
  <c r="G24" i="2"/>
  <c r="H24" i="2"/>
  <c r="I24" i="2"/>
  <c r="J24" i="2"/>
  <c r="B25" i="2"/>
  <c r="C25" i="2"/>
  <c r="F25" i="2"/>
  <c r="G25" i="2"/>
  <c r="H25" i="2"/>
  <c r="I25" i="2"/>
  <c r="J25" i="2"/>
  <c r="B26" i="2"/>
  <c r="C26" i="2"/>
  <c r="F26" i="2"/>
  <c r="G26" i="2"/>
  <c r="H26" i="2"/>
  <c r="I26" i="2"/>
  <c r="J26" i="2"/>
  <c r="B27" i="2"/>
  <c r="C27" i="2"/>
  <c r="F27" i="2"/>
  <c r="G27" i="2"/>
  <c r="H27" i="2"/>
  <c r="I27" i="2"/>
  <c r="J27" i="2"/>
  <c r="B28" i="2"/>
  <c r="C28" i="2"/>
  <c r="F28" i="2"/>
  <c r="G28" i="2"/>
  <c r="H28" i="2"/>
  <c r="I28" i="2"/>
  <c r="J28" i="2"/>
  <c r="B29" i="2"/>
  <c r="C29" i="2"/>
  <c r="F29" i="2"/>
  <c r="G29" i="2"/>
  <c r="H29" i="2"/>
  <c r="I29" i="2"/>
  <c r="J29" i="2"/>
  <c r="B30" i="2"/>
  <c r="C30" i="2"/>
  <c r="F30" i="2"/>
  <c r="G30" i="2"/>
  <c r="H30" i="2"/>
  <c r="I30" i="2"/>
  <c r="J30" i="2"/>
  <c r="B31" i="2"/>
  <c r="C31" i="2"/>
  <c r="F31" i="2"/>
  <c r="G31" i="2"/>
  <c r="H31" i="2"/>
  <c r="I31" i="2"/>
  <c r="J31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89" i="2"/>
  <c r="H32" i="2"/>
  <c r="H37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J33" i="2"/>
  <c r="I33" i="2"/>
  <c r="J4" i="2"/>
  <c r="I4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36" i="2"/>
  <c r="H35" i="2"/>
  <c r="H34" i="2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8" i="1"/>
  <c r="K8" i="1"/>
  <c r="L8" i="1"/>
  <c r="K23" i="1"/>
  <c r="J23" i="1"/>
  <c r="J28" i="1"/>
  <c r="K28" i="1"/>
  <c r="L28" i="1"/>
  <c r="J29" i="1"/>
  <c r="K29" i="1"/>
  <c r="L29" i="1"/>
  <c r="I27" i="1"/>
  <c r="J27" i="1"/>
  <c r="K27" i="1"/>
  <c r="L27" i="1"/>
  <c r="J25" i="1"/>
  <c r="K25" i="1"/>
  <c r="J26" i="1"/>
  <c r="K26" i="1"/>
  <c r="J24" i="1"/>
  <c r="K24" i="1"/>
  <c r="J30" i="1"/>
  <c r="J31" i="1"/>
  <c r="J32" i="1"/>
  <c r="J33" i="1"/>
  <c r="J34" i="1"/>
  <c r="K30" i="1"/>
  <c r="L30" i="1"/>
  <c r="K31" i="1"/>
  <c r="L31" i="1"/>
  <c r="K32" i="1"/>
  <c r="L32" i="1"/>
</calcChain>
</file>

<file path=xl/comments1.xml><?xml version="1.0" encoding="utf-8"?>
<comments xmlns="http://schemas.openxmlformats.org/spreadsheetml/2006/main">
  <authors>
    <author>Sasha D. Hafner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Same bottle key as in other worksheets. Must match exactly.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Time since starting incubation. Specify units in "Options" sheet.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Biogas volume in the water column in units given in Options sheet. 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Biogas temperature at time of volume measurement. Degrees C.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Biogas pressure at time of volume measurement. Degrees C.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Methane concentration in biogas as fraction (0-1) or percentage.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Example data here and below. Please delete.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Example values included in these rows. Please delete. You can calculate pressure in water column as done here or else leave this column blank.</t>
        </r>
      </text>
    </comment>
  </commentList>
</comments>
</file>

<file path=xl/sharedStrings.xml><?xml version="1.0" encoding="utf-8"?>
<sst xmlns="http://schemas.openxmlformats.org/spreadsheetml/2006/main" count="1192" uniqueCount="219">
  <si>
    <t>Setup data from biogas experiment</t>
  </si>
  <si>
    <t>Date:</t>
  </si>
  <si>
    <t>Start time:</t>
  </si>
  <si>
    <t>Room temp:</t>
  </si>
  <si>
    <t>Time bottles placed in incubator:</t>
  </si>
  <si>
    <t>Ambient pressure:</t>
  </si>
  <si>
    <t>Inoculum</t>
  </si>
  <si>
    <t>Substrate</t>
  </si>
  <si>
    <t>Total mass</t>
  </si>
  <si>
    <t>Notes</t>
  </si>
  <si>
    <t>Inoculum source:</t>
  </si>
  <si>
    <t>Inoculum collection date:</t>
  </si>
  <si>
    <t>Inoculum pH:</t>
  </si>
  <si>
    <t>Experiment or project:</t>
  </si>
  <si>
    <t>Initials:</t>
  </si>
  <si>
    <t>27.8.2019</t>
  </si>
  <si>
    <t>JMOR</t>
  </si>
  <si>
    <t>No</t>
  </si>
  <si>
    <t>Bottle</t>
  </si>
  <si>
    <t>Bottle + substrate</t>
  </si>
  <si>
    <t>Bottle + inoculum + substrate</t>
  </si>
  <si>
    <t>Foulum reactor 52°C</t>
  </si>
  <si>
    <t>NA</t>
  </si>
  <si>
    <t>Master thesis batch experiment</t>
  </si>
  <si>
    <t>ISR</t>
  </si>
  <si>
    <t>VS substrate</t>
  </si>
  <si>
    <t>VS inoculum</t>
  </si>
  <si>
    <t>Bottles are discarded after 3 days</t>
  </si>
  <si>
    <t>Bottles are discarded after 7 days</t>
  </si>
  <si>
    <t>Bottles are discarded after 14 days</t>
  </si>
  <si>
    <t>Bottles are discarded after 30 days</t>
  </si>
  <si>
    <t>Double amount of substrate: Bottles are discarded after 30 days</t>
  </si>
  <si>
    <t>Cellulose</t>
  </si>
  <si>
    <t>VS Cellulose</t>
  </si>
  <si>
    <t>Litterbag</t>
  </si>
  <si>
    <t>Yes</t>
  </si>
  <si>
    <t>Litterbag and inoculum</t>
  </si>
  <si>
    <t>None</t>
  </si>
  <si>
    <t>26°C</t>
  </si>
  <si>
    <t>19.08.2019</t>
  </si>
  <si>
    <t>Nylon</t>
  </si>
  <si>
    <t>JMOR master thesis batch experiment</t>
  </si>
  <si>
    <t>Initial</t>
  </si>
  <si>
    <t>Volume</t>
  </si>
  <si>
    <t>Final</t>
  </si>
  <si>
    <t>ID</t>
  </si>
  <si>
    <t>Time</t>
  </si>
  <si>
    <t>Water control weight for time 0: 527,22 g</t>
  </si>
  <si>
    <t>Water control weight for time 0: 528,15 g</t>
  </si>
  <si>
    <t>Date</t>
  </si>
  <si>
    <t>Bag</t>
  </si>
  <si>
    <t>Bag + substrate</t>
  </si>
  <si>
    <t xml:space="preserve">Substrate </t>
  </si>
  <si>
    <t>D3 01</t>
  </si>
  <si>
    <t>D3 02</t>
  </si>
  <si>
    <t>D3 03</t>
  </si>
  <si>
    <t>D7 01</t>
  </si>
  <si>
    <t>D7 02</t>
  </si>
  <si>
    <t>D7 03</t>
  </si>
  <si>
    <t>D14 01</t>
  </si>
  <si>
    <t>D14 02</t>
  </si>
  <si>
    <t>D14 03</t>
  </si>
  <si>
    <t>D30 01</t>
  </si>
  <si>
    <t>D30 02</t>
  </si>
  <si>
    <t>D30 03</t>
  </si>
  <si>
    <t>D30 24 01</t>
  </si>
  <si>
    <t>D30 24 02</t>
  </si>
  <si>
    <t>D30 24 03</t>
  </si>
  <si>
    <t>Water control weight for time 0: 528,15 g. Final mass measured after last sample</t>
  </si>
  <si>
    <t>Water control weight for time 0: 527,22 g. Final mass measured efter last sample.</t>
  </si>
  <si>
    <t>xCH4</t>
  </si>
  <si>
    <t>xCO2</t>
  </si>
  <si>
    <t>Ino 01</t>
  </si>
  <si>
    <t>Cell 01</t>
  </si>
  <si>
    <t>D30 12 01</t>
  </si>
  <si>
    <t>Ino 02</t>
  </si>
  <si>
    <t>Ino 03</t>
  </si>
  <si>
    <t>Cell 02</t>
  </si>
  <si>
    <t>Cell 03</t>
  </si>
  <si>
    <t>D30 12 02</t>
  </si>
  <si>
    <t>D30 12 03</t>
  </si>
  <si>
    <t>JMOR master thesis batch experiment: GC data</t>
  </si>
  <si>
    <t>Discarded</t>
  </si>
  <si>
    <t>1012,5 hPa</t>
  </si>
  <si>
    <t>Room temp</t>
  </si>
  <si>
    <t>temp</t>
  </si>
  <si>
    <t>Pressure</t>
  </si>
  <si>
    <t>pres</t>
  </si>
  <si>
    <t>incubator_temp_sp</t>
  </si>
  <si>
    <t>incubator_temp_ac</t>
  </si>
  <si>
    <t>No nylon bag</t>
  </si>
  <si>
    <t>x</t>
  </si>
  <si>
    <t>vol</t>
  </si>
  <si>
    <t>Water 01</t>
  </si>
  <si>
    <t>Water 02</t>
  </si>
  <si>
    <t>mass_bottle</t>
  </si>
  <si>
    <t>nylon bag</t>
  </si>
  <si>
    <t>mass_bot_sub</t>
  </si>
  <si>
    <t>substrate</t>
  </si>
  <si>
    <t>mass_bot_ino_sub</t>
  </si>
  <si>
    <t>mass_tot</t>
  </si>
  <si>
    <t>mass_ino</t>
  </si>
  <si>
    <t>mass_sub</t>
  </si>
  <si>
    <t>date</t>
  </si>
  <si>
    <t>time</t>
  </si>
  <si>
    <t>Room temperature</t>
  </si>
  <si>
    <t>Start date of experiment</t>
  </si>
  <si>
    <t>Time bottles placed in incubator</t>
  </si>
  <si>
    <t>vol.hs</t>
  </si>
  <si>
    <t>volume headspace (ml)</t>
  </si>
  <si>
    <t>T0</t>
  </si>
  <si>
    <t>mass.init</t>
  </si>
  <si>
    <t>mass.final</t>
  </si>
  <si>
    <t>id</t>
  </si>
  <si>
    <t>notes</t>
  </si>
  <si>
    <t>mass substrate vs</t>
  </si>
  <si>
    <t>m.sub.vs</t>
  </si>
  <si>
    <t>m.ino.vs</t>
  </si>
  <si>
    <t>mass inoculum vs</t>
  </si>
  <si>
    <t>xCH4_correc</t>
  </si>
  <si>
    <t>Bottle key</t>
  </si>
  <si>
    <t>Biogas volume</t>
  </si>
  <si>
    <t>Temperature (deg. C)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</si>
  <si>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conc. (frac. or %)</t>
    </r>
  </si>
  <si>
    <t>Ambient pressure</t>
  </si>
  <si>
    <t>Water column height (m)</t>
  </si>
  <si>
    <t>Water level (m)</t>
  </si>
  <si>
    <t>Column emptied?</t>
  </si>
  <si>
    <t>CEL1</t>
  </si>
  <si>
    <t>Adjust pressure</t>
  </si>
  <si>
    <r>
      <t>CH</t>
    </r>
    <r>
      <rPr>
        <b/>
        <vertAlign val="subscript"/>
        <sz val="11"/>
        <color rgb="FF000000"/>
        <rFont val="Calibri"/>
        <family val="2"/>
      </rPr>
      <t>4</t>
    </r>
    <r>
      <rPr>
        <b/>
        <sz val="11"/>
        <color rgb="FF000000"/>
        <rFont val="Calibri"/>
        <family val="2"/>
      </rPr>
      <t xml:space="preserve"> conc. (frac. or %)</t>
    </r>
  </si>
  <si>
    <t>a</t>
  </si>
  <si>
    <t>b</t>
  </si>
  <si>
    <t>water_height</t>
  </si>
  <si>
    <t>m</t>
  </si>
  <si>
    <t>pres_adj</t>
  </si>
  <si>
    <t>Water res height</t>
  </si>
  <si>
    <t xml:space="preserve">100 ml = </t>
  </si>
  <si>
    <t>water_level</t>
  </si>
  <si>
    <t>CGP03</t>
  </si>
  <si>
    <t>CGP07</t>
  </si>
  <si>
    <t>CGP14</t>
  </si>
  <si>
    <t>CGP30</t>
  </si>
  <si>
    <t>CGP24g</t>
  </si>
  <si>
    <t>CGP12g</t>
  </si>
  <si>
    <t>%N</t>
  </si>
  <si>
    <t>%C</t>
  </si>
  <si>
    <t>%H</t>
  </si>
  <si>
    <t>%S</t>
  </si>
  <si>
    <t>CGP dry matter %</t>
  </si>
  <si>
    <t>dry substrate mass (g)</t>
  </si>
  <si>
    <t>mass.sub.wet</t>
  </si>
  <si>
    <t>mass.sub.dry</t>
  </si>
  <si>
    <t>mass.in</t>
  </si>
  <si>
    <t>mass.bag</t>
  </si>
  <si>
    <t>mass.fin.dry</t>
  </si>
  <si>
    <t>Bag + substrate after washing and drying</t>
  </si>
  <si>
    <t>mass.fin.sub.dry</t>
  </si>
  <si>
    <t>mass.samp</t>
  </si>
  <si>
    <t>mass.tung</t>
  </si>
  <si>
    <t>mass.foil.samp.tung</t>
  </si>
  <si>
    <t>mass.foil.samp</t>
  </si>
  <si>
    <t>mass.foil</t>
  </si>
  <si>
    <t>T0 3</t>
  </si>
  <si>
    <t>T0 2</t>
  </si>
  <si>
    <t>T0 1</t>
  </si>
  <si>
    <t>Theoretical gas and methane potential for CGP at T0 using Boyle's equation from section 2.2.1</t>
  </si>
  <si>
    <t>C</t>
  </si>
  <si>
    <t>N</t>
  </si>
  <si>
    <t>H</t>
  </si>
  <si>
    <t>S</t>
  </si>
  <si>
    <t>O</t>
  </si>
  <si>
    <t>Ash</t>
  </si>
  <si>
    <t>TGV</t>
  </si>
  <si>
    <t>CH4 expression</t>
  </si>
  <si>
    <t>CO2 expression</t>
  </si>
  <si>
    <t>Biomass expression</t>
  </si>
  <si>
    <t>Molar volume</t>
  </si>
  <si>
    <t>unit</t>
  </si>
  <si>
    <t>mol</t>
  </si>
  <si>
    <t>g VS/mol</t>
  </si>
  <si>
    <t>mL/mol</t>
  </si>
  <si>
    <t>TBMP</t>
  </si>
  <si>
    <t>value</t>
  </si>
  <si>
    <t>mass_ea</t>
  </si>
  <si>
    <t>M</t>
  </si>
  <si>
    <t>letter</t>
  </si>
  <si>
    <t>c</t>
  </si>
  <si>
    <t>d</t>
  </si>
  <si>
    <t>e</t>
  </si>
  <si>
    <t>mass.remove</t>
  </si>
  <si>
    <t>Time in days</t>
  </si>
  <si>
    <t>mass.s</t>
  </si>
  <si>
    <t>total mass</t>
  </si>
  <si>
    <t>mass.in.n</t>
  </si>
  <si>
    <t>mass.in.s</t>
  </si>
  <si>
    <t>mass.fin.n</t>
  </si>
  <si>
    <t>mass.dif.n</t>
  </si>
  <si>
    <t>mass.dif.s</t>
  </si>
  <si>
    <t>total mass_pred</t>
  </si>
  <si>
    <t>SSE</t>
  </si>
  <si>
    <t>sum</t>
  </si>
  <si>
    <t>S0</t>
  </si>
  <si>
    <t>k</t>
  </si>
  <si>
    <t>D03 01</t>
  </si>
  <si>
    <t>D03 02</t>
  </si>
  <si>
    <t>D03 03</t>
  </si>
  <si>
    <t>D07 01</t>
  </si>
  <si>
    <t>D07 02</t>
  </si>
  <si>
    <t>D07 03</t>
  </si>
  <si>
    <t>Sf</t>
  </si>
  <si>
    <t>total mass_pred 2</t>
  </si>
  <si>
    <t>SSE2</t>
  </si>
  <si>
    <t>k2</t>
  </si>
  <si>
    <t>mass.fin.s</t>
  </si>
  <si>
    <t>%mass</t>
  </si>
  <si>
    <t>Start</t>
  </si>
  <si>
    <t>slut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</si>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</sst>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0"/>
      <name val="Verdana"/>
      <family val="2"/>
      <charset val="1"/>
    </font>
    <font>
      <b/>
      <sz val="11"/>
      <name val="Verdana"/>
      <family val="2"/>
      <charset val="1"/>
    </font>
    <font>
      <u/>
      <sz val="10"/>
      <color theme="10"/>
      <name val="Verdana"/>
      <family val="2"/>
      <charset val="1"/>
    </font>
    <font>
      <u/>
      <sz val="10"/>
      <color theme="11"/>
      <name val="Verdana"/>
      <family val="2"/>
      <charset val="1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0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2" xfId="0" applyFont="1" applyFill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164" fontId="0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2" borderId="3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2" xfId="0" applyFont="1" applyBorder="1"/>
    <xf numFmtId="0" fontId="0" fillId="0" borderId="4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11" fillId="2" borderId="3" xfId="0" applyFont="1" applyFill="1" applyBorder="1" applyAlignment="1">
      <alignment horizontal="center"/>
    </xf>
  </cellXfs>
  <cellStyles count="11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mass_obs</c:v>
          </c:tx>
          <c:spPr>
            <a:ln w="31750">
              <a:noFill/>
            </a:ln>
          </c:spPr>
          <c:xVal>
            <c:numRef>
              <c:f>'excel solver_total'!$E$32:$E$36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solver_total'!$F$32:$F$36</c:f>
              <c:numCache>
                <c:formatCode>General</c:formatCode>
                <c:ptCount val="5"/>
                <c:pt idx="0">
                  <c:v>100.0</c:v>
                </c:pt>
                <c:pt idx="1">
                  <c:v>45.6393562937144</c:v>
                </c:pt>
                <c:pt idx="2">
                  <c:v>38.38562235961711</c:v>
                </c:pt>
                <c:pt idx="3">
                  <c:v>33.31318156746807</c:v>
                </c:pt>
                <c:pt idx="4">
                  <c:v>30.08138962691173</c:v>
                </c:pt>
              </c:numCache>
            </c:numRef>
          </c:yVal>
          <c:smooth val="0"/>
        </c:ser>
        <c:ser>
          <c:idx val="1"/>
          <c:order val="1"/>
          <c:tx>
            <c:v>mass_pred</c:v>
          </c:tx>
          <c:spPr>
            <a:ln w="31750">
              <a:noFill/>
            </a:ln>
          </c:spPr>
          <c:xVal>
            <c:numRef>
              <c:f>'excel solver_total'!$E$32:$E$36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solver_total'!$G$32:$G$36</c:f>
              <c:numCache>
                <c:formatCode>General</c:formatCode>
                <c:ptCount val="5"/>
                <c:pt idx="0">
                  <c:v>99.99968962413934</c:v>
                </c:pt>
                <c:pt idx="1">
                  <c:v>48.54124188376359</c:v>
                </c:pt>
                <c:pt idx="2">
                  <c:v>33.20801223895842</c:v>
                </c:pt>
                <c:pt idx="3">
                  <c:v>30.221206034961</c:v>
                </c:pt>
                <c:pt idx="4">
                  <c:v>30.08150469293794</c:v>
                </c:pt>
              </c:numCache>
            </c:numRef>
          </c:yVal>
          <c:smooth val="0"/>
        </c:ser>
        <c:ser>
          <c:idx val="2"/>
          <c:order val="2"/>
          <c:tx>
            <c:v>mass_fom</c:v>
          </c:tx>
          <c:spPr>
            <a:ln w="31750">
              <a:noFill/>
            </a:ln>
          </c:spPr>
          <c:xVal>
            <c:numRef>
              <c:f>'excel solver_total'!$E$32:$E$36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solver_total'!$I$32:$I$36</c:f>
              <c:numCache>
                <c:formatCode>General</c:formatCode>
                <c:ptCount val="5"/>
                <c:pt idx="0">
                  <c:v>99.99987705797501</c:v>
                </c:pt>
                <c:pt idx="1">
                  <c:v>69.15455203028004</c:v>
                </c:pt>
                <c:pt idx="2">
                  <c:v>42.2910500968738</c:v>
                </c:pt>
                <c:pt idx="3">
                  <c:v>17.8853291829629</c:v>
                </c:pt>
                <c:pt idx="4">
                  <c:v>2.501541567983776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06184"/>
        <c:axId val="2087139400"/>
      </c:scatterChart>
      <c:valAx>
        <c:axId val="210970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139400"/>
        <c:crosses val="autoZero"/>
        <c:crossBetween val="midCat"/>
      </c:valAx>
      <c:valAx>
        <c:axId val="208713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706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mass_obs</c:v>
          </c:tx>
          <c:spPr>
            <a:ln w="31750">
              <a:noFill/>
            </a:ln>
          </c:spPr>
          <c:xVal>
            <c:numRef>
              <c:f>'excel solver_N'!$E$32:$E$36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solver_N'!$F$32:$F$36</c:f>
              <c:numCache>
                <c:formatCode>General</c:formatCode>
                <c:ptCount val="5"/>
                <c:pt idx="0">
                  <c:v>77.9034</c:v>
                </c:pt>
                <c:pt idx="1">
                  <c:v>13.81475555555556</c:v>
                </c:pt>
                <c:pt idx="2">
                  <c:v>15.40719444444444</c:v>
                </c:pt>
                <c:pt idx="3">
                  <c:v>13.71208666666667</c:v>
                </c:pt>
                <c:pt idx="4">
                  <c:v>9.827839999999998</c:v>
                </c:pt>
              </c:numCache>
            </c:numRef>
          </c:yVal>
          <c:smooth val="0"/>
        </c:ser>
        <c:ser>
          <c:idx val="1"/>
          <c:order val="1"/>
          <c:tx>
            <c:v>mass_pred</c:v>
          </c:tx>
          <c:spPr>
            <a:ln w="31750">
              <a:noFill/>
            </a:ln>
          </c:spPr>
          <c:xVal>
            <c:numRef>
              <c:f>'excel solver_N'!$E$32:$E$36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solver_N'!$G$32:$G$36</c:f>
              <c:numCache>
                <c:formatCode>General</c:formatCode>
                <c:ptCount val="5"/>
                <c:pt idx="0">
                  <c:v>77.90277376556448</c:v>
                </c:pt>
                <c:pt idx="1">
                  <c:v>14.13756087867678</c:v>
                </c:pt>
                <c:pt idx="2">
                  <c:v>9.93658092892047</c:v>
                </c:pt>
                <c:pt idx="3">
                  <c:v>9.828013698014711</c:v>
                </c:pt>
                <c:pt idx="4">
                  <c:v>9.827840000070397</c:v>
                </c:pt>
              </c:numCache>
            </c:numRef>
          </c:yVal>
          <c:smooth val="0"/>
        </c:ser>
        <c:ser>
          <c:idx val="2"/>
          <c:order val="2"/>
          <c:tx>
            <c:v>mass_fom</c:v>
          </c:tx>
          <c:spPr>
            <a:ln w="31750">
              <a:noFill/>
            </a:ln>
          </c:spPr>
          <c:xVal>
            <c:numRef>
              <c:f>'excel solver_N'!$E$32:$E$36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solver_N'!$I$32:$I$36</c:f>
              <c:numCache>
                <c:formatCode>General</c:formatCode>
                <c:ptCount val="5"/>
                <c:pt idx="0">
                  <c:v>77.90302655878611</c:v>
                </c:pt>
                <c:pt idx="1">
                  <c:v>18.49263909794597</c:v>
                </c:pt>
                <c:pt idx="2">
                  <c:v>2.718038076257472</c:v>
                </c:pt>
                <c:pt idx="3">
                  <c:v>0.0948319455118187</c:v>
                </c:pt>
                <c:pt idx="4">
                  <c:v>4.42569243827772E-5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22344"/>
        <c:axId val="2110122824"/>
      </c:scatterChart>
      <c:valAx>
        <c:axId val="211012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122824"/>
        <c:crosses val="autoZero"/>
        <c:crossBetween val="midCat"/>
      </c:valAx>
      <c:valAx>
        <c:axId val="211012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22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mass_obs</c:v>
          </c:tx>
          <c:spPr>
            <a:ln w="31750">
              <a:noFill/>
            </a:ln>
          </c:spPr>
          <c:xVal>
            <c:numRef>
              <c:f>excel_solver_S!$E$32:$E$36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excel_solver_S!$F$32:$F$36</c:f>
              <c:numCache>
                <c:formatCode>General</c:formatCode>
                <c:ptCount val="5"/>
                <c:pt idx="0">
                  <c:v>3.09918</c:v>
                </c:pt>
                <c:pt idx="1">
                  <c:v>1.614599555555555</c:v>
                </c:pt>
                <c:pt idx="2">
                  <c:v>1.729231</c:v>
                </c:pt>
                <c:pt idx="3">
                  <c:v>2.018855666666667</c:v>
                </c:pt>
                <c:pt idx="4">
                  <c:v>1.6752</c:v>
                </c:pt>
              </c:numCache>
            </c:numRef>
          </c:yVal>
          <c:smooth val="0"/>
        </c:ser>
        <c:ser>
          <c:idx val="1"/>
          <c:order val="1"/>
          <c:tx>
            <c:v>mass_pred</c:v>
          </c:tx>
          <c:spPr>
            <a:ln w="31750">
              <a:noFill/>
            </a:ln>
          </c:spPr>
          <c:xVal>
            <c:numRef>
              <c:f>excel_solver_S!$E$32:$E$36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excel_solver_S!$G$32:$G$36</c:f>
              <c:numCache>
                <c:formatCode>General</c:formatCode>
                <c:ptCount val="5"/>
                <c:pt idx="0">
                  <c:v>3.099089267990992</c:v>
                </c:pt>
                <c:pt idx="1">
                  <c:v>1.675200007106108</c:v>
                </c:pt>
                <c:pt idx="2">
                  <c:v>1.6752</c:v>
                </c:pt>
                <c:pt idx="3">
                  <c:v>1.6752</c:v>
                </c:pt>
                <c:pt idx="4">
                  <c:v>1.6752</c:v>
                </c:pt>
              </c:numCache>
            </c:numRef>
          </c:yVal>
          <c:smooth val="0"/>
        </c:ser>
        <c:ser>
          <c:idx val="2"/>
          <c:order val="2"/>
          <c:tx>
            <c:v>mass_fom</c:v>
          </c:tx>
          <c:spPr>
            <a:ln w="31750">
              <a:noFill/>
            </a:ln>
          </c:spPr>
          <c:xVal>
            <c:numRef>
              <c:f>excel_solver_S!$E$32:$E$36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excel_solver_S!$I$32:$I$36</c:f>
              <c:numCache>
                <c:formatCode>General</c:formatCode>
                <c:ptCount val="5"/>
                <c:pt idx="0">
                  <c:v>3.099178929366778</c:v>
                </c:pt>
                <c:pt idx="1">
                  <c:v>2.794073207342827</c:v>
                </c:pt>
                <c:pt idx="2">
                  <c:v>2.433468642495719</c:v>
                </c:pt>
                <c:pt idx="3">
                  <c:v>1.910753694206195</c:v>
                </c:pt>
                <c:pt idx="4">
                  <c:v>1.099402200326383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92776"/>
        <c:axId val="2107524552"/>
      </c:scatterChart>
      <c:valAx>
        <c:axId val="209629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524552"/>
        <c:crosses val="autoZero"/>
        <c:crossBetween val="midCat"/>
      </c:valAx>
      <c:valAx>
        <c:axId val="210752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9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23</xdr:row>
      <xdr:rowOff>139700</xdr:rowOff>
    </xdr:from>
    <xdr:to>
      <xdr:col>19</xdr:col>
      <xdr:colOff>901700</xdr:colOff>
      <xdr:row>53</xdr:row>
      <xdr:rowOff>12700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23</xdr:row>
      <xdr:rowOff>139700</xdr:rowOff>
    </xdr:from>
    <xdr:to>
      <xdr:col>19</xdr:col>
      <xdr:colOff>901700</xdr:colOff>
      <xdr:row>53</xdr:row>
      <xdr:rowOff>12700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23</xdr:row>
      <xdr:rowOff>139700</xdr:rowOff>
    </xdr:from>
    <xdr:to>
      <xdr:col>19</xdr:col>
      <xdr:colOff>901700</xdr:colOff>
      <xdr:row>53</xdr:row>
      <xdr:rowOff>12700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M24" sqref="M24"/>
    </sheetView>
  </sheetViews>
  <sheetFormatPr baseColWidth="10" defaultColWidth="8.7109375" defaultRowHeight="13" x14ac:dyDescent="0"/>
  <cols>
    <col min="1" max="1" width="11.5703125" customWidth="1"/>
    <col min="2" max="2" width="9" bestFit="1" customWidth="1"/>
    <col min="3" max="4" width="14.28515625" bestFit="1" customWidth="1"/>
    <col min="5" max="5" width="19.42578125" bestFit="1" customWidth="1"/>
    <col min="6" max="6" width="23.85546875" bestFit="1" customWidth="1"/>
    <col min="7" max="7" width="14.28515625" bestFit="1" customWidth="1"/>
    <col min="8" max="8" width="17.7109375" bestFit="1" customWidth="1"/>
    <col min="9" max="9" width="23" bestFit="1" customWidth="1"/>
    <col min="10" max="10" width="11.42578125" bestFit="1" customWidth="1"/>
    <col min="11" max="11" width="47.85546875" bestFit="1" customWidth="1"/>
    <col min="12" max="12" width="10.28515625" bestFit="1" customWidth="1"/>
    <col min="13" max="13" width="16.140625" bestFit="1" customWidth="1"/>
    <col min="14" max="14" width="18.140625" bestFit="1" customWidth="1"/>
    <col min="15" max="15" width="47.85546875" bestFit="1" customWidth="1"/>
    <col min="17" max="17" width="47.85546875" bestFit="1" customWidth="1"/>
  </cols>
  <sheetData>
    <row r="1" spans="1:17" ht="15.75" customHeight="1">
      <c r="A1" s="1" t="s">
        <v>0</v>
      </c>
    </row>
    <row r="2" spans="1:17" ht="15.75" customHeight="1">
      <c r="A2" t="s">
        <v>1</v>
      </c>
      <c r="B2" t="s">
        <v>15</v>
      </c>
      <c r="D2" t="s">
        <v>13</v>
      </c>
      <c r="F2" t="s">
        <v>23</v>
      </c>
      <c r="G2" t="s">
        <v>14</v>
      </c>
      <c r="H2" t="s">
        <v>16</v>
      </c>
      <c r="I2" t="s">
        <v>25</v>
      </c>
      <c r="J2">
        <v>0.21870000000000001</v>
      </c>
    </row>
    <row r="3" spans="1:17" ht="15.75" customHeight="1">
      <c r="A3" t="s">
        <v>3</v>
      </c>
      <c r="B3" t="s">
        <v>38</v>
      </c>
      <c r="D3" t="s">
        <v>2</v>
      </c>
      <c r="F3" s="13">
        <v>0.52083333333333337</v>
      </c>
      <c r="I3" t="s">
        <v>26</v>
      </c>
      <c r="J3">
        <v>2.5999999999999999E-2</v>
      </c>
    </row>
    <row r="4" spans="1:17" ht="15.75" customHeight="1">
      <c r="A4" t="s">
        <v>5</v>
      </c>
      <c r="C4" t="s">
        <v>83</v>
      </c>
      <c r="D4" t="s">
        <v>4</v>
      </c>
      <c r="F4" s="13">
        <v>0.625</v>
      </c>
      <c r="I4" t="s">
        <v>33</v>
      </c>
      <c r="J4">
        <v>0.99</v>
      </c>
      <c r="K4" t="s">
        <v>10</v>
      </c>
      <c r="M4" t="s">
        <v>21</v>
      </c>
      <c r="O4" t="s">
        <v>11</v>
      </c>
      <c r="P4" s="16" t="s">
        <v>39</v>
      </c>
    </row>
    <row r="5" spans="1:17">
      <c r="K5" t="s">
        <v>12</v>
      </c>
      <c r="L5" t="s">
        <v>22</v>
      </c>
    </row>
    <row r="6" spans="1:17" ht="15.75" customHeight="1">
      <c r="A6" s="2"/>
      <c r="B6" s="41" t="s">
        <v>106</v>
      </c>
      <c r="C6" s="42" t="s">
        <v>107</v>
      </c>
      <c r="D6" s="43" t="s">
        <v>105</v>
      </c>
      <c r="E6" s="2" t="s">
        <v>18</v>
      </c>
      <c r="F6" s="2" t="s">
        <v>34</v>
      </c>
      <c r="G6" s="2" t="s">
        <v>19</v>
      </c>
      <c r="H6" s="2"/>
      <c r="I6" s="2" t="s">
        <v>20</v>
      </c>
      <c r="J6" s="2" t="s">
        <v>8</v>
      </c>
      <c r="K6" s="2" t="s">
        <v>6</v>
      </c>
      <c r="L6" s="2" t="s">
        <v>7</v>
      </c>
      <c r="M6" s="10" t="s">
        <v>115</v>
      </c>
      <c r="N6" s="10" t="s">
        <v>118</v>
      </c>
      <c r="O6" s="10" t="s">
        <v>24</v>
      </c>
      <c r="P6" s="10" t="s">
        <v>109</v>
      </c>
      <c r="Q6" s="4"/>
    </row>
    <row r="7" spans="1:17" ht="15.75" customHeight="1">
      <c r="A7" s="3" t="s">
        <v>45</v>
      </c>
      <c r="B7" s="37" t="s">
        <v>103</v>
      </c>
      <c r="C7" s="44" t="s">
        <v>104</v>
      </c>
      <c r="D7" s="38" t="s">
        <v>85</v>
      </c>
      <c r="E7" s="3" t="s">
        <v>95</v>
      </c>
      <c r="F7" s="5" t="s">
        <v>96</v>
      </c>
      <c r="G7" s="3" t="s">
        <v>97</v>
      </c>
      <c r="H7" s="3" t="s">
        <v>98</v>
      </c>
      <c r="I7" s="3" t="s">
        <v>99</v>
      </c>
      <c r="J7" s="3" t="s">
        <v>100</v>
      </c>
      <c r="K7" s="3" t="s">
        <v>101</v>
      </c>
      <c r="L7" s="7" t="s">
        <v>102</v>
      </c>
      <c r="M7" s="45" t="s">
        <v>116</v>
      </c>
      <c r="N7" s="45" t="s">
        <v>117</v>
      </c>
      <c r="O7" s="7" t="s">
        <v>24</v>
      </c>
      <c r="P7" s="45" t="s">
        <v>108</v>
      </c>
      <c r="Q7" s="3" t="s">
        <v>9</v>
      </c>
    </row>
    <row r="8" spans="1:17" ht="15.75" customHeight="1">
      <c r="A8" s="3" t="s">
        <v>53</v>
      </c>
      <c r="B8" s="22">
        <v>27082019</v>
      </c>
      <c r="C8" s="22">
        <v>1500</v>
      </c>
      <c r="D8" s="22">
        <v>26</v>
      </c>
      <c r="E8" s="9">
        <v>321.7</v>
      </c>
      <c r="F8" s="6" t="s">
        <v>35</v>
      </c>
      <c r="G8" s="3">
        <v>333.36</v>
      </c>
      <c r="H8" s="3" t="s">
        <v>139</v>
      </c>
      <c r="I8" s="3">
        <v>533.39</v>
      </c>
      <c r="J8" s="3">
        <f t="shared" ref="J8:J34" si="0">I8</f>
        <v>533.39</v>
      </c>
      <c r="K8" s="3">
        <f t="shared" ref="K8:K22" si="1">J8-G8</f>
        <v>200.02999999999997</v>
      </c>
      <c r="L8" s="11">
        <f t="shared" ref="L8:L22" si="2">J8-K8-E8</f>
        <v>11.660000000000025</v>
      </c>
      <c r="M8" s="11">
        <f>L8*$J$2</f>
        <v>2.5500420000000057</v>
      </c>
      <c r="N8" s="48">
        <f>K8*$J$3</f>
        <v>5.2007799999999991</v>
      </c>
      <c r="O8" s="11">
        <f>N8/M8</f>
        <v>2.039487977060765</v>
      </c>
      <c r="P8" s="22">
        <v>300</v>
      </c>
      <c r="Q8" s="3" t="s">
        <v>27</v>
      </c>
    </row>
    <row r="9" spans="1:17" ht="15.75" customHeight="1">
      <c r="A9" s="3" t="s">
        <v>54</v>
      </c>
      <c r="B9" s="22">
        <v>27082019</v>
      </c>
      <c r="C9" s="22">
        <v>1500</v>
      </c>
      <c r="D9" s="22">
        <v>26</v>
      </c>
      <c r="E9" s="3">
        <v>324.69</v>
      </c>
      <c r="F9" s="6" t="s">
        <v>35</v>
      </c>
      <c r="G9" s="3">
        <v>337.14</v>
      </c>
      <c r="H9" s="3" t="s">
        <v>139</v>
      </c>
      <c r="I9" s="3">
        <v>537.54999999999995</v>
      </c>
      <c r="J9" s="3">
        <f t="shared" si="0"/>
        <v>537.54999999999995</v>
      </c>
      <c r="K9" s="3">
        <f t="shared" si="1"/>
        <v>200.40999999999997</v>
      </c>
      <c r="L9" s="11">
        <f t="shared" si="2"/>
        <v>12.449999999999989</v>
      </c>
      <c r="M9" s="11">
        <f t="shared" ref="M9:M22" si="3">L9*$J$2</f>
        <v>2.7228149999999975</v>
      </c>
      <c r="N9" s="48">
        <f t="shared" ref="N9:N34" si="4">K9*$J$3</f>
        <v>5.210659999999999</v>
      </c>
      <c r="O9" s="11">
        <f>N9/M9</f>
        <v>1.9137032813466959</v>
      </c>
      <c r="P9" s="22">
        <f>$P$8</f>
        <v>300</v>
      </c>
      <c r="Q9" s="3" t="s">
        <v>27</v>
      </c>
    </row>
    <row r="10" spans="1:17" ht="15.75" customHeight="1">
      <c r="A10" s="3" t="s">
        <v>55</v>
      </c>
      <c r="B10" s="22">
        <v>27082019</v>
      </c>
      <c r="C10" s="22">
        <v>1500</v>
      </c>
      <c r="D10" s="22">
        <v>26</v>
      </c>
      <c r="E10" s="3">
        <v>326.98</v>
      </c>
      <c r="F10" s="6" t="s">
        <v>35</v>
      </c>
      <c r="G10" s="9">
        <v>339.3</v>
      </c>
      <c r="H10" s="3" t="s">
        <v>139</v>
      </c>
      <c r="I10" s="3">
        <v>545.53</v>
      </c>
      <c r="J10" s="3">
        <f t="shared" si="0"/>
        <v>545.53</v>
      </c>
      <c r="K10" s="3">
        <f t="shared" si="1"/>
        <v>206.22999999999996</v>
      </c>
      <c r="L10" s="11">
        <f t="shared" si="2"/>
        <v>12.319999999999993</v>
      </c>
      <c r="M10" s="11">
        <f t="shared" si="3"/>
        <v>2.6943839999999986</v>
      </c>
      <c r="N10" s="48">
        <f t="shared" si="4"/>
        <v>5.3619799999999991</v>
      </c>
      <c r="O10" s="11">
        <f t="shared" ref="O10:O32" si="5">N10/M10</f>
        <v>1.9900578388232717</v>
      </c>
      <c r="P10" s="22">
        <f t="shared" ref="P10:P34" si="6">$P$8</f>
        <v>300</v>
      </c>
      <c r="Q10" s="3" t="s">
        <v>27</v>
      </c>
    </row>
    <row r="11" spans="1:17" ht="15.75" customHeight="1">
      <c r="A11" s="3" t="s">
        <v>56</v>
      </c>
      <c r="B11" s="22">
        <v>27082019</v>
      </c>
      <c r="C11" s="22">
        <v>1500</v>
      </c>
      <c r="D11" s="22">
        <v>26</v>
      </c>
      <c r="E11" s="3">
        <v>325.43</v>
      </c>
      <c r="F11" s="6" t="s">
        <v>35</v>
      </c>
      <c r="G11" s="3">
        <v>337.19</v>
      </c>
      <c r="H11" s="3" t="s">
        <v>140</v>
      </c>
      <c r="I11" s="3">
        <v>537.66999999999996</v>
      </c>
      <c r="J11" s="3">
        <f t="shared" si="0"/>
        <v>537.66999999999996</v>
      </c>
      <c r="K11" s="3">
        <f t="shared" si="1"/>
        <v>200.47999999999996</v>
      </c>
      <c r="L11" s="11">
        <f t="shared" si="2"/>
        <v>11.759999999999991</v>
      </c>
      <c r="M11" s="11">
        <f t="shared" si="3"/>
        <v>2.571911999999998</v>
      </c>
      <c r="N11" s="48">
        <f t="shared" si="4"/>
        <v>5.2124799999999984</v>
      </c>
      <c r="O11" s="11">
        <f t="shared" si="5"/>
        <v>2.0266945369826037</v>
      </c>
      <c r="P11" s="22">
        <f t="shared" si="6"/>
        <v>300</v>
      </c>
      <c r="Q11" s="3" t="s">
        <v>28</v>
      </c>
    </row>
    <row r="12" spans="1:17" ht="15.75" customHeight="1">
      <c r="A12" s="3" t="s">
        <v>57</v>
      </c>
      <c r="B12" s="22">
        <v>27082019</v>
      </c>
      <c r="C12" s="22">
        <v>1500</v>
      </c>
      <c r="D12" s="22">
        <v>26</v>
      </c>
      <c r="E12" s="3">
        <v>325.95999999999998</v>
      </c>
      <c r="F12" s="6" t="s">
        <v>35</v>
      </c>
      <c r="G12" s="3">
        <v>338.13</v>
      </c>
      <c r="H12" s="3" t="s">
        <v>140</v>
      </c>
      <c r="I12" s="3">
        <v>537.15</v>
      </c>
      <c r="J12" s="3">
        <f t="shared" si="0"/>
        <v>537.15</v>
      </c>
      <c r="K12" s="3">
        <f t="shared" si="1"/>
        <v>199.01999999999998</v>
      </c>
      <c r="L12" s="11">
        <f t="shared" si="2"/>
        <v>12.170000000000016</v>
      </c>
      <c r="M12" s="11">
        <f t="shared" si="3"/>
        <v>2.6615790000000037</v>
      </c>
      <c r="N12" s="48">
        <f t="shared" si="4"/>
        <v>5.1745199999999993</v>
      </c>
      <c r="O12" s="11">
        <f t="shared" si="5"/>
        <v>1.944154203200428</v>
      </c>
      <c r="P12" s="22">
        <f t="shared" si="6"/>
        <v>300</v>
      </c>
      <c r="Q12" s="3" t="s">
        <v>28</v>
      </c>
    </row>
    <row r="13" spans="1:17" ht="15.75" customHeight="1">
      <c r="A13" s="3" t="s">
        <v>58</v>
      </c>
      <c r="B13" s="22">
        <v>27082019</v>
      </c>
      <c r="C13" s="22">
        <v>1500</v>
      </c>
      <c r="D13" s="22">
        <v>26</v>
      </c>
      <c r="E13" s="3">
        <v>326.07</v>
      </c>
      <c r="F13" s="6" t="s">
        <v>35</v>
      </c>
      <c r="G13" s="9">
        <v>337.9</v>
      </c>
      <c r="H13" s="3" t="s">
        <v>140</v>
      </c>
      <c r="I13" s="3">
        <v>537.16</v>
      </c>
      <c r="J13" s="3">
        <f t="shared" si="0"/>
        <v>537.16</v>
      </c>
      <c r="K13" s="3">
        <f t="shared" si="1"/>
        <v>199.26</v>
      </c>
      <c r="L13" s="11">
        <f t="shared" si="2"/>
        <v>11.829999999999984</v>
      </c>
      <c r="M13" s="11">
        <f t="shared" si="3"/>
        <v>2.5872209999999964</v>
      </c>
      <c r="N13" s="48">
        <f t="shared" si="4"/>
        <v>5.1807599999999994</v>
      </c>
      <c r="O13" s="11">
        <f t="shared" si="5"/>
        <v>2.0024420024420051</v>
      </c>
      <c r="P13" s="22">
        <f t="shared" si="6"/>
        <v>300</v>
      </c>
      <c r="Q13" s="3" t="s">
        <v>28</v>
      </c>
    </row>
    <row r="14" spans="1:17" ht="15.75" customHeight="1">
      <c r="A14" s="3" t="s">
        <v>59</v>
      </c>
      <c r="B14" s="22">
        <v>27082019</v>
      </c>
      <c r="C14" s="22">
        <v>1500</v>
      </c>
      <c r="D14" s="22">
        <v>26</v>
      </c>
      <c r="E14" s="3">
        <v>326.69</v>
      </c>
      <c r="F14" s="6" t="s">
        <v>35</v>
      </c>
      <c r="G14" s="3">
        <v>339.24</v>
      </c>
      <c r="H14" s="3" t="s">
        <v>141</v>
      </c>
      <c r="I14" s="3">
        <v>537.01</v>
      </c>
      <c r="J14" s="3">
        <f t="shared" si="0"/>
        <v>537.01</v>
      </c>
      <c r="K14" s="3">
        <f t="shared" si="1"/>
        <v>197.76999999999998</v>
      </c>
      <c r="L14" s="11">
        <f t="shared" si="2"/>
        <v>12.550000000000011</v>
      </c>
      <c r="M14" s="11">
        <f t="shared" si="3"/>
        <v>2.7446850000000027</v>
      </c>
      <c r="N14" s="48">
        <f t="shared" si="4"/>
        <v>5.1420199999999996</v>
      </c>
      <c r="O14" s="11">
        <f t="shared" si="5"/>
        <v>1.8734463153330871</v>
      </c>
      <c r="P14" s="22">
        <f t="shared" si="6"/>
        <v>300</v>
      </c>
      <c r="Q14" s="3" t="s">
        <v>29</v>
      </c>
    </row>
    <row r="15" spans="1:17" ht="15.75" customHeight="1">
      <c r="A15" s="3" t="s">
        <v>60</v>
      </c>
      <c r="B15" s="22">
        <v>27082019</v>
      </c>
      <c r="C15" s="22">
        <v>1500</v>
      </c>
      <c r="D15" s="22">
        <v>26</v>
      </c>
      <c r="E15" s="3">
        <v>321.24</v>
      </c>
      <c r="F15" s="6" t="s">
        <v>35</v>
      </c>
      <c r="G15" s="3">
        <v>332.98</v>
      </c>
      <c r="H15" s="3" t="s">
        <v>141</v>
      </c>
      <c r="I15" s="3">
        <v>534.65</v>
      </c>
      <c r="J15" s="3">
        <f t="shared" si="0"/>
        <v>534.65</v>
      </c>
      <c r="K15" s="3">
        <f t="shared" si="1"/>
        <v>201.66999999999996</v>
      </c>
      <c r="L15" s="11">
        <f t="shared" si="2"/>
        <v>11.740000000000009</v>
      </c>
      <c r="M15" s="11">
        <f t="shared" si="3"/>
        <v>2.5675380000000021</v>
      </c>
      <c r="N15" s="48">
        <f t="shared" si="4"/>
        <v>5.2434199999999986</v>
      </c>
      <c r="O15" s="11">
        <f t="shared" si="5"/>
        <v>2.0421976227810434</v>
      </c>
      <c r="P15" s="22">
        <f t="shared" si="6"/>
        <v>300</v>
      </c>
      <c r="Q15" s="3" t="s">
        <v>29</v>
      </c>
    </row>
    <row r="16" spans="1:17" ht="15.75" customHeight="1">
      <c r="A16" s="3" t="s">
        <v>61</v>
      </c>
      <c r="B16" s="22">
        <v>27082019</v>
      </c>
      <c r="C16" s="22">
        <v>1500</v>
      </c>
      <c r="D16" s="22">
        <v>26</v>
      </c>
      <c r="E16" s="3">
        <v>324.75</v>
      </c>
      <c r="F16" s="6" t="s">
        <v>35</v>
      </c>
      <c r="G16" s="3">
        <v>337.09</v>
      </c>
      <c r="H16" s="3" t="s">
        <v>141</v>
      </c>
      <c r="I16" s="3">
        <v>537.38</v>
      </c>
      <c r="J16" s="3">
        <f t="shared" si="0"/>
        <v>537.38</v>
      </c>
      <c r="K16" s="3">
        <f t="shared" si="1"/>
        <v>200.29000000000002</v>
      </c>
      <c r="L16" s="11">
        <f t="shared" si="2"/>
        <v>12.339999999999975</v>
      </c>
      <c r="M16" s="11">
        <f t="shared" si="3"/>
        <v>2.6987579999999944</v>
      </c>
      <c r="N16" s="48">
        <f t="shared" si="4"/>
        <v>5.2075400000000007</v>
      </c>
      <c r="O16" s="11">
        <f t="shared" si="5"/>
        <v>1.9296061373416999</v>
      </c>
      <c r="P16" s="22">
        <f t="shared" si="6"/>
        <v>300</v>
      </c>
      <c r="Q16" s="3" t="s">
        <v>29</v>
      </c>
    </row>
    <row r="17" spans="1:17" ht="15.75" customHeight="1">
      <c r="A17" s="3" t="s">
        <v>62</v>
      </c>
      <c r="B17" s="22">
        <v>27082019</v>
      </c>
      <c r="C17" s="22">
        <v>1500</v>
      </c>
      <c r="D17" s="22">
        <v>26</v>
      </c>
      <c r="E17" s="3">
        <v>325.24</v>
      </c>
      <c r="F17" s="6" t="s">
        <v>35</v>
      </c>
      <c r="G17" s="3">
        <v>337.33</v>
      </c>
      <c r="H17" s="3" t="s">
        <v>142</v>
      </c>
      <c r="I17" s="3">
        <v>538.30999999999995</v>
      </c>
      <c r="J17" s="3">
        <f t="shared" si="0"/>
        <v>538.30999999999995</v>
      </c>
      <c r="K17" s="3">
        <f t="shared" si="1"/>
        <v>200.97999999999996</v>
      </c>
      <c r="L17" s="11">
        <f t="shared" si="2"/>
        <v>12.089999999999975</v>
      </c>
      <c r="M17" s="11">
        <f t="shared" si="3"/>
        <v>2.6440829999999944</v>
      </c>
      <c r="N17" s="48">
        <f t="shared" si="4"/>
        <v>5.2254799999999983</v>
      </c>
      <c r="O17" s="11">
        <f t="shared" si="5"/>
        <v>1.9762919696545114</v>
      </c>
      <c r="P17" s="22">
        <f t="shared" si="6"/>
        <v>300</v>
      </c>
      <c r="Q17" s="3" t="s">
        <v>30</v>
      </c>
    </row>
    <row r="18" spans="1:17" ht="15.75" customHeight="1">
      <c r="A18" s="3" t="s">
        <v>63</v>
      </c>
      <c r="B18" s="22">
        <v>27082019</v>
      </c>
      <c r="C18" s="22">
        <v>1500</v>
      </c>
      <c r="D18" s="22">
        <v>26</v>
      </c>
      <c r="E18" s="9">
        <v>328.2</v>
      </c>
      <c r="F18" s="6" t="s">
        <v>35</v>
      </c>
      <c r="G18" s="3">
        <v>340.39</v>
      </c>
      <c r="H18" s="3" t="s">
        <v>142</v>
      </c>
      <c r="I18" s="3">
        <v>541.91</v>
      </c>
      <c r="J18" s="3">
        <f t="shared" si="0"/>
        <v>541.91</v>
      </c>
      <c r="K18" s="3">
        <f t="shared" si="1"/>
        <v>201.51999999999998</v>
      </c>
      <c r="L18" s="11">
        <f t="shared" si="2"/>
        <v>12.189999999999998</v>
      </c>
      <c r="M18" s="11">
        <f t="shared" si="3"/>
        <v>2.6659529999999996</v>
      </c>
      <c r="N18" s="48">
        <f t="shared" si="4"/>
        <v>5.2395199999999988</v>
      </c>
      <c r="O18" s="11">
        <f t="shared" si="5"/>
        <v>1.9653459757167511</v>
      </c>
      <c r="P18" s="22">
        <f t="shared" si="6"/>
        <v>300</v>
      </c>
      <c r="Q18" s="3" t="s">
        <v>30</v>
      </c>
    </row>
    <row r="19" spans="1:17" ht="15.75" customHeight="1">
      <c r="A19" s="3" t="s">
        <v>64</v>
      </c>
      <c r="B19" s="22">
        <v>27082019</v>
      </c>
      <c r="C19" s="22">
        <v>1500</v>
      </c>
      <c r="D19" s="22">
        <v>26</v>
      </c>
      <c r="E19" s="3">
        <v>324.74</v>
      </c>
      <c r="F19" s="6" t="s">
        <v>35</v>
      </c>
      <c r="G19" s="3">
        <v>336.31</v>
      </c>
      <c r="H19" s="3" t="s">
        <v>142</v>
      </c>
      <c r="I19" s="3">
        <v>537.08000000000004</v>
      </c>
      <c r="J19" s="3">
        <f t="shared" si="0"/>
        <v>537.08000000000004</v>
      </c>
      <c r="K19" s="3">
        <f t="shared" si="1"/>
        <v>200.77000000000004</v>
      </c>
      <c r="L19" s="11">
        <f t="shared" si="2"/>
        <v>11.569999999999993</v>
      </c>
      <c r="M19" s="11">
        <f t="shared" si="3"/>
        <v>2.5303589999999985</v>
      </c>
      <c r="N19" s="48">
        <f t="shared" si="4"/>
        <v>5.2200200000000008</v>
      </c>
      <c r="O19" s="11">
        <f t="shared" si="5"/>
        <v>2.0629562840687838</v>
      </c>
      <c r="P19" s="22">
        <f t="shared" si="6"/>
        <v>300</v>
      </c>
      <c r="Q19" s="3" t="s">
        <v>30</v>
      </c>
    </row>
    <row r="20" spans="1:17" ht="15.75" customHeight="1">
      <c r="A20" s="6" t="s">
        <v>65</v>
      </c>
      <c r="B20" s="22">
        <v>27082019</v>
      </c>
      <c r="C20" s="22">
        <v>1500</v>
      </c>
      <c r="D20" s="22">
        <v>26</v>
      </c>
      <c r="E20" s="3">
        <v>324.58</v>
      </c>
      <c r="F20" s="6" t="s">
        <v>35</v>
      </c>
      <c r="G20" s="3">
        <v>348.56</v>
      </c>
      <c r="H20" s="3" t="s">
        <v>143</v>
      </c>
      <c r="I20" s="3">
        <v>549.99</v>
      </c>
      <c r="J20" s="3">
        <f t="shared" si="0"/>
        <v>549.99</v>
      </c>
      <c r="K20" s="3">
        <f t="shared" si="1"/>
        <v>201.43</v>
      </c>
      <c r="L20" s="11">
        <f t="shared" si="2"/>
        <v>23.980000000000018</v>
      </c>
      <c r="M20" s="11">
        <f t="shared" si="3"/>
        <v>5.2444260000000043</v>
      </c>
      <c r="N20" s="48">
        <f t="shared" si="4"/>
        <v>5.2371799999999995</v>
      </c>
      <c r="O20" s="11">
        <f t="shared" si="5"/>
        <v>0.99861834259840743</v>
      </c>
      <c r="P20" s="22">
        <f t="shared" si="6"/>
        <v>300</v>
      </c>
      <c r="Q20" s="3" t="s">
        <v>31</v>
      </c>
    </row>
    <row r="21" spans="1:17" ht="15.75" customHeight="1">
      <c r="A21" s="6" t="s">
        <v>66</v>
      </c>
      <c r="B21" s="22">
        <v>27082019</v>
      </c>
      <c r="C21" s="22">
        <v>1500</v>
      </c>
      <c r="D21" s="22">
        <v>26</v>
      </c>
      <c r="E21" s="6">
        <v>323.36</v>
      </c>
      <c r="F21" s="6" t="s">
        <v>35</v>
      </c>
      <c r="G21" s="6">
        <v>346.69</v>
      </c>
      <c r="H21" s="3" t="s">
        <v>143</v>
      </c>
      <c r="I21" s="6">
        <v>547.02</v>
      </c>
      <c r="J21" s="3">
        <f t="shared" si="0"/>
        <v>547.02</v>
      </c>
      <c r="K21" s="3">
        <f t="shared" si="1"/>
        <v>200.32999999999998</v>
      </c>
      <c r="L21" s="11">
        <f t="shared" si="2"/>
        <v>23.329999999999984</v>
      </c>
      <c r="M21" s="11">
        <f t="shared" si="3"/>
        <v>5.1022709999999964</v>
      </c>
      <c r="N21" s="48">
        <f t="shared" si="4"/>
        <v>5.2085799999999995</v>
      </c>
      <c r="O21" s="11">
        <f t="shared" si="5"/>
        <v>1.0208356239799892</v>
      </c>
      <c r="P21" s="22">
        <f t="shared" si="6"/>
        <v>300</v>
      </c>
      <c r="Q21" s="3" t="s">
        <v>31</v>
      </c>
    </row>
    <row r="22" spans="1:17" ht="15.75" customHeight="1">
      <c r="A22" s="6" t="s">
        <v>67</v>
      </c>
      <c r="B22" s="22">
        <v>27082019</v>
      </c>
      <c r="C22" s="22">
        <v>1500</v>
      </c>
      <c r="D22" s="22">
        <v>26</v>
      </c>
      <c r="E22" s="6">
        <v>321.64999999999998</v>
      </c>
      <c r="F22" s="6" t="s">
        <v>35</v>
      </c>
      <c r="G22" s="6">
        <v>345.34</v>
      </c>
      <c r="H22" s="3" t="s">
        <v>143</v>
      </c>
      <c r="I22" s="6">
        <v>545.92999999999995</v>
      </c>
      <c r="J22" s="3">
        <f t="shared" si="0"/>
        <v>545.92999999999995</v>
      </c>
      <c r="K22" s="3">
        <f t="shared" si="1"/>
        <v>200.58999999999997</v>
      </c>
      <c r="L22" s="11">
        <f t="shared" si="2"/>
        <v>23.689999999999998</v>
      </c>
      <c r="M22" s="11">
        <f t="shared" si="3"/>
        <v>5.1810029999999996</v>
      </c>
      <c r="N22" s="48">
        <f t="shared" si="4"/>
        <v>5.2153399999999994</v>
      </c>
      <c r="O22" s="11">
        <f t="shared" si="5"/>
        <v>1.0066274812039291</v>
      </c>
      <c r="P22" s="22">
        <f t="shared" si="6"/>
        <v>300</v>
      </c>
      <c r="Q22" s="3" t="s">
        <v>31</v>
      </c>
    </row>
    <row r="23" spans="1:17" ht="15.75" customHeight="1">
      <c r="A23" s="8" t="s">
        <v>40</v>
      </c>
      <c r="B23" s="22">
        <v>27082019</v>
      </c>
      <c r="C23" s="22">
        <v>1500</v>
      </c>
      <c r="D23" s="22">
        <v>26</v>
      </c>
      <c r="E23" s="6">
        <v>324.88</v>
      </c>
      <c r="F23" s="6" t="s">
        <v>35</v>
      </c>
      <c r="G23" s="6">
        <f>324.88+1</f>
        <v>325.88</v>
      </c>
      <c r="H23" s="6" t="s">
        <v>36</v>
      </c>
      <c r="I23" s="6">
        <v>526.66</v>
      </c>
      <c r="J23" s="6">
        <f t="shared" si="0"/>
        <v>526.66</v>
      </c>
      <c r="K23" s="3">
        <f>I23-E23</f>
        <v>201.77999999999997</v>
      </c>
      <c r="L23" s="12">
        <v>0</v>
      </c>
      <c r="M23" s="6">
        <v>1</v>
      </c>
      <c r="N23" s="48">
        <f t="shared" si="4"/>
        <v>5.2462799999999987</v>
      </c>
      <c r="O23" s="11" t="s">
        <v>22</v>
      </c>
      <c r="P23" s="22">
        <f t="shared" si="6"/>
        <v>300</v>
      </c>
      <c r="Q23" s="6" t="s">
        <v>30</v>
      </c>
    </row>
    <row r="24" spans="1:17" ht="15.75" customHeight="1">
      <c r="A24" s="3" t="s">
        <v>72</v>
      </c>
      <c r="B24" s="22">
        <v>27082019</v>
      </c>
      <c r="C24" s="22">
        <v>1500</v>
      </c>
      <c r="D24" s="22">
        <v>26</v>
      </c>
      <c r="E24" s="14">
        <v>324.89999999999998</v>
      </c>
      <c r="F24" s="7" t="s">
        <v>17</v>
      </c>
      <c r="G24" s="7" t="s">
        <v>22</v>
      </c>
      <c r="H24" s="7" t="s">
        <v>6</v>
      </c>
      <c r="I24" s="7">
        <v>528.36</v>
      </c>
      <c r="J24" s="3">
        <f t="shared" si="0"/>
        <v>528.36</v>
      </c>
      <c r="K24" s="9">
        <f>J24-E24</f>
        <v>203.46000000000004</v>
      </c>
      <c r="L24" s="15">
        <v>0</v>
      </c>
      <c r="M24" s="6" t="s">
        <v>22</v>
      </c>
      <c r="N24" s="48">
        <f t="shared" si="4"/>
        <v>5.2899600000000007</v>
      </c>
      <c r="O24" s="11" t="s">
        <v>22</v>
      </c>
      <c r="P24" s="22">
        <f t="shared" si="6"/>
        <v>300</v>
      </c>
      <c r="Q24" s="6" t="s">
        <v>30</v>
      </c>
    </row>
    <row r="25" spans="1:17" ht="15.75" customHeight="1">
      <c r="A25" s="6" t="s">
        <v>75</v>
      </c>
      <c r="B25" s="22">
        <v>27082019</v>
      </c>
      <c r="C25" s="22">
        <v>1500</v>
      </c>
      <c r="D25" s="22">
        <v>26</v>
      </c>
      <c r="E25" s="6">
        <v>325.05</v>
      </c>
      <c r="F25" s="6" t="s">
        <v>17</v>
      </c>
      <c r="G25" s="6" t="s">
        <v>22</v>
      </c>
      <c r="H25" s="6" t="s">
        <v>6</v>
      </c>
      <c r="I25" s="6">
        <v>527.21</v>
      </c>
      <c r="J25" s="3">
        <f t="shared" si="0"/>
        <v>527.21</v>
      </c>
      <c r="K25" s="9">
        <f>J25-E25</f>
        <v>202.16000000000003</v>
      </c>
      <c r="L25" s="12">
        <v>0</v>
      </c>
      <c r="M25" s="6" t="s">
        <v>22</v>
      </c>
      <c r="N25" s="48">
        <f t="shared" si="4"/>
        <v>5.2561600000000004</v>
      </c>
      <c r="O25" s="11" t="s">
        <v>22</v>
      </c>
      <c r="P25" s="22">
        <f t="shared" si="6"/>
        <v>300</v>
      </c>
      <c r="Q25" s="6" t="s">
        <v>30</v>
      </c>
    </row>
    <row r="26" spans="1:17" ht="15.75" customHeight="1">
      <c r="A26" s="6" t="s">
        <v>76</v>
      </c>
      <c r="B26" s="22">
        <v>27082019</v>
      </c>
      <c r="C26" s="22">
        <v>1500</v>
      </c>
      <c r="D26" s="22">
        <v>26</v>
      </c>
      <c r="E26" s="6">
        <v>324.39</v>
      </c>
      <c r="F26" s="6" t="s">
        <v>17</v>
      </c>
      <c r="G26" s="6" t="s">
        <v>22</v>
      </c>
      <c r="H26" s="6" t="s">
        <v>6</v>
      </c>
      <c r="I26" s="6">
        <v>525.15</v>
      </c>
      <c r="J26" s="3">
        <f t="shared" si="0"/>
        <v>525.15</v>
      </c>
      <c r="K26" s="9">
        <f>J26-E26</f>
        <v>200.76</v>
      </c>
      <c r="L26" s="12">
        <v>0</v>
      </c>
      <c r="M26" s="6" t="s">
        <v>22</v>
      </c>
      <c r="N26" s="48">
        <f t="shared" si="4"/>
        <v>5.21976</v>
      </c>
      <c r="O26" s="11" t="s">
        <v>22</v>
      </c>
      <c r="P26" s="22">
        <f t="shared" si="6"/>
        <v>300</v>
      </c>
      <c r="Q26" s="6" t="s">
        <v>30</v>
      </c>
    </row>
    <row r="27" spans="1:17" ht="15.75" customHeight="1">
      <c r="A27" s="6" t="s">
        <v>73</v>
      </c>
      <c r="B27" s="22">
        <v>27082019</v>
      </c>
      <c r="C27" s="22">
        <v>1500</v>
      </c>
      <c r="D27" s="22">
        <v>26</v>
      </c>
      <c r="E27" s="6">
        <v>324.3</v>
      </c>
      <c r="F27" s="6" t="s">
        <v>17</v>
      </c>
      <c r="G27" s="6">
        <v>325.77999999999997</v>
      </c>
      <c r="H27" s="6" t="s">
        <v>32</v>
      </c>
      <c r="I27" s="6">
        <f>525.42+0.56</f>
        <v>525.9799999999999</v>
      </c>
      <c r="J27" s="3">
        <f t="shared" si="0"/>
        <v>525.9799999999999</v>
      </c>
      <c r="K27" s="9">
        <f t="shared" ref="K27:K32" si="7">J27-G27</f>
        <v>200.19999999999993</v>
      </c>
      <c r="L27" s="11">
        <f t="shared" ref="L27:L32" si="8">J27-K27-E27</f>
        <v>1.4799999999999613</v>
      </c>
      <c r="M27" s="11">
        <f>L27*$J$4</f>
        <v>1.4651999999999616</v>
      </c>
      <c r="N27" s="48">
        <f t="shared" si="4"/>
        <v>5.2051999999999978</v>
      </c>
      <c r="O27" s="11">
        <f t="shared" si="5"/>
        <v>3.552552552552644</v>
      </c>
      <c r="P27" s="22">
        <f t="shared" si="6"/>
        <v>300</v>
      </c>
      <c r="Q27" s="6" t="s">
        <v>30</v>
      </c>
    </row>
    <row r="28" spans="1:17" ht="15.75" customHeight="1">
      <c r="A28" s="6" t="s">
        <v>77</v>
      </c>
      <c r="B28" s="22">
        <v>27082019</v>
      </c>
      <c r="C28" s="22">
        <v>1500</v>
      </c>
      <c r="D28" s="22">
        <v>26</v>
      </c>
      <c r="E28" s="6">
        <v>325.51</v>
      </c>
      <c r="F28" s="6" t="s">
        <v>17</v>
      </c>
      <c r="G28" s="6">
        <v>326.98</v>
      </c>
      <c r="H28" s="6" t="s">
        <v>32</v>
      </c>
      <c r="I28" s="11">
        <v>528.5</v>
      </c>
      <c r="J28" s="9">
        <f t="shared" si="0"/>
        <v>528.5</v>
      </c>
      <c r="K28" s="3">
        <f t="shared" si="7"/>
        <v>201.51999999999998</v>
      </c>
      <c r="L28" s="11">
        <f t="shared" si="8"/>
        <v>1.4700000000000273</v>
      </c>
      <c r="M28" s="11">
        <f t="shared" ref="M28:M29" si="9">L28*$J$4</f>
        <v>1.4553000000000269</v>
      </c>
      <c r="N28" s="48">
        <f t="shared" si="4"/>
        <v>5.2395199999999988</v>
      </c>
      <c r="O28" s="11">
        <f t="shared" si="5"/>
        <v>3.6003023431594188</v>
      </c>
      <c r="P28" s="22">
        <f t="shared" si="6"/>
        <v>300</v>
      </c>
      <c r="Q28" s="6" t="s">
        <v>30</v>
      </c>
    </row>
    <row r="29" spans="1:17" ht="15.75" customHeight="1">
      <c r="A29" s="6" t="s">
        <v>78</v>
      </c>
      <c r="B29" s="22">
        <v>27082019</v>
      </c>
      <c r="C29" s="22">
        <v>1500</v>
      </c>
      <c r="D29" s="22">
        <v>26</v>
      </c>
      <c r="E29" s="6">
        <v>321.63</v>
      </c>
      <c r="F29" s="6" t="s">
        <v>17</v>
      </c>
      <c r="G29" s="6">
        <v>323.08</v>
      </c>
      <c r="H29" s="6" t="s">
        <v>32</v>
      </c>
      <c r="I29" s="6">
        <v>524.94000000000005</v>
      </c>
      <c r="J29" s="3">
        <f t="shared" si="0"/>
        <v>524.94000000000005</v>
      </c>
      <c r="K29" s="3">
        <f t="shared" si="7"/>
        <v>201.86000000000007</v>
      </c>
      <c r="L29" s="11">
        <f t="shared" si="8"/>
        <v>1.4499999999999886</v>
      </c>
      <c r="M29" s="11">
        <f t="shared" si="9"/>
        <v>1.4354999999999887</v>
      </c>
      <c r="N29" s="48">
        <f t="shared" si="4"/>
        <v>5.2483600000000017</v>
      </c>
      <c r="O29" s="11">
        <f t="shared" si="5"/>
        <v>3.6561198188784694</v>
      </c>
      <c r="P29" s="22">
        <f t="shared" si="6"/>
        <v>300</v>
      </c>
      <c r="Q29" s="6" t="s">
        <v>30</v>
      </c>
    </row>
    <row r="30" spans="1:17" ht="15.75" customHeight="1">
      <c r="A30" s="6" t="s">
        <v>74</v>
      </c>
      <c r="B30" s="22">
        <v>27082019</v>
      </c>
      <c r="C30" s="22">
        <v>1500</v>
      </c>
      <c r="D30" s="22">
        <v>26</v>
      </c>
      <c r="E30" s="6">
        <v>327.04000000000002</v>
      </c>
      <c r="F30" s="6" t="s">
        <v>17</v>
      </c>
      <c r="G30" s="6">
        <v>339.28</v>
      </c>
      <c r="H30" s="6" t="s">
        <v>144</v>
      </c>
      <c r="I30" s="6">
        <v>544.99</v>
      </c>
      <c r="J30" s="3">
        <f t="shared" si="0"/>
        <v>544.99</v>
      </c>
      <c r="K30" s="3">
        <f t="shared" si="7"/>
        <v>205.71000000000004</v>
      </c>
      <c r="L30" s="11">
        <f t="shared" si="8"/>
        <v>12.239999999999952</v>
      </c>
      <c r="M30" s="11">
        <f>L30*$J$2</f>
        <v>2.6768879999999897</v>
      </c>
      <c r="N30" s="48">
        <f t="shared" si="4"/>
        <v>5.3484600000000011</v>
      </c>
      <c r="O30" s="11">
        <f t="shared" si="5"/>
        <v>1.9980141119090606</v>
      </c>
      <c r="P30" s="22">
        <f t="shared" si="6"/>
        <v>300</v>
      </c>
      <c r="Q30" s="6" t="s">
        <v>30</v>
      </c>
    </row>
    <row r="31" spans="1:17" ht="15.75" customHeight="1">
      <c r="A31" s="6" t="s">
        <v>79</v>
      </c>
      <c r="B31" s="22">
        <v>27082019</v>
      </c>
      <c r="C31" s="22">
        <v>1500</v>
      </c>
      <c r="D31" s="22">
        <v>26</v>
      </c>
      <c r="E31" s="6">
        <v>324.70999999999998</v>
      </c>
      <c r="F31" s="6" t="s">
        <v>17</v>
      </c>
      <c r="G31" s="6">
        <v>337.23</v>
      </c>
      <c r="H31" s="6" t="s">
        <v>144</v>
      </c>
      <c r="I31" s="6">
        <v>538.46</v>
      </c>
      <c r="J31" s="3">
        <f t="shared" si="0"/>
        <v>538.46</v>
      </c>
      <c r="K31" s="3">
        <f t="shared" si="7"/>
        <v>201.23000000000002</v>
      </c>
      <c r="L31" s="11">
        <f t="shared" si="8"/>
        <v>12.520000000000039</v>
      </c>
      <c r="M31" s="11">
        <f t="shared" ref="M31:M32" si="10">L31*$J$2</f>
        <v>2.7381240000000084</v>
      </c>
      <c r="N31" s="48">
        <f t="shared" si="4"/>
        <v>5.2319800000000001</v>
      </c>
      <c r="O31" s="11">
        <f t="shared" si="5"/>
        <v>1.910790015353572</v>
      </c>
      <c r="P31" s="22">
        <f t="shared" si="6"/>
        <v>300</v>
      </c>
      <c r="Q31" s="6" t="s">
        <v>30</v>
      </c>
    </row>
    <row r="32" spans="1:17" ht="15.75" customHeight="1">
      <c r="A32" s="8" t="s">
        <v>80</v>
      </c>
      <c r="B32" s="22">
        <v>27082019</v>
      </c>
      <c r="C32" s="22">
        <v>1500</v>
      </c>
      <c r="D32" s="22">
        <v>26</v>
      </c>
      <c r="E32" s="6">
        <v>324.18</v>
      </c>
      <c r="F32" s="6" t="s">
        <v>17</v>
      </c>
      <c r="G32" s="6">
        <v>336.33</v>
      </c>
      <c r="H32" s="6" t="s">
        <v>144</v>
      </c>
      <c r="I32" s="6">
        <v>536.42999999999995</v>
      </c>
      <c r="J32" s="3">
        <f t="shared" si="0"/>
        <v>536.42999999999995</v>
      </c>
      <c r="K32" s="9">
        <f t="shared" si="7"/>
        <v>200.09999999999997</v>
      </c>
      <c r="L32" s="11">
        <f t="shared" si="8"/>
        <v>12.149999999999977</v>
      </c>
      <c r="M32" s="11">
        <f t="shared" si="10"/>
        <v>2.6572049999999949</v>
      </c>
      <c r="N32" s="48">
        <f t="shared" si="4"/>
        <v>5.2025999999999986</v>
      </c>
      <c r="O32" s="11">
        <f t="shared" si="5"/>
        <v>1.9579219518253235</v>
      </c>
      <c r="P32" s="22">
        <f t="shared" si="6"/>
        <v>300</v>
      </c>
      <c r="Q32" s="6" t="s">
        <v>30</v>
      </c>
    </row>
    <row r="33" spans="1:17">
      <c r="A33" s="8" t="s">
        <v>93</v>
      </c>
      <c r="B33" s="22">
        <v>27082019</v>
      </c>
      <c r="C33" s="22">
        <v>1500</v>
      </c>
      <c r="D33" s="22">
        <v>26</v>
      </c>
      <c r="E33" s="7">
        <v>326.99</v>
      </c>
      <c r="F33" s="7" t="s">
        <v>17</v>
      </c>
      <c r="G33" s="7" t="s">
        <v>22</v>
      </c>
      <c r="H33" s="7" t="s">
        <v>37</v>
      </c>
      <c r="I33" s="7">
        <v>527.22</v>
      </c>
      <c r="J33" s="3">
        <f t="shared" si="0"/>
        <v>527.22</v>
      </c>
      <c r="K33" s="3">
        <v>0</v>
      </c>
      <c r="L33" s="15">
        <v>0</v>
      </c>
      <c r="M33" s="6" t="s">
        <v>22</v>
      </c>
      <c r="N33" s="48">
        <f t="shared" si="4"/>
        <v>0</v>
      </c>
      <c r="O33" s="11" t="s">
        <v>22</v>
      </c>
      <c r="P33" s="22">
        <f t="shared" si="6"/>
        <v>300</v>
      </c>
      <c r="Q33" s="6" t="s">
        <v>30</v>
      </c>
    </row>
    <row r="34" spans="1:17">
      <c r="A34" s="8" t="s">
        <v>94</v>
      </c>
      <c r="B34" s="22">
        <v>27082019</v>
      </c>
      <c r="C34" s="22">
        <v>1500</v>
      </c>
      <c r="D34" s="22">
        <v>26</v>
      </c>
      <c r="E34" s="6">
        <v>326.41000000000003</v>
      </c>
      <c r="F34" s="6" t="s">
        <v>17</v>
      </c>
      <c r="G34" s="6" t="s">
        <v>22</v>
      </c>
      <c r="H34" s="6" t="s">
        <v>37</v>
      </c>
      <c r="I34" s="6">
        <v>528.15</v>
      </c>
      <c r="J34" s="3">
        <f t="shared" si="0"/>
        <v>528.15</v>
      </c>
      <c r="K34" s="3">
        <v>0</v>
      </c>
      <c r="L34" s="12">
        <v>0</v>
      </c>
      <c r="M34" s="6" t="s">
        <v>22</v>
      </c>
      <c r="N34" s="48">
        <f t="shared" si="4"/>
        <v>0</v>
      </c>
      <c r="O34" s="11" t="s">
        <v>22</v>
      </c>
      <c r="P34" s="22">
        <f t="shared" si="6"/>
        <v>300</v>
      </c>
      <c r="Q34" s="6" t="s">
        <v>30</v>
      </c>
    </row>
    <row r="38" spans="1:17">
      <c r="F38" s="16"/>
    </row>
  </sheetData>
  <pageMargins left="0.1" right="0.1" top="0.5" bottom="0" header="0.51180555555555496" footer="0.51180555555555496"/>
  <pageSetup paperSize="9" firstPageNumber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J8" sqref="J8"/>
    </sheetView>
  </sheetViews>
  <sheetFormatPr baseColWidth="10" defaultRowHeight="13" x14ac:dyDescent="0"/>
  <sheetData>
    <row r="1" spans="1:20" ht="14">
      <c r="A1" s="17" t="s">
        <v>41</v>
      </c>
      <c r="F1" t="s">
        <v>149</v>
      </c>
    </row>
    <row r="2" spans="1:20">
      <c r="A2" s="18" t="s">
        <v>1</v>
      </c>
      <c r="B2">
        <v>27082019</v>
      </c>
      <c r="D2" t="s">
        <v>14</v>
      </c>
      <c r="E2" t="s">
        <v>16</v>
      </c>
      <c r="F2">
        <v>0.23499999999999999</v>
      </c>
      <c r="L2">
        <f>AVERAGE(L5:L7)</f>
        <v>2.7566666666666664</v>
      </c>
      <c r="M2">
        <f>AVERAGE(M5:M7)</f>
        <v>43.386666666666663</v>
      </c>
      <c r="N2">
        <f>AVERAGE(N5:N7)</f>
        <v>0.10966666666666668</v>
      </c>
      <c r="Q2">
        <v>100</v>
      </c>
    </row>
    <row r="3" spans="1:20">
      <c r="A3" s="67"/>
      <c r="B3" s="67"/>
      <c r="C3" s="68" t="s">
        <v>191</v>
      </c>
      <c r="D3" s="19" t="s">
        <v>50</v>
      </c>
      <c r="E3" s="67" t="s">
        <v>51</v>
      </c>
      <c r="F3" s="67" t="s">
        <v>52</v>
      </c>
      <c r="G3" s="69" t="s">
        <v>150</v>
      </c>
      <c r="H3" s="68" t="s">
        <v>156</v>
      </c>
      <c r="I3" s="70"/>
      <c r="J3" s="68"/>
      <c r="K3" s="71"/>
      <c r="L3" s="68"/>
      <c r="M3" s="68"/>
      <c r="N3" s="68"/>
    </row>
    <row r="4" spans="1:20">
      <c r="A4" s="62" t="s">
        <v>45</v>
      </c>
      <c r="B4" s="62" t="s">
        <v>49</v>
      </c>
      <c r="C4" s="72" t="s">
        <v>46</v>
      </c>
      <c r="D4" s="63" t="s">
        <v>154</v>
      </c>
      <c r="E4" s="62" t="s">
        <v>153</v>
      </c>
      <c r="F4" s="61" t="s">
        <v>151</v>
      </c>
      <c r="G4" s="61" t="s">
        <v>152</v>
      </c>
      <c r="H4" s="61" t="s">
        <v>155</v>
      </c>
      <c r="I4" s="61" t="s">
        <v>157</v>
      </c>
      <c r="J4" s="23" t="s">
        <v>190</v>
      </c>
      <c r="K4" s="64" t="s">
        <v>9</v>
      </c>
      <c r="L4" s="61" t="s">
        <v>145</v>
      </c>
      <c r="M4" s="61" t="s">
        <v>146</v>
      </c>
      <c r="N4" s="61" t="s">
        <v>148</v>
      </c>
      <c r="O4" s="61" t="s">
        <v>194</v>
      </c>
      <c r="P4" s="61" t="s">
        <v>196</v>
      </c>
      <c r="Q4" s="61" t="s">
        <v>197</v>
      </c>
      <c r="R4" s="61" t="s">
        <v>195</v>
      </c>
      <c r="S4" s="61" t="s">
        <v>214</v>
      </c>
      <c r="T4" s="61" t="s">
        <v>198</v>
      </c>
    </row>
    <row r="5" spans="1:20" ht="15">
      <c r="A5" s="25" t="s">
        <v>110</v>
      </c>
      <c r="B5" s="25">
        <v>27082019</v>
      </c>
      <c r="C5" s="73">
        <v>0</v>
      </c>
      <c r="D5" s="25" t="s">
        <v>22</v>
      </c>
      <c r="E5" s="25" t="s">
        <v>22</v>
      </c>
      <c r="F5" s="25" t="s">
        <v>22</v>
      </c>
      <c r="G5" s="25" t="s">
        <v>22</v>
      </c>
      <c r="H5" s="25" t="s">
        <v>22</v>
      </c>
      <c r="I5" s="25" t="s">
        <v>22</v>
      </c>
      <c r="J5" s="25">
        <v>100</v>
      </c>
      <c r="K5" s="25"/>
      <c r="L5" s="74">
        <v>2.94</v>
      </c>
      <c r="M5" s="74">
        <v>43.76</v>
      </c>
      <c r="N5" s="74">
        <v>0.11600000000000001</v>
      </c>
      <c r="P5" s="65"/>
      <c r="S5" s="65"/>
    </row>
    <row r="6" spans="1:20" ht="15">
      <c r="A6" s="25" t="s">
        <v>110</v>
      </c>
      <c r="B6" s="25">
        <v>27082019</v>
      </c>
      <c r="C6" s="73">
        <v>0</v>
      </c>
      <c r="D6" s="25" t="s">
        <v>22</v>
      </c>
      <c r="E6" s="25" t="s">
        <v>22</v>
      </c>
      <c r="F6" s="25" t="s">
        <v>22</v>
      </c>
      <c r="G6" s="25" t="s">
        <v>22</v>
      </c>
      <c r="H6" s="25" t="s">
        <v>22</v>
      </c>
      <c r="I6" s="25" t="s">
        <v>22</v>
      </c>
      <c r="J6" s="25">
        <v>100</v>
      </c>
      <c r="K6" s="25"/>
      <c r="L6" s="74">
        <v>2.5099999999999998</v>
      </c>
      <c r="M6" s="74">
        <v>42.94</v>
      </c>
      <c r="N6" s="74">
        <v>0.10299999999999999</v>
      </c>
      <c r="P6" s="65"/>
      <c r="S6" s="66"/>
    </row>
    <row r="7" spans="1:20" ht="15">
      <c r="A7" s="25" t="s">
        <v>110</v>
      </c>
      <c r="B7" s="25">
        <v>27082019</v>
      </c>
      <c r="C7" s="73">
        <v>0</v>
      </c>
      <c r="D7" s="25" t="s">
        <v>22</v>
      </c>
      <c r="E7" s="25" t="s">
        <v>22</v>
      </c>
      <c r="F7" s="25" t="s">
        <v>22</v>
      </c>
      <c r="G7" s="25" t="s">
        <v>22</v>
      </c>
      <c r="H7" s="25" t="s">
        <v>22</v>
      </c>
      <c r="I7" s="25" t="s">
        <v>22</v>
      </c>
      <c r="J7" s="25">
        <v>100</v>
      </c>
      <c r="K7" s="25"/>
      <c r="L7" s="74">
        <v>2.82</v>
      </c>
      <c r="M7" s="74">
        <v>43.46</v>
      </c>
      <c r="N7" s="74">
        <v>0.11</v>
      </c>
      <c r="P7" s="65"/>
      <c r="S7" s="66"/>
    </row>
    <row r="8" spans="1:20" ht="14">
      <c r="A8" s="25" t="s">
        <v>53</v>
      </c>
      <c r="B8" s="25">
        <v>27082019</v>
      </c>
      <c r="C8" s="73">
        <v>3</v>
      </c>
      <c r="D8" s="25">
        <v>1.0125999999999999</v>
      </c>
      <c r="E8" s="58">
        <v>12.808199999999999</v>
      </c>
      <c r="F8" s="58">
        <f>E8-D8</f>
        <v>11.7956</v>
      </c>
      <c r="G8" s="25">
        <f>F8*$F$2</f>
        <v>2.7719659999999999</v>
      </c>
      <c r="H8" s="25">
        <v>2.3860000000000001</v>
      </c>
      <c r="I8" s="25">
        <f>H8-D8</f>
        <v>1.3734000000000002</v>
      </c>
      <c r="J8" s="25">
        <f>(I8*L8/100*1000)/$H$25*100</f>
        <v>16.396174582798462</v>
      </c>
      <c r="K8" s="25"/>
      <c r="L8" s="74">
        <v>0.93</v>
      </c>
      <c r="M8" s="74">
        <v>42.04</v>
      </c>
      <c r="N8" s="74">
        <v>0.13500000000000001</v>
      </c>
      <c r="O8">
        <f>G8*($L$2/100)</f>
        <v>7.6413862733333324E-2</v>
      </c>
      <c r="P8">
        <f>I8*(L8/$Q$2)</f>
        <v>1.2772620000000004E-2</v>
      </c>
      <c r="Q8">
        <f>O8-P8</f>
        <v>6.3641242733333325E-2</v>
      </c>
      <c r="R8">
        <f>G8*($N$2/100)</f>
        <v>3.0399227133333338E-3</v>
      </c>
      <c r="S8">
        <f>I8*(N8/$Q$2)</f>
        <v>1.8540900000000003E-3</v>
      </c>
      <c r="T8">
        <f>R8-S8</f>
        <v>1.1858327133333335E-3</v>
      </c>
    </row>
    <row r="9" spans="1:20" ht="14">
      <c r="A9" s="25" t="s">
        <v>54</v>
      </c>
      <c r="B9" s="25">
        <v>27082019</v>
      </c>
      <c r="C9" s="73">
        <v>3</v>
      </c>
      <c r="D9" s="25">
        <v>1.0035000000000001</v>
      </c>
      <c r="E9" s="58">
        <v>13.441599999999999</v>
      </c>
      <c r="F9" s="58">
        <f t="shared" ref="F9:F22" si="0">E9-D9</f>
        <v>12.438099999999999</v>
      </c>
      <c r="G9" s="25">
        <f t="shared" ref="G9:G22" si="1">F9*$F$2</f>
        <v>2.9229534999999993</v>
      </c>
      <c r="H9" s="25">
        <v>2.3290000000000002</v>
      </c>
      <c r="I9" s="25">
        <f t="shared" ref="I9:I22" si="2">H9-D9</f>
        <v>1.3255000000000001</v>
      </c>
      <c r="J9" s="25">
        <f t="shared" ref="J9:J19" si="3">(I9*L9/100*1000)/$H$25*100</f>
        <v>21.099101412066755</v>
      </c>
      <c r="K9" s="25"/>
      <c r="L9" s="74">
        <v>1.24</v>
      </c>
      <c r="M9" s="74">
        <v>44.91</v>
      </c>
      <c r="N9" s="74">
        <v>0.11799999999999999</v>
      </c>
      <c r="O9">
        <f t="shared" ref="O9:O22" si="4">G9*($L$2/100)</f>
        <v>8.0576084816666643E-2</v>
      </c>
      <c r="P9">
        <f t="shared" ref="P9:P22" si="5">I9*(L9/$Q$2)</f>
        <v>1.6436200000000002E-2</v>
      </c>
      <c r="Q9">
        <f t="shared" ref="Q9:Q22" si="6">O9-P9</f>
        <v>6.4139884816666645E-2</v>
      </c>
      <c r="R9">
        <f t="shared" ref="R9:R22" si="7">G9*($N$2/100)</f>
        <v>3.2055056716666663E-3</v>
      </c>
      <c r="S9">
        <f t="shared" ref="S9:S22" si="8">I9*(N9/$Q$2)</f>
        <v>1.56409E-3</v>
      </c>
      <c r="T9">
        <f t="shared" ref="T9:T22" si="9">R9-S9</f>
        <v>1.6414156716666663E-3</v>
      </c>
    </row>
    <row r="10" spans="1:20" ht="14">
      <c r="A10" s="25" t="s">
        <v>55</v>
      </c>
      <c r="B10" s="25">
        <v>27082019</v>
      </c>
      <c r="C10" s="73">
        <v>3</v>
      </c>
      <c r="D10" s="25">
        <v>1.0044999999999999</v>
      </c>
      <c r="E10" s="58">
        <v>13.0189</v>
      </c>
      <c r="F10" s="58">
        <f t="shared" si="0"/>
        <v>12.0144</v>
      </c>
      <c r="G10" s="25">
        <f t="shared" si="1"/>
        <v>2.8233839999999999</v>
      </c>
      <c r="H10" s="25">
        <v>2.1909999999999998</v>
      </c>
      <c r="I10" s="25">
        <f t="shared" si="2"/>
        <v>1.1864999999999999</v>
      </c>
      <c r="J10" s="25">
        <f t="shared" si="3"/>
        <v>15.687997432605904</v>
      </c>
      <c r="K10" s="25"/>
      <c r="L10" s="74">
        <v>1.03</v>
      </c>
      <c r="M10" s="74">
        <v>42.39</v>
      </c>
      <c r="N10" s="74">
        <v>0.121</v>
      </c>
      <c r="O10">
        <f t="shared" si="4"/>
        <v>7.783128559999998E-2</v>
      </c>
      <c r="P10">
        <f t="shared" si="5"/>
        <v>1.222095E-2</v>
      </c>
      <c r="Q10">
        <f t="shared" si="6"/>
        <v>6.5610335599999986E-2</v>
      </c>
      <c r="R10">
        <f t="shared" si="7"/>
        <v>3.0963111200000004E-3</v>
      </c>
      <c r="S10">
        <f t="shared" si="8"/>
        <v>1.4356649999999998E-3</v>
      </c>
      <c r="T10">
        <f t="shared" si="9"/>
        <v>1.6606461200000006E-3</v>
      </c>
    </row>
    <row r="11" spans="1:20" ht="14">
      <c r="A11" s="25" t="s">
        <v>56</v>
      </c>
      <c r="B11" s="25">
        <v>27082019</v>
      </c>
      <c r="C11" s="73">
        <v>7</v>
      </c>
      <c r="D11" s="25">
        <v>1.0039</v>
      </c>
      <c r="E11" s="58">
        <v>12.8971</v>
      </c>
      <c r="F11" s="58">
        <f t="shared" si="0"/>
        <v>11.8932</v>
      </c>
      <c r="G11" s="25">
        <f t="shared" si="1"/>
        <v>2.794902</v>
      </c>
      <c r="H11" s="25">
        <v>2.117</v>
      </c>
      <c r="I11" s="25">
        <f t="shared" si="2"/>
        <v>1.1131</v>
      </c>
      <c r="J11" s="25">
        <f t="shared" si="3"/>
        <v>18.861258023106544</v>
      </c>
      <c r="K11" s="25"/>
      <c r="L11" s="74">
        <v>1.32</v>
      </c>
      <c r="M11" s="74">
        <v>45.26</v>
      </c>
      <c r="N11" s="74">
        <v>0.14499999999999999</v>
      </c>
      <c r="O11">
        <f t="shared" si="4"/>
        <v>7.7046131799999987E-2</v>
      </c>
      <c r="P11">
        <f t="shared" si="5"/>
        <v>1.469292E-2</v>
      </c>
      <c r="Q11">
        <f t="shared" si="6"/>
        <v>6.2353211799999989E-2</v>
      </c>
      <c r="R11">
        <f t="shared" si="7"/>
        <v>3.0650758600000005E-3</v>
      </c>
      <c r="S11">
        <f t="shared" si="8"/>
        <v>1.6139949999999998E-3</v>
      </c>
      <c r="T11">
        <f t="shared" si="9"/>
        <v>1.4510808600000007E-3</v>
      </c>
    </row>
    <row r="12" spans="1:20" ht="14">
      <c r="A12" s="25" t="s">
        <v>57</v>
      </c>
      <c r="B12" s="25">
        <v>27082019</v>
      </c>
      <c r="C12" s="73">
        <v>7</v>
      </c>
      <c r="D12" s="25">
        <v>0.99850000000000005</v>
      </c>
      <c r="E12" s="58">
        <v>13.2668</v>
      </c>
      <c r="F12" s="58">
        <f t="shared" si="0"/>
        <v>12.2683</v>
      </c>
      <c r="G12" s="25">
        <f t="shared" si="1"/>
        <v>2.8830505</v>
      </c>
      <c r="H12" s="25">
        <v>2.1179999999999999</v>
      </c>
      <c r="I12" s="25">
        <f t="shared" si="2"/>
        <v>1.1194999999999999</v>
      </c>
      <c r="J12" s="25">
        <f t="shared" si="3"/>
        <v>22.41874197689345</v>
      </c>
      <c r="K12" s="25"/>
      <c r="L12" s="74">
        <v>1.56</v>
      </c>
      <c r="M12" s="74">
        <v>46.18</v>
      </c>
      <c r="N12" s="74">
        <v>0.17799999999999999</v>
      </c>
      <c r="O12">
        <f t="shared" si="4"/>
        <v>7.9476092116666661E-2</v>
      </c>
      <c r="P12">
        <f t="shared" si="5"/>
        <v>1.7464199999999999E-2</v>
      </c>
      <c r="Q12">
        <f t="shared" si="6"/>
        <v>6.2011892116666661E-2</v>
      </c>
      <c r="R12">
        <f t="shared" si="7"/>
        <v>3.1617453816666671E-3</v>
      </c>
      <c r="S12">
        <f t="shared" si="8"/>
        <v>1.99271E-3</v>
      </c>
      <c r="T12">
        <f t="shared" si="9"/>
        <v>1.1690353816666671E-3</v>
      </c>
    </row>
    <row r="13" spans="1:20" ht="14">
      <c r="A13" s="25" t="s">
        <v>58</v>
      </c>
      <c r="B13" s="25">
        <v>27082019</v>
      </c>
      <c r="C13" s="73">
        <v>7</v>
      </c>
      <c r="D13" s="25">
        <v>1.0059</v>
      </c>
      <c r="E13" s="58">
        <v>13.0151</v>
      </c>
      <c r="F13" s="58">
        <f t="shared" si="0"/>
        <v>12.0092</v>
      </c>
      <c r="G13" s="25">
        <f t="shared" si="1"/>
        <v>2.8221619999999996</v>
      </c>
      <c r="H13" s="25">
        <v>2.036</v>
      </c>
      <c r="I13" s="25">
        <f t="shared" si="2"/>
        <v>1.0301</v>
      </c>
      <c r="J13" s="25">
        <f t="shared" si="3"/>
        <v>18.116007702182284</v>
      </c>
      <c r="K13" s="25"/>
      <c r="L13" s="74">
        <v>1.37</v>
      </c>
      <c r="M13" s="74">
        <v>46.29</v>
      </c>
      <c r="N13" s="74">
        <v>0.154</v>
      </c>
      <c r="O13">
        <f t="shared" si="4"/>
        <v>7.7797599133333312E-2</v>
      </c>
      <c r="P13">
        <f t="shared" si="5"/>
        <v>1.4112370000000001E-2</v>
      </c>
      <c r="Q13">
        <f t="shared" si="6"/>
        <v>6.3685229133333313E-2</v>
      </c>
      <c r="R13">
        <f t="shared" si="7"/>
        <v>3.0949709933333334E-3</v>
      </c>
      <c r="S13">
        <f t="shared" si="8"/>
        <v>1.5863539999999999E-3</v>
      </c>
      <c r="T13">
        <f t="shared" si="9"/>
        <v>1.5086169933333335E-3</v>
      </c>
    </row>
    <row r="14" spans="1:20" ht="14">
      <c r="A14" s="25" t="s">
        <v>59</v>
      </c>
      <c r="B14" s="25">
        <v>27082019</v>
      </c>
      <c r="C14" s="73">
        <v>14</v>
      </c>
      <c r="D14" s="25">
        <v>0.99739999999999995</v>
      </c>
      <c r="E14" s="58">
        <v>13.456799999999999</v>
      </c>
      <c r="F14" s="58">
        <f t="shared" si="0"/>
        <v>12.459399999999999</v>
      </c>
      <c r="G14" s="25">
        <f t="shared" si="1"/>
        <v>2.9279589999999995</v>
      </c>
      <c r="H14" s="25">
        <v>2.0270000000000001</v>
      </c>
      <c r="I14" s="25">
        <f t="shared" si="2"/>
        <v>1.0296000000000003</v>
      </c>
      <c r="J14" s="25">
        <f t="shared" si="3"/>
        <v>22.865314505776642</v>
      </c>
      <c r="K14" s="25"/>
      <c r="L14" s="74">
        <v>1.73</v>
      </c>
      <c r="M14" s="74">
        <v>46.8</v>
      </c>
      <c r="N14" s="74">
        <v>0.247</v>
      </c>
      <c r="O14">
        <f t="shared" si="4"/>
        <v>8.0714069766666646E-2</v>
      </c>
      <c r="P14">
        <f t="shared" si="5"/>
        <v>1.7812080000000004E-2</v>
      </c>
      <c r="Q14">
        <f t="shared" si="6"/>
        <v>6.2901989766666638E-2</v>
      </c>
      <c r="R14">
        <f t="shared" si="7"/>
        <v>3.2109950366666666E-3</v>
      </c>
      <c r="S14">
        <f t="shared" si="8"/>
        <v>2.5431120000000006E-3</v>
      </c>
      <c r="T14">
        <f t="shared" si="9"/>
        <v>6.6788303666666599E-4</v>
      </c>
    </row>
    <row r="15" spans="1:20" ht="14">
      <c r="A15" s="25" t="s">
        <v>60</v>
      </c>
      <c r="B15" s="25">
        <v>27082019</v>
      </c>
      <c r="C15" s="73">
        <v>14</v>
      </c>
      <c r="D15" s="25">
        <v>0.99409999999999998</v>
      </c>
      <c r="E15" s="58">
        <v>12.6067</v>
      </c>
      <c r="F15" s="58">
        <f t="shared" si="0"/>
        <v>11.6126</v>
      </c>
      <c r="G15" s="25">
        <f t="shared" si="1"/>
        <v>2.728961</v>
      </c>
      <c r="H15" s="25">
        <v>1.9159999999999999</v>
      </c>
      <c r="I15" s="25">
        <f t="shared" si="2"/>
        <v>0.92189999999999994</v>
      </c>
      <c r="J15" s="25">
        <f t="shared" si="3"/>
        <v>17.041540436456991</v>
      </c>
      <c r="K15" s="25"/>
      <c r="L15" s="74">
        <v>1.44</v>
      </c>
      <c r="M15" s="74">
        <v>45.1</v>
      </c>
      <c r="N15" s="74">
        <v>0.2</v>
      </c>
      <c r="O15">
        <f t="shared" si="4"/>
        <v>7.522835823333332E-2</v>
      </c>
      <c r="P15">
        <f t="shared" si="5"/>
        <v>1.3275359999999998E-2</v>
      </c>
      <c r="Q15">
        <f t="shared" si="6"/>
        <v>6.195299823333332E-2</v>
      </c>
      <c r="R15">
        <f t="shared" si="7"/>
        <v>2.9927605633333337E-3</v>
      </c>
      <c r="S15">
        <f t="shared" si="8"/>
        <v>1.8437999999999998E-3</v>
      </c>
      <c r="T15">
        <f t="shared" si="9"/>
        <v>1.1489605633333338E-3</v>
      </c>
    </row>
    <row r="16" spans="1:20" ht="14">
      <c r="A16" s="25" t="s">
        <v>61</v>
      </c>
      <c r="B16" s="25">
        <v>27082019</v>
      </c>
      <c r="C16" s="73">
        <v>14</v>
      </c>
      <c r="D16" s="25">
        <v>0.99370000000000003</v>
      </c>
      <c r="E16" s="58">
        <v>13.286099999999999</v>
      </c>
      <c r="F16" s="58">
        <f t="shared" si="0"/>
        <v>12.292399999999999</v>
      </c>
      <c r="G16" s="25">
        <f t="shared" si="1"/>
        <v>2.8887139999999998</v>
      </c>
      <c r="H16" s="25">
        <v>1.889</v>
      </c>
      <c r="I16" s="25">
        <f t="shared" si="2"/>
        <v>0.89529999999999998</v>
      </c>
      <c r="J16" s="25">
        <f t="shared" si="3"/>
        <v>15.170680359435174</v>
      </c>
      <c r="K16" s="25"/>
      <c r="L16" s="74">
        <v>1.32</v>
      </c>
      <c r="M16" s="74">
        <v>46.91</v>
      </c>
      <c r="N16" s="74">
        <v>0.192</v>
      </c>
      <c r="O16">
        <f t="shared" si="4"/>
        <v>7.963221593333332E-2</v>
      </c>
      <c r="P16">
        <f t="shared" si="5"/>
        <v>1.1817959999999999E-2</v>
      </c>
      <c r="Q16">
        <f t="shared" si="6"/>
        <v>6.7814255933333317E-2</v>
      </c>
      <c r="R16">
        <f t="shared" si="7"/>
        <v>3.1679563533333335E-3</v>
      </c>
      <c r="S16">
        <f t="shared" si="8"/>
        <v>1.7189760000000001E-3</v>
      </c>
      <c r="T16">
        <f t="shared" si="9"/>
        <v>1.4489803533333334E-3</v>
      </c>
    </row>
    <row r="17" spans="1:20" ht="14">
      <c r="A17" s="25" t="s">
        <v>62</v>
      </c>
      <c r="B17" s="25">
        <v>27082019</v>
      </c>
      <c r="C17" s="73">
        <v>30</v>
      </c>
      <c r="D17" s="25">
        <v>0.99950000000000006</v>
      </c>
      <c r="E17" s="58">
        <v>12.9551</v>
      </c>
      <c r="F17" s="58">
        <f t="shared" si="0"/>
        <v>11.9556</v>
      </c>
      <c r="G17" s="25">
        <f t="shared" si="1"/>
        <v>2.8095659999999998</v>
      </c>
      <c r="H17" s="25">
        <v>1.907</v>
      </c>
      <c r="I17" s="25">
        <f t="shared" si="2"/>
        <v>0.90749999999999997</v>
      </c>
      <c r="J17" s="25">
        <f t="shared" si="3"/>
        <v>15.027920410783052</v>
      </c>
      <c r="K17" s="25"/>
      <c r="L17" s="74">
        <v>1.29</v>
      </c>
      <c r="M17" s="74">
        <v>45.91</v>
      </c>
      <c r="N17" s="74">
        <v>0.21199999999999999</v>
      </c>
      <c r="O17">
        <f t="shared" si="4"/>
        <v>7.7450369399999983E-2</v>
      </c>
      <c r="P17">
        <f t="shared" si="5"/>
        <v>1.170675E-2</v>
      </c>
      <c r="Q17">
        <f t="shared" si="6"/>
        <v>6.5743619399999981E-2</v>
      </c>
      <c r="R17">
        <f t="shared" si="7"/>
        <v>3.0811573799999999E-3</v>
      </c>
      <c r="S17">
        <f t="shared" si="8"/>
        <v>1.9238999999999999E-3</v>
      </c>
      <c r="T17">
        <f t="shared" si="9"/>
        <v>1.1572573800000001E-3</v>
      </c>
    </row>
    <row r="18" spans="1:20" ht="14">
      <c r="A18" s="25" t="s">
        <v>63</v>
      </c>
      <c r="B18" s="25">
        <v>27082019</v>
      </c>
      <c r="C18" s="73">
        <v>30</v>
      </c>
      <c r="D18" s="25">
        <v>1.0088999999999999</v>
      </c>
      <c r="E18" s="58">
        <v>12.907</v>
      </c>
      <c r="F18" s="58">
        <f t="shared" si="0"/>
        <v>11.898099999999999</v>
      </c>
      <c r="G18" s="25">
        <f t="shared" si="1"/>
        <v>2.7960534999999997</v>
      </c>
      <c r="H18" s="25">
        <v>1.845</v>
      </c>
      <c r="I18" s="25">
        <f t="shared" si="2"/>
        <v>0.83610000000000007</v>
      </c>
      <c r="J18" s="25">
        <f t="shared" si="3"/>
        <v>11.591630295250321</v>
      </c>
      <c r="K18" s="25"/>
      <c r="L18" s="74">
        <v>1.08</v>
      </c>
      <c r="M18" s="74">
        <v>45.9</v>
      </c>
      <c r="N18" s="74">
        <v>0.186</v>
      </c>
      <c r="O18">
        <f t="shared" si="4"/>
        <v>7.7077874816666656E-2</v>
      </c>
      <c r="P18">
        <f t="shared" si="5"/>
        <v>9.0298800000000005E-3</v>
      </c>
      <c r="Q18">
        <f t="shared" si="6"/>
        <v>6.8047994816666652E-2</v>
      </c>
      <c r="R18">
        <f t="shared" si="7"/>
        <v>3.0663386716666668E-3</v>
      </c>
      <c r="S18">
        <f t="shared" si="8"/>
        <v>1.5551460000000001E-3</v>
      </c>
      <c r="T18">
        <f t="shared" si="9"/>
        <v>1.5111926716666667E-3</v>
      </c>
    </row>
    <row r="19" spans="1:20" ht="14">
      <c r="A19" s="25" t="s">
        <v>64</v>
      </c>
      <c r="B19" s="25">
        <v>27082019</v>
      </c>
      <c r="C19" s="73">
        <v>30</v>
      </c>
      <c r="D19" s="25">
        <v>1.0078</v>
      </c>
      <c r="E19" s="58">
        <v>12.6807</v>
      </c>
      <c r="F19" s="58">
        <f t="shared" si="0"/>
        <v>11.6729</v>
      </c>
      <c r="G19" s="25">
        <f t="shared" si="1"/>
        <v>2.7431315000000001</v>
      </c>
      <c r="H19" s="25">
        <v>1.7769999999999999</v>
      </c>
      <c r="I19" s="25">
        <f t="shared" si="2"/>
        <v>0.76919999999999988</v>
      </c>
      <c r="J19" s="25">
        <f t="shared" si="3"/>
        <v>11.355327342747106</v>
      </c>
      <c r="K19" s="25"/>
      <c r="L19" s="74">
        <v>1.1499999999999999</v>
      </c>
      <c r="M19" s="74">
        <v>45.3</v>
      </c>
      <c r="N19" s="74">
        <v>0.20200000000000001</v>
      </c>
      <c r="O19">
        <f t="shared" si="4"/>
        <v>7.5618991683333331E-2</v>
      </c>
      <c r="P19">
        <f t="shared" si="5"/>
        <v>8.8457999999999991E-3</v>
      </c>
      <c r="Q19">
        <f t="shared" si="6"/>
        <v>6.677319168333333E-2</v>
      </c>
      <c r="R19">
        <f t="shared" si="7"/>
        <v>3.0083008783333338E-3</v>
      </c>
      <c r="S19">
        <f t="shared" si="8"/>
        <v>1.5537839999999999E-3</v>
      </c>
      <c r="T19">
        <f t="shared" si="9"/>
        <v>1.4545168783333339E-3</v>
      </c>
    </row>
    <row r="20" spans="1:20" ht="14">
      <c r="A20" s="25" t="s">
        <v>65</v>
      </c>
      <c r="B20" s="25">
        <v>27082019</v>
      </c>
      <c r="C20" s="73">
        <v>30</v>
      </c>
      <c r="D20" s="25">
        <v>1.3452999999999999</v>
      </c>
      <c r="E20" s="58">
        <v>25.459499999999998</v>
      </c>
      <c r="F20" s="58">
        <f t="shared" si="0"/>
        <v>24.114199999999997</v>
      </c>
      <c r="G20" s="25">
        <f t="shared" si="1"/>
        <v>5.6668369999999992</v>
      </c>
      <c r="H20" s="25">
        <v>3.0129999999999999</v>
      </c>
      <c r="I20" s="25">
        <f t="shared" si="2"/>
        <v>1.6677</v>
      </c>
      <c r="J20" s="25">
        <f t="shared" ref="J20:J22" si="10">G20-I20</f>
        <v>3.9991369999999993</v>
      </c>
      <c r="K20" s="25"/>
      <c r="L20" s="74">
        <v>1.1200000000000001</v>
      </c>
      <c r="M20" s="74">
        <v>45.56</v>
      </c>
      <c r="N20" s="74">
        <v>0.187</v>
      </c>
      <c r="O20">
        <f t="shared" si="4"/>
        <v>0.15621580663333329</v>
      </c>
      <c r="P20">
        <f t="shared" si="5"/>
        <v>1.8678240000000002E-2</v>
      </c>
      <c r="Q20">
        <f t="shared" si="6"/>
        <v>0.13753756663333327</v>
      </c>
      <c r="R20">
        <f t="shared" si="7"/>
        <v>6.2146312433333335E-3</v>
      </c>
      <c r="S20">
        <f t="shared" si="8"/>
        <v>3.1185989999999997E-3</v>
      </c>
      <c r="T20">
        <f t="shared" si="9"/>
        <v>3.0960322433333338E-3</v>
      </c>
    </row>
    <row r="21" spans="1:20" ht="14">
      <c r="A21" s="25" t="s">
        <v>66</v>
      </c>
      <c r="B21" s="25">
        <v>27082019</v>
      </c>
      <c r="C21" s="73">
        <v>30</v>
      </c>
      <c r="D21" s="25">
        <v>1.3544</v>
      </c>
      <c r="E21" s="58">
        <v>24.8581</v>
      </c>
      <c r="F21" s="58">
        <f t="shared" si="0"/>
        <v>23.503700000000002</v>
      </c>
      <c r="G21" s="25">
        <f t="shared" si="1"/>
        <v>5.5233695000000003</v>
      </c>
      <c r="H21" s="25">
        <v>3.081</v>
      </c>
      <c r="I21" s="25">
        <f t="shared" si="2"/>
        <v>1.7265999999999999</v>
      </c>
      <c r="J21" s="25">
        <f t="shared" si="10"/>
        <v>3.7967695000000004</v>
      </c>
      <c r="K21" s="25"/>
      <c r="L21" s="74">
        <v>1.38</v>
      </c>
      <c r="M21" s="74">
        <v>46.74</v>
      </c>
      <c r="N21" s="74">
        <v>0.22700000000000001</v>
      </c>
      <c r="O21">
        <f t="shared" si="4"/>
        <v>0.15226088588333331</v>
      </c>
      <c r="P21">
        <f t="shared" si="5"/>
        <v>2.3827079999999997E-2</v>
      </c>
      <c r="Q21">
        <f t="shared" si="6"/>
        <v>0.12843380588333331</v>
      </c>
      <c r="R21">
        <f t="shared" si="7"/>
        <v>6.0572952183333339E-3</v>
      </c>
      <c r="S21">
        <f t="shared" si="8"/>
        <v>3.9193819999999999E-3</v>
      </c>
      <c r="T21">
        <f t="shared" si="9"/>
        <v>2.137913218333334E-3</v>
      </c>
    </row>
    <row r="22" spans="1:20" ht="14">
      <c r="A22" s="25" t="s">
        <v>67</v>
      </c>
      <c r="B22" s="25">
        <v>27082019</v>
      </c>
      <c r="C22" s="73">
        <v>30</v>
      </c>
      <c r="D22" s="25">
        <v>1.3548</v>
      </c>
      <c r="E22" s="58">
        <v>24.940999999999999</v>
      </c>
      <c r="F22" s="58">
        <f t="shared" si="0"/>
        <v>23.586199999999998</v>
      </c>
      <c r="G22" s="25">
        <f t="shared" si="1"/>
        <v>5.542756999999999</v>
      </c>
      <c r="H22" s="25">
        <v>3.0339999999999998</v>
      </c>
      <c r="I22" s="25">
        <f t="shared" si="2"/>
        <v>1.6791999999999998</v>
      </c>
      <c r="J22" s="25">
        <f t="shared" si="10"/>
        <v>3.8635569999999992</v>
      </c>
      <c r="K22" s="25"/>
      <c r="L22" s="74">
        <v>1.38</v>
      </c>
      <c r="M22" s="74">
        <v>46.16</v>
      </c>
      <c r="N22" s="74">
        <v>0.20100000000000001</v>
      </c>
      <c r="O22">
        <f t="shared" si="4"/>
        <v>0.15279533463333328</v>
      </c>
      <c r="P22">
        <f t="shared" si="5"/>
        <v>2.3172959999999996E-2</v>
      </c>
      <c r="Q22">
        <f t="shared" si="6"/>
        <v>0.12962237463333329</v>
      </c>
      <c r="R22">
        <f t="shared" si="7"/>
        <v>6.0785568433333334E-3</v>
      </c>
      <c r="S22">
        <f t="shared" si="8"/>
        <v>3.3751919999999995E-3</v>
      </c>
      <c r="T22">
        <f t="shared" si="9"/>
        <v>2.7033648433333339E-3</v>
      </c>
    </row>
    <row r="23" spans="1:20">
      <c r="A23" s="59"/>
      <c r="B23" s="40"/>
      <c r="C23" s="40"/>
      <c r="D23" s="40"/>
      <c r="E23" s="40"/>
      <c r="F23" s="40"/>
      <c r="G23" s="40"/>
      <c r="H23" s="40"/>
    </row>
    <row r="24" spans="1:20">
      <c r="A24" s="59"/>
      <c r="B24" s="40"/>
      <c r="C24" s="40"/>
      <c r="D24" s="40"/>
      <c r="E24" s="40"/>
      <c r="F24" s="40"/>
      <c r="G24" s="40"/>
      <c r="H24" s="40"/>
    </row>
    <row r="25" spans="1:20">
      <c r="A25" s="59"/>
      <c r="B25" s="40"/>
      <c r="C25" s="40"/>
      <c r="D25" s="40"/>
      <c r="E25" s="40"/>
      <c r="F25" s="40"/>
      <c r="G25" s="40" t="s">
        <v>216</v>
      </c>
      <c r="H25" s="34">
        <v>77.900000000000006</v>
      </c>
      <c r="J25">
        <v>3</v>
      </c>
      <c r="K25">
        <f>AVERAGE(J8:J10)</f>
        <v>17.72775780915704</v>
      </c>
    </row>
    <row r="26" spans="1:20">
      <c r="A26" s="59"/>
      <c r="B26" s="40"/>
      <c r="C26" s="40"/>
      <c r="D26" s="40"/>
      <c r="E26" s="40"/>
      <c r="F26" s="40"/>
      <c r="G26" s="40" t="s">
        <v>210</v>
      </c>
      <c r="H26" s="34">
        <v>9.82</v>
      </c>
      <c r="J26">
        <v>7</v>
      </c>
      <c r="K26">
        <f>AVERAGE(J11:J13)</f>
        <v>19.798669234060757</v>
      </c>
    </row>
    <row r="27" spans="1:20">
      <c r="A27" s="59"/>
      <c r="B27" s="40"/>
      <c r="C27" s="40"/>
      <c r="D27" s="40"/>
      <c r="E27" s="40"/>
      <c r="F27" s="40"/>
      <c r="G27" s="40"/>
      <c r="H27" s="40"/>
      <c r="J27">
        <v>14</v>
      </c>
      <c r="K27">
        <f>AVERAGE(J14:J16)</f>
        <v>18.359178433889603</v>
      </c>
    </row>
    <row r="28" spans="1:20">
      <c r="A28" s="59"/>
      <c r="B28" s="40"/>
      <c r="C28" s="40"/>
      <c r="D28" s="40"/>
      <c r="E28" s="40"/>
      <c r="F28" s="40"/>
      <c r="G28" s="40"/>
      <c r="H28" s="40"/>
      <c r="J28">
        <v>30</v>
      </c>
      <c r="K28">
        <f>AVERAGE(J17:J19)</f>
        <v>12.658292682926827</v>
      </c>
    </row>
    <row r="29" spans="1:20">
      <c r="B29" t="s">
        <v>210</v>
      </c>
      <c r="C29" t="s">
        <v>202</v>
      </c>
      <c r="D29" t="s">
        <v>203</v>
      </c>
      <c r="E29" t="s">
        <v>213</v>
      </c>
    </row>
    <row r="30" spans="1:20">
      <c r="B30">
        <f>F36</f>
        <v>9.8278399999999984</v>
      </c>
      <c r="C30">
        <f>F32</f>
        <v>77.903399999999991</v>
      </c>
      <c r="D30">
        <v>0.91991504135213631</v>
      </c>
      <c r="E30">
        <v>0.47936561043832759</v>
      </c>
    </row>
    <row r="31" spans="1:20">
      <c r="E31" t="s">
        <v>104</v>
      </c>
      <c r="F31" t="s">
        <v>193</v>
      </c>
      <c r="G31" t="s">
        <v>199</v>
      </c>
      <c r="H31" t="s">
        <v>200</v>
      </c>
      <c r="I31" t="s">
        <v>211</v>
      </c>
      <c r="J31" t="s">
        <v>212</v>
      </c>
    </row>
    <row r="32" spans="1:20">
      <c r="E32">
        <v>1.0000000000000001E-5</v>
      </c>
      <c r="F32">
        <f>2.826*(L2/100)*1000</f>
        <v>77.903399999999991</v>
      </c>
      <c r="G32">
        <f>$B$30+($C$30-$B$30)*EXP(-$D$30*E32)</f>
        <v>77.902773765564476</v>
      </c>
      <c r="H32">
        <f>(G32-F32)^2</f>
        <v>3.9216956822481103E-7</v>
      </c>
      <c r="I32">
        <f>$C$30*EXP(-$E$30*E32)</f>
        <v>77.903026558786109</v>
      </c>
      <c r="J32">
        <f>(I32-F32)^2</f>
        <v>1.3945834022503796E-7</v>
      </c>
    </row>
    <row r="33" spans="5:10">
      <c r="E33">
        <v>3</v>
      </c>
      <c r="F33">
        <f>AVERAGE(I8:I10)*(AVERAGE(L8:L10)/100)*1000</f>
        <v>13.814755555555555</v>
      </c>
      <c r="G33">
        <f t="shared" ref="G33:G36" si="11">$B$30+($C$30-$B$30)*EXP(-$D$30*E33)</f>
        <v>14.137560878676783</v>
      </c>
      <c r="H33">
        <f t="shared" ref="H33:H36" si="12">(F33-G33)^2</f>
        <v>0.10420327663540056</v>
      </c>
      <c r="I33">
        <f t="shared" ref="I33:I36" si="13">$C$30*EXP(-$E$30*E33)</f>
        <v>18.492639097945972</v>
      </c>
      <c r="J33">
        <f t="shared" ref="J33:J36" si="14">(I33-F33)^2</f>
        <v>21.882594436167114</v>
      </c>
    </row>
    <row r="34" spans="5:10">
      <c r="E34">
        <v>7</v>
      </c>
      <c r="F34">
        <f>AVERAGE(I11:I13)*AVERAGE(L11:L13)/100*1000</f>
        <v>15.407194444444444</v>
      </c>
      <c r="G34">
        <f t="shared" si="11"/>
        <v>9.9365809289204705</v>
      </c>
      <c r="H34">
        <f t="shared" si="12"/>
        <v>29.927612236233571</v>
      </c>
      <c r="I34">
        <f t="shared" si="13"/>
        <v>2.7180380762574718</v>
      </c>
      <c r="J34">
        <f t="shared" si="14"/>
        <v>161.01468933630002</v>
      </c>
    </row>
    <row r="35" spans="5:10">
      <c r="E35">
        <v>14</v>
      </c>
      <c r="F35">
        <f>AVERAGE(I14:I16)*AVERAGE(L14:L17)/100*1000</f>
        <v>13.712086666666668</v>
      </c>
      <c r="G35">
        <f t="shared" si="11"/>
        <v>9.8280136980147113</v>
      </c>
      <c r="H35">
        <f t="shared" si="12"/>
        <v>15.086022825812822</v>
      </c>
      <c r="I35">
        <f t="shared" si="13"/>
        <v>9.4831945511818699E-2</v>
      </c>
      <c r="J35">
        <f t="shared" si="14"/>
        <v>185.42962614081401</v>
      </c>
    </row>
    <row r="36" spans="5:10">
      <c r="E36">
        <v>30</v>
      </c>
      <c r="F36">
        <f>AVERAGE(I17:I19)*AVERAGE(L17:L19)/100*1000</f>
        <v>9.8278399999999984</v>
      </c>
      <c r="G36">
        <f t="shared" si="11"/>
        <v>9.8278400000703972</v>
      </c>
      <c r="H36">
        <f t="shared" si="12"/>
        <v>4.9559907460848417E-21</v>
      </c>
      <c r="I36">
        <f t="shared" si="13"/>
        <v>4.4256924382777183E-5</v>
      </c>
      <c r="J36">
        <f t="shared" si="14"/>
        <v>96.585569167615191</v>
      </c>
    </row>
    <row r="37" spans="5:10">
      <c r="G37" t="s">
        <v>201</v>
      </c>
      <c r="H37">
        <f>SUM(H32:H36)</f>
        <v>45.117838730851361</v>
      </c>
      <c r="J37">
        <f>SUM(J32:J36)</f>
        <v>464.91247922035467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K30" sqref="K30"/>
    </sheetView>
  </sheetViews>
  <sheetFormatPr baseColWidth="10" defaultRowHeight="13" x14ac:dyDescent="0"/>
  <sheetData>
    <row r="1" spans="1:20" ht="14">
      <c r="A1" s="17" t="s">
        <v>41</v>
      </c>
      <c r="F1" t="s">
        <v>149</v>
      </c>
    </row>
    <row r="2" spans="1:20">
      <c r="A2" s="18" t="s">
        <v>1</v>
      </c>
      <c r="B2">
        <v>27082019</v>
      </c>
      <c r="D2" t="s">
        <v>14</v>
      </c>
      <c r="E2" t="s">
        <v>16</v>
      </c>
      <c r="F2">
        <v>0.23499999999999999</v>
      </c>
      <c r="L2">
        <f>AVERAGE(L5:L7)</f>
        <v>2.7566666666666664</v>
      </c>
      <c r="M2">
        <f>AVERAGE(M5:M7)</f>
        <v>43.386666666666663</v>
      </c>
      <c r="N2">
        <f>AVERAGE(N5:N7)</f>
        <v>0.10966666666666668</v>
      </c>
      <c r="Q2">
        <v>100</v>
      </c>
    </row>
    <row r="3" spans="1:20">
      <c r="A3" s="67"/>
      <c r="B3" s="67"/>
      <c r="C3" s="68" t="s">
        <v>191</v>
      </c>
      <c r="D3" s="19" t="s">
        <v>50</v>
      </c>
      <c r="E3" s="67" t="s">
        <v>51</v>
      </c>
      <c r="F3" s="67" t="s">
        <v>52</v>
      </c>
      <c r="G3" s="69" t="s">
        <v>150</v>
      </c>
      <c r="H3" s="68" t="s">
        <v>156</v>
      </c>
      <c r="I3" s="70"/>
      <c r="J3" s="68"/>
      <c r="K3" s="71"/>
      <c r="L3" s="68"/>
      <c r="M3" s="68"/>
      <c r="N3" s="68"/>
    </row>
    <row r="4" spans="1:20">
      <c r="A4" s="62" t="s">
        <v>45</v>
      </c>
      <c r="B4" s="62" t="s">
        <v>49</v>
      </c>
      <c r="C4" s="72" t="s">
        <v>46</v>
      </c>
      <c r="D4" s="63" t="s">
        <v>154</v>
      </c>
      <c r="E4" s="62" t="s">
        <v>153</v>
      </c>
      <c r="F4" s="61" t="s">
        <v>151</v>
      </c>
      <c r="G4" s="61" t="s">
        <v>152</v>
      </c>
      <c r="H4" s="61" t="s">
        <v>155</v>
      </c>
      <c r="I4" s="61" t="s">
        <v>157</v>
      </c>
      <c r="J4" s="23" t="s">
        <v>190</v>
      </c>
      <c r="K4" s="64" t="s">
        <v>9</v>
      </c>
      <c r="L4" s="61" t="s">
        <v>145</v>
      </c>
      <c r="M4" s="61" t="s">
        <v>146</v>
      </c>
      <c r="N4" s="61" t="s">
        <v>148</v>
      </c>
      <c r="O4" s="61" t="s">
        <v>194</v>
      </c>
      <c r="P4" s="61" t="s">
        <v>196</v>
      </c>
      <c r="Q4" s="61" t="s">
        <v>197</v>
      </c>
      <c r="R4" s="61" t="s">
        <v>195</v>
      </c>
      <c r="S4" s="61" t="s">
        <v>214</v>
      </c>
      <c r="T4" s="61" t="s">
        <v>198</v>
      </c>
    </row>
    <row r="5" spans="1:20" ht="15">
      <c r="A5" s="25" t="s">
        <v>110</v>
      </c>
      <c r="B5" s="25">
        <v>27082019</v>
      </c>
      <c r="C5" s="73">
        <v>0</v>
      </c>
      <c r="D5" s="25" t="s">
        <v>22</v>
      </c>
      <c r="E5" s="25" t="s">
        <v>22</v>
      </c>
      <c r="F5" s="25" t="s">
        <v>22</v>
      </c>
      <c r="G5" s="25" t="s">
        <v>22</v>
      </c>
      <c r="H5" s="25" t="s">
        <v>22</v>
      </c>
      <c r="I5" s="25" t="s">
        <v>22</v>
      </c>
      <c r="J5" s="25">
        <v>0</v>
      </c>
      <c r="K5" s="25"/>
      <c r="L5" s="74">
        <v>2.94</v>
      </c>
      <c r="M5" s="74">
        <v>43.76</v>
      </c>
      <c r="N5" s="74">
        <v>0.11600000000000001</v>
      </c>
      <c r="P5" s="65"/>
      <c r="S5" s="65"/>
    </row>
    <row r="6" spans="1:20" ht="15">
      <c r="A6" s="25" t="s">
        <v>110</v>
      </c>
      <c r="B6" s="25">
        <v>27082019</v>
      </c>
      <c r="C6" s="73">
        <v>0</v>
      </c>
      <c r="D6" s="25" t="s">
        <v>22</v>
      </c>
      <c r="E6" s="25" t="s">
        <v>22</v>
      </c>
      <c r="F6" s="25" t="s">
        <v>22</v>
      </c>
      <c r="G6" s="25" t="s">
        <v>22</v>
      </c>
      <c r="H6" s="25" t="s">
        <v>22</v>
      </c>
      <c r="I6" s="25" t="s">
        <v>22</v>
      </c>
      <c r="J6" s="25">
        <v>0</v>
      </c>
      <c r="K6" s="25"/>
      <c r="L6" s="74">
        <v>2.5099999999999998</v>
      </c>
      <c r="M6" s="74">
        <v>42.94</v>
      </c>
      <c r="N6" s="74">
        <v>0.10299999999999999</v>
      </c>
      <c r="P6" s="65"/>
      <c r="S6" s="66"/>
    </row>
    <row r="7" spans="1:20" ht="15">
      <c r="A7" s="25" t="s">
        <v>110</v>
      </c>
      <c r="B7" s="25">
        <v>27082019</v>
      </c>
      <c r="C7" s="73">
        <v>0</v>
      </c>
      <c r="D7" s="25" t="s">
        <v>22</v>
      </c>
      <c r="E7" s="25" t="s">
        <v>22</v>
      </c>
      <c r="F7" s="25" t="s">
        <v>22</v>
      </c>
      <c r="G7" s="25" t="s">
        <v>22</v>
      </c>
      <c r="H7" s="25" t="s">
        <v>22</v>
      </c>
      <c r="I7" s="25" t="s">
        <v>22</v>
      </c>
      <c r="J7" s="25">
        <v>0</v>
      </c>
      <c r="K7" s="25"/>
      <c r="L7" s="74">
        <v>2.82</v>
      </c>
      <c r="M7" s="74">
        <v>43.46</v>
      </c>
      <c r="N7" s="74">
        <v>0.11</v>
      </c>
      <c r="P7" s="65"/>
      <c r="S7" s="66"/>
    </row>
    <row r="8" spans="1:20" ht="14">
      <c r="A8" s="25" t="s">
        <v>53</v>
      </c>
      <c r="B8" s="25">
        <v>27082019</v>
      </c>
      <c r="C8" s="73">
        <v>3</v>
      </c>
      <c r="D8" s="25">
        <v>1.0125999999999999</v>
      </c>
      <c r="E8" s="58">
        <v>12.808199999999999</v>
      </c>
      <c r="F8" s="58">
        <f>E8-D8</f>
        <v>11.7956</v>
      </c>
      <c r="G8" s="25">
        <f>F8*$F$2</f>
        <v>2.7719659999999999</v>
      </c>
      <c r="H8" s="25">
        <v>2.3860000000000001</v>
      </c>
      <c r="I8" s="25">
        <f>H8-D8</f>
        <v>1.3734000000000002</v>
      </c>
      <c r="J8" s="25">
        <f>(I8*N8/100*1000)/$J$24*100</f>
        <v>59.82479349509552</v>
      </c>
      <c r="K8" s="25"/>
      <c r="L8" s="74">
        <v>0.93</v>
      </c>
      <c r="M8" s="74">
        <v>42.04</v>
      </c>
      <c r="N8" s="74">
        <v>0.13500000000000001</v>
      </c>
      <c r="O8">
        <f>G8*($L$2/100)</f>
        <v>7.6413862733333324E-2</v>
      </c>
      <c r="P8">
        <f>I8*(L8/$Q$2)</f>
        <v>1.2772620000000004E-2</v>
      </c>
      <c r="Q8">
        <f>O8-P8</f>
        <v>6.3641242733333325E-2</v>
      </c>
      <c r="R8">
        <f t="shared" ref="R8:R22" si="0">G8*($N$2/100)</f>
        <v>3.0399227133333338E-3</v>
      </c>
      <c r="S8">
        <f>I8*(N8/$Q$2)</f>
        <v>1.8540900000000003E-3</v>
      </c>
      <c r="T8">
        <f>R8-S8</f>
        <v>1.1858327133333335E-3</v>
      </c>
    </row>
    <row r="9" spans="1:20" ht="14">
      <c r="A9" s="25" t="s">
        <v>54</v>
      </c>
      <c r="B9" s="25">
        <v>27082019</v>
      </c>
      <c r="C9" s="73">
        <v>3</v>
      </c>
      <c r="D9" s="25">
        <v>1.0035000000000001</v>
      </c>
      <c r="E9" s="58">
        <v>13.441599999999999</v>
      </c>
      <c r="F9" s="58">
        <f t="shared" ref="F9:F22" si="1">E9-D9</f>
        <v>12.438099999999999</v>
      </c>
      <c r="G9" s="25">
        <f t="shared" ref="G9:G22" si="2">F9*$F$2</f>
        <v>2.9229534999999993</v>
      </c>
      <c r="H9" s="25">
        <v>2.3290000000000002</v>
      </c>
      <c r="I9" s="25">
        <f t="shared" ref="I9:I22" si="3">H9-D9</f>
        <v>1.3255000000000001</v>
      </c>
      <c r="J9" s="25">
        <f t="shared" ref="J9:J19" si="4">(I9*N9/100*1000)/$J$24*100</f>
        <v>50.467540010325237</v>
      </c>
      <c r="K9" s="25"/>
      <c r="L9" s="74">
        <v>1.24</v>
      </c>
      <c r="M9" s="74">
        <v>44.91</v>
      </c>
      <c r="N9" s="74">
        <v>0.11799999999999999</v>
      </c>
      <c r="O9">
        <f t="shared" ref="O9:O22" si="5">G9*($L$2/100)</f>
        <v>8.0576084816666643E-2</v>
      </c>
      <c r="P9">
        <f t="shared" ref="P9:P22" si="6">I9*(L9/$Q$2)</f>
        <v>1.6436200000000002E-2</v>
      </c>
      <c r="Q9">
        <f t="shared" ref="Q9:Q22" si="7">O9-P9</f>
        <v>6.4139884816666645E-2</v>
      </c>
      <c r="R9">
        <f t="shared" si="0"/>
        <v>3.2055056716666663E-3</v>
      </c>
      <c r="S9">
        <f t="shared" ref="S9:S22" si="8">I9*(N9/$Q$2)</f>
        <v>1.56409E-3</v>
      </c>
      <c r="T9">
        <f t="shared" ref="T9:T22" si="9">R9-S9</f>
        <v>1.6414156716666663E-3</v>
      </c>
    </row>
    <row r="10" spans="1:20" ht="14">
      <c r="A10" s="25" t="s">
        <v>55</v>
      </c>
      <c r="B10" s="25">
        <v>27082019</v>
      </c>
      <c r="C10" s="73">
        <v>3</v>
      </c>
      <c r="D10" s="25">
        <v>1.0044999999999999</v>
      </c>
      <c r="E10" s="58">
        <v>13.0189</v>
      </c>
      <c r="F10" s="58">
        <f t="shared" si="1"/>
        <v>12.0144</v>
      </c>
      <c r="G10" s="25">
        <f t="shared" si="2"/>
        <v>2.8233839999999999</v>
      </c>
      <c r="H10" s="25">
        <v>2.1909999999999998</v>
      </c>
      <c r="I10" s="25">
        <f t="shared" si="3"/>
        <v>1.1864999999999999</v>
      </c>
      <c r="J10" s="25">
        <f t="shared" si="4"/>
        <v>46.323728704181718</v>
      </c>
      <c r="K10" s="25"/>
      <c r="L10" s="74">
        <v>1.03</v>
      </c>
      <c r="M10" s="74">
        <v>42.39</v>
      </c>
      <c r="N10" s="74">
        <v>0.121</v>
      </c>
      <c r="O10">
        <f t="shared" si="5"/>
        <v>7.783128559999998E-2</v>
      </c>
      <c r="P10">
        <f t="shared" si="6"/>
        <v>1.222095E-2</v>
      </c>
      <c r="Q10">
        <f t="shared" si="7"/>
        <v>6.5610335599999986E-2</v>
      </c>
      <c r="R10">
        <f t="shared" si="0"/>
        <v>3.0963111200000004E-3</v>
      </c>
      <c r="S10">
        <f t="shared" si="8"/>
        <v>1.4356649999999998E-3</v>
      </c>
      <c r="T10">
        <f t="shared" si="9"/>
        <v>1.6606461200000006E-3</v>
      </c>
    </row>
    <row r="11" spans="1:20" ht="14">
      <c r="A11" s="25" t="s">
        <v>56</v>
      </c>
      <c r="B11" s="25">
        <v>27082019</v>
      </c>
      <c r="C11" s="73">
        <v>7</v>
      </c>
      <c r="D11" s="25">
        <v>1.0039</v>
      </c>
      <c r="E11" s="58">
        <v>12.8971</v>
      </c>
      <c r="F11" s="58">
        <f t="shared" si="1"/>
        <v>11.8932</v>
      </c>
      <c r="G11" s="25">
        <f t="shared" si="2"/>
        <v>2.794902</v>
      </c>
      <c r="H11" s="25">
        <v>2.117</v>
      </c>
      <c r="I11" s="25">
        <f t="shared" si="3"/>
        <v>1.1131</v>
      </c>
      <c r="J11" s="25">
        <f t="shared" si="4"/>
        <v>52.077794269488898</v>
      </c>
      <c r="K11" s="25"/>
      <c r="L11" s="74">
        <v>1.32</v>
      </c>
      <c r="M11" s="74">
        <v>45.26</v>
      </c>
      <c r="N11" s="74">
        <v>0.14499999999999999</v>
      </c>
      <c r="O11">
        <f t="shared" si="5"/>
        <v>7.7046131799999987E-2</v>
      </c>
      <c r="P11">
        <f t="shared" si="6"/>
        <v>1.469292E-2</v>
      </c>
      <c r="Q11">
        <f t="shared" si="7"/>
        <v>6.2353211799999989E-2</v>
      </c>
      <c r="R11">
        <f t="shared" si="0"/>
        <v>3.0650758600000005E-3</v>
      </c>
      <c r="S11">
        <f t="shared" si="8"/>
        <v>1.6139949999999998E-3</v>
      </c>
      <c r="T11">
        <f t="shared" si="9"/>
        <v>1.4510808600000007E-3</v>
      </c>
    </row>
    <row r="12" spans="1:20" ht="14">
      <c r="A12" s="25" t="s">
        <v>57</v>
      </c>
      <c r="B12" s="25">
        <v>27082019</v>
      </c>
      <c r="C12" s="73">
        <v>7</v>
      </c>
      <c r="D12" s="25">
        <v>0.99850000000000005</v>
      </c>
      <c r="E12" s="58">
        <v>13.2668</v>
      </c>
      <c r="F12" s="58">
        <f t="shared" si="1"/>
        <v>12.2683</v>
      </c>
      <c r="G12" s="25">
        <f t="shared" si="2"/>
        <v>2.8830505</v>
      </c>
      <c r="H12" s="25">
        <v>2.1179999999999999</v>
      </c>
      <c r="I12" s="25">
        <f t="shared" si="3"/>
        <v>1.1194999999999999</v>
      </c>
      <c r="J12" s="25">
        <f t="shared" si="4"/>
        <v>64.297560660815691</v>
      </c>
      <c r="K12" s="25"/>
      <c r="L12" s="74">
        <v>1.56</v>
      </c>
      <c r="M12" s="74">
        <v>46.18</v>
      </c>
      <c r="N12" s="74">
        <v>0.17799999999999999</v>
      </c>
      <c r="O12">
        <f t="shared" si="5"/>
        <v>7.9476092116666661E-2</v>
      </c>
      <c r="P12">
        <f t="shared" si="6"/>
        <v>1.7464199999999999E-2</v>
      </c>
      <c r="Q12">
        <f t="shared" si="7"/>
        <v>6.2011892116666661E-2</v>
      </c>
      <c r="R12">
        <f t="shared" si="0"/>
        <v>3.1617453816666671E-3</v>
      </c>
      <c r="S12">
        <f t="shared" si="8"/>
        <v>1.99271E-3</v>
      </c>
      <c r="T12">
        <f t="shared" si="9"/>
        <v>1.1690353816666671E-3</v>
      </c>
    </row>
    <row r="13" spans="1:20" ht="14">
      <c r="A13" s="25" t="s">
        <v>58</v>
      </c>
      <c r="B13" s="25">
        <v>27082019</v>
      </c>
      <c r="C13" s="73">
        <v>7</v>
      </c>
      <c r="D13" s="25">
        <v>1.0059</v>
      </c>
      <c r="E13" s="58">
        <v>13.0151</v>
      </c>
      <c r="F13" s="58">
        <f t="shared" si="1"/>
        <v>12.0092</v>
      </c>
      <c r="G13" s="25">
        <f t="shared" si="2"/>
        <v>2.8221619999999996</v>
      </c>
      <c r="H13" s="25">
        <v>2.036</v>
      </c>
      <c r="I13" s="25">
        <f t="shared" si="3"/>
        <v>1.0301</v>
      </c>
      <c r="J13" s="25">
        <f t="shared" si="4"/>
        <v>51.185918946824984</v>
      </c>
      <c r="K13" s="25"/>
      <c r="L13" s="74">
        <v>1.37</v>
      </c>
      <c r="M13" s="74">
        <v>46.29</v>
      </c>
      <c r="N13" s="74">
        <v>0.154</v>
      </c>
      <c r="O13">
        <f t="shared" si="5"/>
        <v>7.7797599133333312E-2</v>
      </c>
      <c r="P13">
        <f t="shared" si="6"/>
        <v>1.4112370000000001E-2</v>
      </c>
      <c r="Q13">
        <f t="shared" si="7"/>
        <v>6.3685229133333313E-2</v>
      </c>
      <c r="R13">
        <f t="shared" si="0"/>
        <v>3.0949709933333334E-3</v>
      </c>
      <c r="S13">
        <f t="shared" si="8"/>
        <v>1.5863539999999999E-3</v>
      </c>
      <c r="T13">
        <f t="shared" si="9"/>
        <v>1.5086169933333335E-3</v>
      </c>
    </row>
    <row r="14" spans="1:20" ht="14">
      <c r="A14" s="25" t="s">
        <v>59</v>
      </c>
      <c r="B14" s="25">
        <v>27082019</v>
      </c>
      <c r="C14" s="73">
        <v>14</v>
      </c>
      <c r="D14" s="25">
        <v>0.99739999999999995</v>
      </c>
      <c r="E14" s="58">
        <v>13.456799999999999</v>
      </c>
      <c r="F14" s="58">
        <f t="shared" si="1"/>
        <v>12.459399999999999</v>
      </c>
      <c r="G14" s="25">
        <f t="shared" si="2"/>
        <v>2.9279589999999995</v>
      </c>
      <c r="H14" s="25">
        <v>2.0270000000000001</v>
      </c>
      <c r="I14" s="25">
        <f t="shared" si="3"/>
        <v>1.0296000000000003</v>
      </c>
      <c r="J14" s="25">
        <f t="shared" si="4"/>
        <v>82.057046979865788</v>
      </c>
      <c r="K14" s="25"/>
      <c r="L14" s="74">
        <v>1.73</v>
      </c>
      <c r="M14" s="74">
        <v>46.8</v>
      </c>
      <c r="N14" s="74">
        <v>0.247</v>
      </c>
      <c r="O14">
        <f t="shared" si="5"/>
        <v>8.0714069766666646E-2</v>
      </c>
      <c r="P14">
        <f t="shared" si="6"/>
        <v>1.7812080000000004E-2</v>
      </c>
      <c r="Q14">
        <f t="shared" si="7"/>
        <v>6.2901989766666638E-2</v>
      </c>
      <c r="R14">
        <f t="shared" si="0"/>
        <v>3.2109950366666666E-3</v>
      </c>
      <c r="S14">
        <f t="shared" si="8"/>
        <v>2.5431120000000006E-3</v>
      </c>
      <c r="T14">
        <f t="shared" si="9"/>
        <v>6.6788303666666599E-4</v>
      </c>
    </row>
    <row r="15" spans="1:20" ht="14">
      <c r="A15" s="25" t="s">
        <v>60</v>
      </c>
      <c r="B15" s="25">
        <v>27082019</v>
      </c>
      <c r="C15" s="73">
        <v>14</v>
      </c>
      <c r="D15" s="25">
        <v>0.99409999999999998</v>
      </c>
      <c r="E15" s="58">
        <v>12.6067</v>
      </c>
      <c r="F15" s="58">
        <f t="shared" si="1"/>
        <v>11.6126</v>
      </c>
      <c r="G15" s="25">
        <f t="shared" si="2"/>
        <v>2.728961</v>
      </c>
      <c r="H15" s="25">
        <v>1.9159999999999999</v>
      </c>
      <c r="I15" s="25">
        <f t="shared" si="3"/>
        <v>0.92189999999999994</v>
      </c>
      <c r="J15" s="25">
        <f t="shared" si="4"/>
        <v>59.492772328342788</v>
      </c>
      <c r="K15" s="25"/>
      <c r="L15" s="74">
        <v>1.44</v>
      </c>
      <c r="M15" s="74">
        <v>45.1</v>
      </c>
      <c r="N15" s="74">
        <v>0.2</v>
      </c>
      <c r="O15">
        <f t="shared" si="5"/>
        <v>7.522835823333332E-2</v>
      </c>
      <c r="P15">
        <f t="shared" si="6"/>
        <v>1.3275359999999998E-2</v>
      </c>
      <c r="Q15">
        <f t="shared" si="7"/>
        <v>6.195299823333332E-2</v>
      </c>
      <c r="R15">
        <f t="shared" si="0"/>
        <v>2.9927605633333337E-3</v>
      </c>
      <c r="S15">
        <f t="shared" si="8"/>
        <v>1.8437999999999998E-3</v>
      </c>
      <c r="T15">
        <f t="shared" si="9"/>
        <v>1.1489605633333338E-3</v>
      </c>
    </row>
    <row r="16" spans="1:20" ht="14">
      <c r="A16" s="25" t="s">
        <v>61</v>
      </c>
      <c r="B16" s="25">
        <v>27082019</v>
      </c>
      <c r="C16" s="73">
        <v>14</v>
      </c>
      <c r="D16" s="25">
        <v>0.99370000000000003</v>
      </c>
      <c r="E16" s="58">
        <v>13.286099999999999</v>
      </c>
      <c r="F16" s="58">
        <f t="shared" si="1"/>
        <v>12.292399999999999</v>
      </c>
      <c r="G16" s="25">
        <f t="shared" si="2"/>
        <v>2.8887139999999998</v>
      </c>
      <c r="H16" s="25">
        <v>1.889</v>
      </c>
      <c r="I16" s="25">
        <f t="shared" si="3"/>
        <v>0.89529999999999998</v>
      </c>
      <c r="J16" s="25">
        <f t="shared" si="4"/>
        <v>55.465152297367062</v>
      </c>
      <c r="K16" s="25"/>
      <c r="L16" s="74">
        <v>1.32</v>
      </c>
      <c r="M16" s="74">
        <v>46.91</v>
      </c>
      <c r="N16" s="74">
        <v>0.192</v>
      </c>
      <c r="O16">
        <f t="shared" si="5"/>
        <v>7.963221593333332E-2</v>
      </c>
      <c r="P16">
        <f t="shared" si="6"/>
        <v>1.1817959999999999E-2</v>
      </c>
      <c r="Q16">
        <f t="shared" si="7"/>
        <v>6.7814255933333317E-2</v>
      </c>
      <c r="R16">
        <f t="shared" si="0"/>
        <v>3.1679563533333335E-3</v>
      </c>
      <c r="S16">
        <f t="shared" si="8"/>
        <v>1.7189760000000001E-3</v>
      </c>
      <c r="T16">
        <f t="shared" si="9"/>
        <v>1.4489803533333334E-3</v>
      </c>
    </row>
    <row r="17" spans="1:20" ht="14">
      <c r="A17" s="25" t="s">
        <v>62</v>
      </c>
      <c r="B17" s="25">
        <v>27082019</v>
      </c>
      <c r="C17" s="73">
        <v>30</v>
      </c>
      <c r="D17" s="25">
        <v>0.99950000000000006</v>
      </c>
      <c r="E17" s="58">
        <v>12.9551</v>
      </c>
      <c r="F17" s="58">
        <f t="shared" si="1"/>
        <v>11.9556</v>
      </c>
      <c r="G17" s="25">
        <f t="shared" si="2"/>
        <v>2.8095659999999998</v>
      </c>
      <c r="H17" s="25">
        <v>1.907</v>
      </c>
      <c r="I17" s="25">
        <f t="shared" si="3"/>
        <v>0.90749999999999997</v>
      </c>
      <c r="J17" s="25">
        <f t="shared" si="4"/>
        <v>62.077310273618991</v>
      </c>
      <c r="K17" s="25"/>
      <c r="L17" s="74">
        <v>1.29</v>
      </c>
      <c r="M17" s="74">
        <v>45.91</v>
      </c>
      <c r="N17" s="74">
        <v>0.21199999999999999</v>
      </c>
      <c r="O17">
        <f t="shared" si="5"/>
        <v>7.7450369399999983E-2</v>
      </c>
      <c r="P17">
        <f t="shared" si="6"/>
        <v>1.170675E-2</v>
      </c>
      <c r="Q17">
        <f t="shared" si="7"/>
        <v>6.5743619399999981E-2</v>
      </c>
      <c r="R17">
        <f t="shared" si="0"/>
        <v>3.0811573799999999E-3</v>
      </c>
      <c r="S17">
        <f t="shared" si="8"/>
        <v>1.9238999999999999E-3</v>
      </c>
      <c r="T17">
        <f t="shared" si="9"/>
        <v>1.1572573800000001E-3</v>
      </c>
    </row>
    <row r="18" spans="1:20" ht="14">
      <c r="A18" s="25" t="s">
        <v>63</v>
      </c>
      <c r="B18" s="25">
        <v>27082019</v>
      </c>
      <c r="C18" s="73">
        <v>30</v>
      </c>
      <c r="D18" s="25">
        <v>1.0088999999999999</v>
      </c>
      <c r="E18" s="58">
        <v>12.907</v>
      </c>
      <c r="F18" s="58">
        <f t="shared" si="1"/>
        <v>11.898099999999999</v>
      </c>
      <c r="G18" s="25">
        <f t="shared" si="2"/>
        <v>2.7960534999999997</v>
      </c>
      <c r="H18" s="25">
        <v>1.845</v>
      </c>
      <c r="I18" s="25">
        <f t="shared" si="3"/>
        <v>0.83610000000000007</v>
      </c>
      <c r="J18" s="25">
        <f t="shared" si="4"/>
        <v>50.178949406298401</v>
      </c>
      <c r="K18" s="25"/>
      <c r="L18" s="74">
        <v>1.08</v>
      </c>
      <c r="M18" s="74">
        <v>45.9</v>
      </c>
      <c r="N18" s="74">
        <v>0.186</v>
      </c>
      <c r="O18">
        <f t="shared" si="5"/>
        <v>7.7077874816666656E-2</v>
      </c>
      <c r="P18">
        <f t="shared" si="6"/>
        <v>9.0298800000000005E-3</v>
      </c>
      <c r="Q18">
        <f t="shared" si="7"/>
        <v>6.8047994816666652E-2</v>
      </c>
      <c r="R18">
        <f t="shared" si="0"/>
        <v>3.0663386716666668E-3</v>
      </c>
      <c r="S18">
        <f t="shared" si="8"/>
        <v>1.5551460000000001E-3</v>
      </c>
      <c r="T18">
        <f t="shared" si="9"/>
        <v>1.5111926716666667E-3</v>
      </c>
    </row>
    <row r="19" spans="1:20" ht="14">
      <c r="A19" s="25" t="s">
        <v>64</v>
      </c>
      <c r="B19" s="25">
        <v>27082019</v>
      </c>
      <c r="C19" s="73">
        <v>30</v>
      </c>
      <c r="D19" s="25">
        <v>1.0078</v>
      </c>
      <c r="E19" s="58">
        <v>12.6807</v>
      </c>
      <c r="F19" s="58">
        <f t="shared" si="1"/>
        <v>11.6729</v>
      </c>
      <c r="G19" s="25">
        <f t="shared" si="2"/>
        <v>2.7431315000000001</v>
      </c>
      <c r="H19" s="25">
        <v>1.7769999999999999</v>
      </c>
      <c r="I19" s="25">
        <f t="shared" si="3"/>
        <v>0.76919999999999988</v>
      </c>
      <c r="J19" s="25">
        <f t="shared" si="4"/>
        <v>50.135002581311298</v>
      </c>
      <c r="K19" s="25"/>
      <c r="L19" s="74">
        <v>1.1499999999999999</v>
      </c>
      <c r="M19" s="74">
        <v>45.3</v>
      </c>
      <c r="N19" s="74">
        <v>0.20200000000000001</v>
      </c>
      <c r="O19">
        <f t="shared" si="5"/>
        <v>7.5618991683333331E-2</v>
      </c>
      <c r="P19">
        <f t="shared" si="6"/>
        <v>8.8457999999999991E-3</v>
      </c>
      <c r="Q19">
        <f t="shared" si="7"/>
        <v>6.677319168333333E-2</v>
      </c>
      <c r="R19">
        <f t="shared" si="0"/>
        <v>3.0083008783333338E-3</v>
      </c>
      <c r="S19">
        <f t="shared" si="8"/>
        <v>1.5537839999999999E-3</v>
      </c>
      <c r="T19">
        <f t="shared" si="9"/>
        <v>1.4545168783333339E-3</v>
      </c>
    </row>
    <row r="20" spans="1:20" ht="14">
      <c r="A20" s="25" t="s">
        <v>65</v>
      </c>
      <c r="B20" s="25">
        <v>27082019</v>
      </c>
      <c r="C20" s="73">
        <v>30</v>
      </c>
      <c r="D20" s="25">
        <v>1.3452999999999999</v>
      </c>
      <c r="E20" s="58">
        <v>25.459499999999998</v>
      </c>
      <c r="F20" s="58">
        <f t="shared" si="1"/>
        <v>24.114199999999997</v>
      </c>
      <c r="G20" s="25">
        <f t="shared" si="2"/>
        <v>5.6668369999999992</v>
      </c>
      <c r="H20" s="25">
        <v>3.0129999999999999</v>
      </c>
      <c r="I20" s="25">
        <f t="shared" si="3"/>
        <v>1.6677</v>
      </c>
      <c r="J20" s="25">
        <f t="shared" ref="J20:J22" si="10">G20-I20</f>
        <v>3.9991369999999993</v>
      </c>
      <c r="K20" s="25"/>
      <c r="L20" s="74">
        <v>1.1200000000000001</v>
      </c>
      <c r="M20" s="74">
        <v>45.56</v>
      </c>
      <c r="N20" s="74">
        <v>0.187</v>
      </c>
      <c r="O20">
        <f t="shared" si="5"/>
        <v>0.15621580663333329</v>
      </c>
      <c r="P20">
        <f t="shared" si="6"/>
        <v>1.8678240000000002E-2</v>
      </c>
      <c r="Q20">
        <f t="shared" si="7"/>
        <v>0.13753756663333327</v>
      </c>
      <c r="R20">
        <f t="shared" si="0"/>
        <v>6.2146312433333335E-3</v>
      </c>
      <c r="S20">
        <f t="shared" si="8"/>
        <v>3.1185989999999997E-3</v>
      </c>
      <c r="T20">
        <f t="shared" si="9"/>
        <v>3.0960322433333338E-3</v>
      </c>
    </row>
    <row r="21" spans="1:20" ht="14">
      <c r="A21" s="25" t="s">
        <v>66</v>
      </c>
      <c r="B21" s="25">
        <v>27082019</v>
      </c>
      <c r="C21" s="73">
        <v>30</v>
      </c>
      <c r="D21" s="25">
        <v>1.3544</v>
      </c>
      <c r="E21" s="58">
        <v>24.8581</v>
      </c>
      <c r="F21" s="58">
        <f t="shared" si="1"/>
        <v>23.503700000000002</v>
      </c>
      <c r="G21" s="25">
        <f t="shared" si="2"/>
        <v>5.5233695000000003</v>
      </c>
      <c r="H21" s="25">
        <v>3.081</v>
      </c>
      <c r="I21" s="25">
        <f t="shared" si="3"/>
        <v>1.7265999999999999</v>
      </c>
      <c r="J21" s="25">
        <f t="shared" si="10"/>
        <v>3.7967695000000004</v>
      </c>
      <c r="K21" s="25"/>
      <c r="L21" s="74">
        <v>1.38</v>
      </c>
      <c r="M21" s="74">
        <v>46.74</v>
      </c>
      <c r="N21" s="74">
        <v>0.22700000000000001</v>
      </c>
      <c r="O21">
        <f t="shared" si="5"/>
        <v>0.15226088588333331</v>
      </c>
      <c r="P21">
        <f t="shared" si="6"/>
        <v>2.3827079999999997E-2</v>
      </c>
      <c r="Q21">
        <f t="shared" si="7"/>
        <v>0.12843380588333331</v>
      </c>
      <c r="R21">
        <f t="shared" si="0"/>
        <v>6.0572952183333339E-3</v>
      </c>
      <c r="S21">
        <f t="shared" si="8"/>
        <v>3.9193819999999999E-3</v>
      </c>
      <c r="T21">
        <f t="shared" si="9"/>
        <v>2.137913218333334E-3</v>
      </c>
    </row>
    <row r="22" spans="1:20" ht="14">
      <c r="A22" s="25" t="s">
        <v>67</v>
      </c>
      <c r="B22" s="25">
        <v>27082019</v>
      </c>
      <c r="C22" s="73">
        <v>30</v>
      </c>
      <c r="D22" s="25">
        <v>1.3548</v>
      </c>
      <c r="E22" s="58">
        <v>24.940999999999999</v>
      </c>
      <c r="F22" s="58">
        <f t="shared" si="1"/>
        <v>23.586199999999998</v>
      </c>
      <c r="G22" s="25">
        <f t="shared" si="2"/>
        <v>5.542756999999999</v>
      </c>
      <c r="H22" s="25">
        <v>3.0339999999999998</v>
      </c>
      <c r="I22" s="25">
        <f t="shared" si="3"/>
        <v>1.6791999999999998</v>
      </c>
      <c r="J22" s="25">
        <f t="shared" si="10"/>
        <v>3.8635569999999992</v>
      </c>
      <c r="K22" s="25"/>
      <c r="L22" s="74">
        <v>1.38</v>
      </c>
      <c r="M22" s="74">
        <v>46.16</v>
      </c>
      <c r="N22" s="74">
        <v>0.20100000000000001</v>
      </c>
      <c r="O22">
        <f t="shared" si="5"/>
        <v>0.15279533463333328</v>
      </c>
      <c r="P22">
        <f t="shared" si="6"/>
        <v>2.3172959999999996E-2</v>
      </c>
      <c r="Q22">
        <f t="shared" si="7"/>
        <v>0.12962237463333329</v>
      </c>
      <c r="R22">
        <f t="shared" si="0"/>
        <v>6.0785568433333334E-3</v>
      </c>
      <c r="S22">
        <f t="shared" si="8"/>
        <v>3.3751919999999995E-3</v>
      </c>
      <c r="T22">
        <f t="shared" si="9"/>
        <v>2.7033648433333339E-3</v>
      </c>
    </row>
    <row r="23" spans="1:20">
      <c r="A23" s="59"/>
      <c r="B23" s="40"/>
      <c r="C23" s="40"/>
      <c r="D23" s="40"/>
      <c r="E23" s="40"/>
      <c r="F23" s="40"/>
      <c r="G23" s="40"/>
      <c r="H23" s="40"/>
    </row>
    <row r="24" spans="1:20">
      <c r="A24" s="59"/>
      <c r="B24" s="40"/>
      <c r="C24" s="40"/>
      <c r="D24" s="40"/>
      <c r="E24" s="40"/>
      <c r="F24" s="40"/>
      <c r="G24" s="40"/>
      <c r="H24" s="40"/>
      <c r="I24" t="s">
        <v>218</v>
      </c>
      <c r="J24">
        <v>3.0992000000000002</v>
      </c>
    </row>
    <row r="25" spans="1:20">
      <c r="A25" s="59"/>
      <c r="B25" s="40"/>
      <c r="C25" s="40"/>
      <c r="D25" s="40"/>
      <c r="E25" s="40"/>
      <c r="F25" s="40"/>
      <c r="G25" s="40"/>
      <c r="H25" s="40"/>
      <c r="I25" t="s">
        <v>217</v>
      </c>
      <c r="J25">
        <v>1.6752</v>
      </c>
    </row>
    <row r="26" spans="1:20">
      <c r="A26" s="59"/>
      <c r="B26" s="40"/>
      <c r="C26" s="40"/>
      <c r="D26" s="40"/>
      <c r="E26" s="40"/>
      <c r="F26" s="40"/>
      <c r="G26" s="40"/>
      <c r="H26" s="40"/>
      <c r="J26">
        <v>3</v>
      </c>
      <c r="K26">
        <f>AVERAGE(J8:J10)</f>
        <v>52.205354069867496</v>
      </c>
    </row>
    <row r="27" spans="1:20">
      <c r="A27" s="59"/>
      <c r="B27" s="40"/>
      <c r="C27" s="40"/>
      <c r="D27" s="40"/>
      <c r="E27" s="40"/>
      <c r="F27" s="40"/>
      <c r="G27" s="40"/>
      <c r="H27" s="40"/>
      <c r="J27">
        <v>7</v>
      </c>
      <c r="K27">
        <f>AVERAGE(J11:J13)</f>
        <v>55.853757959043186</v>
      </c>
    </row>
    <row r="28" spans="1:20">
      <c r="A28" s="59"/>
      <c r="B28" s="40"/>
      <c r="C28" s="40"/>
      <c r="D28" s="40"/>
      <c r="E28" s="40"/>
      <c r="F28" s="40"/>
      <c r="G28" s="40"/>
      <c r="H28" s="40"/>
      <c r="J28">
        <v>14</v>
      </c>
      <c r="K28">
        <f>AVERAGE(J14:J16)</f>
        <v>65.671657201858551</v>
      </c>
    </row>
    <row r="29" spans="1:20">
      <c r="B29" t="s">
        <v>210</v>
      </c>
      <c r="C29" t="s">
        <v>202</v>
      </c>
      <c r="D29" t="s">
        <v>203</v>
      </c>
      <c r="E29" t="s">
        <v>213</v>
      </c>
      <c r="J29">
        <v>30</v>
      </c>
      <c r="K29">
        <f>AVERAGE(J17:J19)</f>
        <v>54.130420753742897</v>
      </c>
    </row>
    <row r="30" spans="1:20">
      <c r="B30">
        <f>F36</f>
        <v>1.6752000000000005</v>
      </c>
      <c r="C30">
        <f>F32</f>
        <v>3.0991800000000005</v>
      </c>
      <c r="D30">
        <v>6.3719223391483819</v>
      </c>
      <c r="E30">
        <v>3.4545699418023622E-2</v>
      </c>
    </row>
    <row r="31" spans="1:20">
      <c r="E31" t="s">
        <v>104</v>
      </c>
      <c r="F31" t="s">
        <v>193</v>
      </c>
      <c r="G31" t="s">
        <v>199</v>
      </c>
      <c r="H31" t="s">
        <v>200</v>
      </c>
      <c r="I31" t="s">
        <v>211</v>
      </c>
      <c r="J31" t="s">
        <v>212</v>
      </c>
    </row>
    <row r="32" spans="1:20">
      <c r="E32">
        <v>1.0000000000000001E-5</v>
      </c>
      <c r="F32">
        <f>2.826*(N2/100)*1000</f>
        <v>3.0991800000000005</v>
      </c>
      <c r="G32">
        <f>$B$30+($C$30-$B$30)*EXP(-$D$30*E32)</f>
        <v>3.0990892679909927</v>
      </c>
      <c r="H32">
        <f>(G32-F32)^2</f>
        <v>8.2322974585872864E-9</v>
      </c>
      <c r="I32">
        <f>$C$30*EXP(-$E$30*E32)</f>
        <v>3.0991789293667784</v>
      </c>
      <c r="J32">
        <f>(I32-F32)^2</f>
        <v>1.1462554962166663E-12</v>
      </c>
    </row>
    <row r="33" spans="5:10">
      <c r="E33">
        <v>3</v>
      </c>
      <c r="F33">
        <f>AVERAGE(I8:I10)*(AVERAGE(N8:N10)/100)*1000</f>
        <v>1.6145995555555552</v>
      </c>
      <c r="G33">
        <f t="shared" ref="G33:G35" si="11">$B$30+($C$30-$B$30)*EXP(-$D$30*E33)</f>
        <v>1.6752000071061077</v>
      </c>
      <c r="H33">
        <f t="shared" ref="H33:H36" si="12">(F33-G33)^2</f>
        <v>3.67241472813086E-3</v>
      </c>
      <c r="I33">
        <f t="shared" ref="I33:I36" si="13">$C$30*EXP(-$E$30*E33)</f>
        <v>2.7940732073428269</v>
      </c>
      <c r="J33">
        <f t="shared" ref="J33:J36" si="14">(I33-F33)^2</f>
        <v>1.3911580952604023</v>
      </c>
    </row>
    <row r="34" spans="5:10">
      <c r="E34">
        <v>7</v>
      </c>
      <c r="F34">
        <f>AVERAGE(I11:I13)*AVERAGE(N11:N13)/100*1000</f>
        <v>1.729231</v>
      </c>
      <c r="G34">
        <f t="shared" si="11"/>
        <v>1.6752000000000005</v>
      </c>
      <c r="H34">
        <f t="shared" si="12"/>
        <v>2.9193489609999454E-3</v>
      </c>
      <c r="I34">
        <f t="shared" si="13"/>
        <v>2.4334686424957193</v>
      </c>
      <c r="J34">
        <f t="shared" si="14"/>
        <v>0.49595065710792852</v>
      </c>
    </row>
    <row r="35" spans="5:10">
      <c r="E35">
        <v>14</v>
      </c>
      <c r="F35">
        <f>AVERAGE(I14:I16)*AVERAGE(N14:N17)/100*1000</f>
        <v>2.0188556666666666</v>
      </c>
      <c r="G35">
        <f t="shared" si="11"/>
        <v>1.6752000000000005</v>
      </c>
      <c r="H35">
        <f t="shared" si="12"/>
        <v>0.11809921723211075</v>
      </c>
      <c r="I35">
        <f t="shared" si="13"/>
        <v>1.9107536942061953</v>
      </c>
      <c r="J35">
        <f t="shared" si="14"/>
        <v>1.1686036449844487E-2</v>
      </c>
    </row>
    <row r="36" spans="5:10">
      <c r="E36">
        <v>30</v>
      </c>
      <c r="F36">
        <f>AVERAGE(I17:I19)*AVERAGE(N17:N19)/100*1000</f>
        <v>1.6752000000000005</v>
      </c>
      <c r="G36">
        <f>$B$30+($C$30-$B$30)*EXP(-$D$30*E36)</f>
        <v>1.6752000000000005</v>
      </c>
      <c r="H36">
        <f t="shared" si="12"/>
        <v>0</v>
      </c>
      <c r="I36">
        <f t="shared" si="13"/>
        <v>1.0994022003263828</v>
      </c>
      <c r="J36">
        <f t="shared" si="14"/>
        <v>0.33154310610897952</v>
      </c>
    </row>
    <row r="37" spans="5:10">
      <c r="G37" t="s">
        <v>201</v>
      </c>
      <c r="H37">
        <f>SUM(H32:H36)</f>
        <v>0.12469098915353902</v>
      </c>
      <c r="J37">
        <f>SUM(J32:J36)</f>
        <v>2.2303378949283008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sqref="A1:A21"/>
    </sheetView>
  </sheetViews>
  <sheetFormatPr baseColWidth="10" defaultRowHeight="13" x14ac:dyDescent="0"/>
  <cols>
    <col min="6" max="6" width="13.7109375" bestFit="1" customWidth="1"/>
    <col min="7" max="7" width="11.28515625" customWidth="1"/>
    <col min="8" max="8" width="12.28515625" customWidth="1"/>
    <col min="9" max="10" width="15" bestFit="1" customWidth="1"/>
    <col min="11" max="11" width="61" bestFit="1" customWidth="1"/>
    <col min="12" max="12" width="11.7109375" bestFit="1" customWidth="1"/>
  </cols>
  <sheetData>
    <row r="1" spans="1:14" ht="14">
      <c r="A1" s="17" t="s">
        <v>41</v>
      </c>
    </row>
    <row r="2" spans="1:14">
      <c r="A2" s="18" t="s">
        <v>1</v>
      </c>
      <c r="D2" t="s">
        <v>14</v>
      </c>
      <c r="E2" t="s">
        <v>16</v>
      </c>
    </row>
    <row r="3" spans="1:14">
      <c r="A3" s="2"/>
      <c r="B3" s="24"/>
      <c r="C3" s="2"/>
      <c r="D3" s="19" t="s">
        <v>42</v>
      </c>
      <c r="E3" s="2" t="s">
        <v>43</v>
      </c>
      <c r="F3" s="2" t="s">
        <v>44</v>
      </c>
      <c r="G3" s="2" t="s">
        <v>84</v>
      </c>
      <c r="H3" s="10" t="s">
        <v>86</v>
      </c>
      <c r="I3" s="10" t="s">
        <v>88</v>
      </c>
      <c r="J3" s="10" t="s">
        <v>89</v>
      </c>
      <c r="K3" s="2"/>
    </row>
    <row r="4" spans="1:14">
      <c r="A4" s="3" t="s">
        <v>113</v>
      </c>
      <c r="B4" s="7" t="s">
        <v>103</v>
      </c>
      <c r="C4" s="3" t="s">
        <v>104</v>
      </c>
      <c r="D4" s="20" t="s">
        <v>111</v>
      </c>
      <c r="E4" s="3" t="s">
        <v>92</v>
      </c>
      <c r="F4" s="3" t="s">
        <v>112</v>
      </c>
      <c r="G4" s="3" t="s">
        <v>85</v>
      </c>
      <c r="H4" s="23" t="s">
        <v>87</v>
      </c>
      <c r="I4" s="37" t="str">
        <f>I3</f>
        <v>incubator_temp_sp</v>
      </c>
      <c r="J4" s="38" t="str">
        <f>J3</f>
        <v>incubator_temp_ac</v>
      </c>
      <c r="K4" s="3" t="s">
        <v>114</v>
      </c>
      <c r="L4" s="34" t="s">
        <v>138</v>
      </c>
      <c r="M4" s="34" t="s">
        <v>133</v>
      </c>
      <c r="N4" s="34" t="s">
        <v>135</v>
      </c>
    </row>
    <row r="5" spans="1:14">
      <c r="A5" s="6" t="s">
        <v>93</v>
      </c>
      <c r="B5" s="6">
        <f>setup!B8</f>
        <v>27082019</v>
      </c>
      <c r="C5" s="6">
        <f>setup!C8</f>
        <v>1500</v>
      </c>
      <c r="D5" s="6">
        <f>setup!J33</f>
        <v>527.22</v>
      </c>
      <c r="E5" s="6" t="s">
        <v>22</v>
      </c>
      <c r="F5" s="6">
        <f>D5</f>
        <v>527.22</v>
      </c>
      <c r="G5" s="6">
        <f>setup!D8</f>
        <v>26</v>
      </c>
      <c r="H5" s="6">
        <f>1012.5</f>
        <v>1012.5</v>
      </c>
      <c r="I5" s="6">
        <f>52.5</f>
        <v>52.5</v>
      </c>
      <c r="J5" s="6">
        <f>52.5</f>
        <v>52.5</v>
      </c>
      <c r="K5" s="6" t="s">
        <v>91</v>
      </c>
      <c r="L5">
        <v>7.0000000000000007E-2</v>
      </c>
      <c r="M5" t="s">
        <v>22</v>
      </c>
      <c r="N5" t="s">
        <v>22</v>
      </c>
    </row>
    <row r="6" spans="1:14">
      <c r="A6" s="6" t="s">
        <v>94</v>
      </c>
      <c r="B6" s="6">
        <f>setup!B9</f>
        <v>27082019</v>
      </c>
      <c r="C6" s="6">
        <f>setup!C9</f>
        <v>1500</v>
      </c>
      <c r="D6" s="6">
        <f>setup!J34</f>
        <v>528.15</v>
      </c>
      <c r="E6" s="6" t="s">
        <v>22</v>
      </c>
      <c r="F6" s="6">
        <f t="shared" ref="F6:F31" si="0">D6</f>
        <v>528.15</v>
      </c>
      <c r="G6" s="6">
        <f>setup!D9</f>
        <v>26</v>
      </c>
      <c r="H6" s="6">
        <f t="shared" ref="H6:H31" si="1">1012.5</f>
        <v>1012.5</v>
      </c>
      <c r="I6" s="6">
        <f t="shared" ref="I6:J31" si="2">52.5</f>
        <v>52.5</v>
      </c>
      <c r="J6" s="6">
        <f t="shared" si="2"/>
        <v>52.5</v>
      </c>
      <c r="K6" s="6" t="s">
        <v>91</v>
      </c>
      <c r="L6">
        <f>$L$5</f>
        <v>7.0000000000000007E-2</v>
      </c>
      <c r="M6" t="s">
        <v>22</v>
      </c>
      <c r="N6" t="s">
        <v>22</v>
      </c>
    </row>
    <row r="7" spans="1:14">
      <c r="A7" s="25" t="s">
        <v>53</v>
      </c>
      <c r="B7" s="6">
        <f>setup!B10</f>
        <v>27082019</v>
      </c>
      <c r="C7" s="6">
        <f>setup!C10</f>
        <v>1500</v>
      </c>
      <c r="D7" s="6">
        <f>setup!J8</f>
        <v>533.39</v>
      </c>
      <c r="E7" s="6">
        <v>0</v>
      </c>
      <c r="F7" s="6">
        <f t="shared" si="0"/>
        <v>533.39</v>
      </c>
      <c r="G7" s="6">
        <f>setup!D10</f>
        <v>26</v>
      </c>
      <c r="H7" s="6">
        <f t="shared" si="1"/>
        <v>1012.5</v>
      </c>
      <c r="I7" s="6">
        <f t="shared" si="2"/>
        <v>52.5</v>
      </c>
      <c r="J7" s="6">
        <f t="shared" si="2"/>
        <v>52.5</v>
      </c>
      <c r="K7" s="6" t="s">
        <v>91</v>
      </c>
      <c r="L7">
        <f t="shared" ref="L7:L70" si="3">$L$5</f>
        <v>7.0000000000000007E-2</v>
      </c>
      <c r="M7">
        <f>(1-L7)-((E7/100)*'Water column'!$B$26)</f>
        <v>0.92999999999999994</v>
      </c>
      <c r="N7">
        <f>H7-(M7-L7)*98</f>
        <v>928.22</v>
      </c>
    </row>
    <row r="8" spans="1:14">
      <c r="A8" s="25" t="s">
        <v>54</v>
      </c>
      <c r="B8" s="6">
        <f>setup!B11</f>
        <v>27082019</v>
      </c>
      <c r="C8" s="6">
        <f>setup!C11</f>
        <v>1500</v>
      </c>
      <c r="D8" s="6">
        <f>setup!J9</f>
        <v>537.54999999999995</v>
      </c>
      <c r="E8" s="6">
        <v>0</v>
      </c>
      <c r="F8" s="6">
        <f t="shared" si="0"/>
        <v>537.54999999999995</v>
      </c>
      <c r="G8" s="6">
        <f>setup!D11</f>
        <v>26</v>
      </c>
      <c r="H8" s="6">
        <f t="shared" si="1"/>
        <v>1012.5</v>
      </c>
      <c r="I8" s="6">
        <f t="shared" si="2"/>
        <v>52.5</v>
      </c>
      <c r="J8" s="6">
        <f t="shared" si="2"/>
        <v>52.5</v>
      </c>
      <c r="K8" s="6" t="s">
        <v>91</v>
      </c>
      <c r="L8">
        <f t="shared" si="3"/>
        <v>7.0000000000000007E-2</v>
      </c>
      <c r="M8">
        <f>(1-L8)-(E8/100)*'Water column'!$B$26</f>
        <v>0.92999999999999994</v>
      </c>
      <c r="N8">
        <f t="shared" ref="N8:N71" si="4">H8-(M8-L8)*98</f>
        <v>928.22</v>
      </c>
    </row>
    <row r="9" spans="1:14">
      <c r="A9" s="25" t="s">
        <v>55</v>
      </c>
      <c r="B9" s="6">
        <f>setup!B12</f>
        <v>27082019</v>
      </c>
      <c r="C9" s="6">
        <f>setup!C12</f>
        <v>1500</v>
      </c>
      <c r="D9" s="6">
        <f>setup!J10</f>
        <v>545.53</v>
      </c>
      <c r="E9" s="6">
        <v>0</v>
      </c>
      <c r="F9" s="6">
        <f t="shared" si="0"/>
        <v>545.53</v>
      </c>
      <c r="G9" s="6">
        <f>setup!D12</f>
        <v>26</v>
      </c>
      <c r="H9" s="6">
        <f t="shared" si="1"/>
        <v>1012.5</v>
      </c>
      <c r="I9" s="6">
        <f t="shared" si="2"/>
        <v>52.5</v>
      </c>
      <c r="J9" s="6">
        <f t="shared" si="2"/>
        <v>52.5</v>
      </c>
      <c r="K9" s="6" t="s">
        <v>91</v>
      </c>
      <c r="L9">
        <f t="shared" si="3"/>
        <v>7.0000000000000007E-2</v>
      </c>
      <c r="M9">
        <f>(1-L9)-(E9/100)*'Water column'!$B$26</f>
        <v>0.92999999999999994</v>
      </c>
      <c r="N9">
        <f t="shared" si="4"/>
        <v>928.22</v>
      </c>
    </row>
    <row r="10" spans="1:14">
      <c r="A10" s="25" t="s">
        <v>56</v>
      </c>
      <c r="B10" s="6">
        <f>setup!B13</f>
        <v>27082019</v>
      </c>
      <c r="C10" s="6">
        <f>setup!C13</f>
        <v>1500</v>
      </c>
      <c r="D10" s="6">
        <f>setup!J11</f>
        <v>537.66999999999996</v>
      </c>
      <c r="E10" s="6">
        <v>0</v>
      </c>
      <c r="F10" s="6">
        <f t="shared" si="0"/>
        <v>537.66999999999996</v>
      </c>
      <c r="G10" s="6">
        <f>setup!D13</f>
        <v>26</v>
      </c>
      <c r="H10" s="6">
        <f t="shared" si="1"/>
        <v>1012.5</v>
      </c>
      <c r="I10" s="6">
        <f t="shared" si="2"/>
        <v>52.5</v>
      </c>
      <c r="J10" s="6">
        <f t="shared" si="2"/>
        <v>52.5</v>
      </c>
      <c r="K10" s="6" t="s">
        <v>91</v>
      </c>
      <c r="L10">
        <f t="shared" si="3"/>
        <v>7.0000000000000007E-2</v>
      </c>
      <c r="M10">
        <f>(1-L10)-(E10/100)*'Water column'!$B$26</f>
        <v>0.92999999999999994</v>
      </c>
      <c r="N10">
        <f t="shared" si="4"/>
        <v>928.22</v>
      </c>
    </row>
    <row r="11" spans="1:14">
      <c r="A11" s="25" t="s">
        <v>57</v>
      </c>
      <c r="B11" s="6">
        <f>setup!B14</f>
        <v>27082019</v>
      </c>
      <c r="C11" s="6">
        <f>setup!C14</f>
        <v>1500</v>
      </c>
      <c r="D11" s="6">
        <f>setup!J12</f>
        <v>537.15</v>
      </c>
      <c r="E11" s="6">
        <v>0</v>
      </c>
      <c r="F11" s="6">
        <f t="shared" si="0"/>
        <v>537.15</v>
      </c>
      <c r="G11" s="6">
        <f>setup!D14</f>
        <v>26</v>
      </c>
      <c r="H11" s="6">
        <f t="shared" si="1"/>
        <v>1012.5</v>
      </c>
      <c r="I11" s="6">
        <f t="shared" si="2"/>
        <v>52.5</v>
      </c>
      <c r="J11" s="6">
        <f t="shared" si="2"/>
        <v>52.5</v>
      </c>
      <c r="K11" s="6" t="s">
        <v>91</v>
      </c>
      <c r="L11">
        <f t="shared" si="3"/>
        <v>7.0000000000000007E-2</v>
      </c>
      <c r="M11">
        <f>(1-L11)-(E11/100)*'Water column'!$B$26</f>
        <v>0.92999999999999994</v>
      </c>
      <c r="N11">
        <f t="shared" si="4"/>
        <v>928.22</v>
      </c>
    </row>
    <row r="12" spans="1:14">
      <c r="A12" s="25" t="s">
        <v>58</v>
      </c>
      <c r="B12" s="6">
        <f>setup!B15</f>
        <v>27082019</v>
      </c>
      <c r="C12" s="6">
        <f>setup!C15</f>
        <v>1500</v>
      </c>
      <c r="D12" s="6">
        <f>setup!J13</f>
        <v>537.16</v>
      </c>
      <c r="E12" s="6">
        <v>0</v>
      </c>
      <c r="F12" s="6">
        <f t="shared" si="0"/>
        <v>537.16</v>
      </c>
      <c r="G12" s="6">
        <f>setup!D15</f>
        <v>26</v>
      </c>
      <c r="H12" s="6">
        <f t="shared" si="1"/>
        <v>1012.5</v>
      </c>
      <c r="I12" s="6">
        <f t="shared" si="2"/>
        <v>52.5</v>
      </c>
      <c r="J12" s="6">
        <f t="shared" si="2"/>
        <v>52.5</v>
      </c>
      <c r="K12" s="6" t="s">
        <v>91</v>
      </c>
      <c r="L12">
        <f t="shared" si="3"/>
        <v>7.0000000000000007E-2</v>
      </c>
      <c r="M12">
        <f>(1-L12)-(E12/100)*'Water column'!$B$26</f>
        <v>0.92999999999999994</v>
      </c>
      <c r="N12">
        <f t="shared" si="4"/>
        <v>928.22</v>
      </c>
    </row>
    <row r="13" spans="1:14">
      <c r="A13" s="25" t="s">
        <v>59</v>
      </c>
      <c r="B13" s="6">
        <f>setup!B16</f>
        <v>27082019</v>
      </c>
      <c r="C13" s="6">
        <f>setup!C16</f>
        <v>1500</v>
      </c>
      <c r="D13" s="6">
        <f>setup!J14</f>
        <v>537.01</v>
      </c>
      <c r="E13" s="6">
        <v>0</v>
      </c>
      <c r="F13" s="6">
        <f t="shared" si="0"/>
        <v>537.01</v>
      </c>
      <c r="G13" s="6">
        <f>setup!D16</f>
        <v>26</v>
      </c>
      <c r="H13" s="6">
        <f t="shared" si="1"/>
        <v>1012.5</v>
      </c>
      <c r="I13" s="6">
        <f t="shared" si="2"/>
        <v>52.5</v>
      </c>
      <c r="J13" s="6">
        <f t="shared" si="2"/>
        <v>52.5</v>
      </c>
      <c r="K13" s="6" t="s">
        <v>91</v>
      </c>
      <c r="L13">
        <f t="shared" si="3"/>
        <v>7.0000000000000007E-2</v>
      </c>
      <c r="M13">
        <f>(1-L13)-(E13/100)*'Water column'!$B$26</f>
        <v>0.92999999999999994</v>
      </c>
      <c r="N13">
        <f t="shared" si="4"/>
        <v>928.22</v>
      </c>
    </row>
    <row r="14" spans="1:14">
      <c r="A14" s="25" t="s">
        <v>60</v>
      </c>
      <c r="B14" s="6">
        <f>setup!B17</f>
        <v>27082019</v>
      </c>
      <c r="C14" s="6">
        <f>setup!C17</f>
        <v>1500</v>
      </c>
      <c r="D14" s="6">
        <f>setup!J15</f>
        <v>534.65</v>
      </c>
      <c r="E14" s="6">
        <v>0</v>
      </c>
      <c r="F14" s="6">
        <f t="shared" si="0"/>
        <v>534.65</v>
      </c>
      <c r="G14" s="6">
        <f>setup!D17</f>
        <v>26</v>
      </c>
      <c r="H14" s="6">
        <f t="shared" si="1"/>
        <v>1012.5</v>
      </c>
      <c r="I14" s="6">
        <f t="shared" si="2"/>
        <v>52.5</v>
      </c>
      <c r="J14" s="6">
        <f t="shared" si="2"/>
        <v>52.5</v>
      </c>
      <c r="K14" s="6" t="s">
        <v>91</v>
      </c>
      <c r="L14">
        <f t="shared" si="3"/>
        <v>7.0000000000000007E-2</v>
      </c>
      <c r="M14">
        <f>(1-L14)-(E14/100)*'Water column'!$B$26</f>
        <v>0.92999999999999994</v>
      </c>
      <c r="N14">
        <f t="shared" si="4"/>
        <v>928.22</v>
      </c>
    </row>
    <row r="15" spans="1:14">
      <c r="A15" s="25" t="s">
        <v>61</v>
      </c>
      <c r="B15" s="6">
        <f>setup!B18</f>
        <v>27082019</v>
      </c>
      <c r="C15" s="6">
        <f>setup!C18</f>
        <v>1500</v>
      </c>
      <c r="D15" s="6">
        <f>setup!J16</f>
        <v>537.38</v>
      </c>
      <c r="E15" s="6">
        <v>0</v>
      </c>
      <c r="F15" s="6">
        <f t="shared" si="0"/>
        <v>537.38</v>
      </c>
      <c r="G15" s="6">
        <f>setup!D18</f>
        <v>26</v>
      </c>
      <c r="H15" s="6">
        <f t="shared" si="1"/>
        <v>1012.5</v>
      </c>
      <c r="I15" s="6">
        <f t="shared" si="2"/>
        <v>52.5</v>
      </c>
      <c r="J15" s="6">
        <f t="shared" si="2"/>
        <v>52.5</v>
      </c>
      <c r="K15" s="6" t="s">
        <v>91</v>
      </c>
      <c r="L15">
        <f t="shared" si="3"/>
        <v>7.0000000000000007E-2</v>
      </c>
      <c r="M15">
        <f>(1-L15)-(E15/100)*'Water column'!$B$26</f>
        <v>0.92999999999999994</v>
      </c>
      <c r="N15">
        <f t="shared" si="4"/>
        <v>928.22</v>
      </c>
    </row>
    <row r="16" spans="1:14">
      <c r="A16" s="25" t="s">
        <v>62</v>
      </c>
      <c r="B16" s="6">
        <f>setup!B19</f>
        <v>27082019</v>
      </c>
      <c r="C16" s="6">
        <f>setup!C19</f>
        <v>1500</v>
      </c>
      <c r="D16" s="6">
        <f>setup!J17</f>
        <v>538.30999999999995</v>
      </c>
      <c r="E16" s="6">
        <v>0</v>
      </c>
      <c r="F16" s="6">
        <f t="shared" si="0"/>
        <v>538.30999999999995</v>
      </c>
      <c r="G16" s="6">
        <f>setup!D19</f>
        <v>26</v>
      </c>
      <c r="H16" s="6">
        <f t="shared" si="1"/>
        <v>1012.5</v>
      </c>
      <c r="I16" s="6">
        <f t="shared" si="2"/>
        <v>52.5</v>
      </c>
      <c r="J16" s="6">
        <f t="shared" si="2"/>
        <v>52.5</v>
      </c>
      <c r="K16" s="6" t="s">
        <v>91</v>
      </c>
      <c r="L16">
        <f t="shared" si="3"/>
        <v>7.0000000000000007E-2</v>
      </c>
      <c r="M16">
        <f>(1-L16)-(E16/100)*'Water column'!$B$26</f>
        <v>0.92999999999999994</v>
      </c>
      <c r="N16">
        <f t="shared" si="4"/>
        <v>928.22</v>
      </c>
    </row>
    <row r="17" spans="1:14">
      <c r="A17" s="25" t="s">
        <v>63</v>
      </c>
      <c r="B17" s="6">
        <f>setup!B20</f>
        <v>27082019</v>
      </c>
      <c r="C17" s="6">
        <f>setup!C20</f>
        <v>1500</v>
      </c>
      <c r="D17" s="6">
        <f>setup!J18</f>
        <v>541.91</v>
      </c>
      <c r="E17" s="6">
        <v>0</v>
      </c>
      <c r="F17" s="6">
        <f t="shared" si="0"/>
        <v>541.91</v>
      </c>
      <c r="G17" s="6">
        <f>setup!D20</f>
        <v>26</v>
      </c>
      <c r="H17" s="6">
        <f t="shared" si="1"/>
        <v>1012.5</v>
      </c>
      <c r="I17" s="6">
        <f t="shared" si="2"/>
        <v>52.5</v>
      </c>
      <c r="J17" s="6">
        <f t="shared" si="2"/>
        <v>52.5</v>
      </c>
      <c r="K17" s="6" t="s">
        <v>91</v>
      </c>
      <c r="L17">
        <f t="shared" si="3"/>
        <v>7.0000000000000007E-2</v>
      </c>
      <c r="M17">
        <f>(1-L17)-(E17/100)*'Water column'!$B$26</f>
        <v>0.92999999999999994</v>
      </c>
      <c r="N17">
        <f t="shared" si="4"/>
        <v>928.22</v>
      </c>
    </row>
    <row r="18" spans="1:14">
      <c r="A18" s="25" t="s">
        <v>64</v>
      </c>
      <c r="B18" s="6">
        <f>setup!B21</f>
        <v>27082019</v>
      </c>
      <c r="C18" s="6">
        <f>setup!C21</f>
        <v>1500</v>
      </c>
      <c r="D18" s="6">
        <f>setup!J19</f>
        <v>537.08000000000004</v>
      </c>
      <c r="E18" s="6">
        <v>0</v>
      </c>
      <c r="F18" s="6">
        <f t="shared" si="0"/>
        <v>537.08000000000004</v>
      </c>
      <c r="G18" s="6">
        <f>setup!D21</f>
        <v>26</v>
      </c>
      <c r="H18" s="6">
        <f t="shared" si="1"/>
        <v>1012.5</v>
      </c>
      <c r="I18" s="6">
        <f t="shared" si="2"/>
        <v>52.5</v>
      </c>
      <c r="J18" s="6">
        <f t="shared" si="2"/>
        <v>52.5</v>
      </c>
      <c r="K18" s="6" t="s">
        <v>91</v>
      </c>
      <c r="L18">
        <f t="shared" si="3"/>
        <v>7.0000000000000007E-2</v>
      </c>
      <c r="M18">
        <f>(1-L18)-(E18/100)*'Water column'!$B$26</f>
        <v>0.92999999999999994</v>
      </c>
      <c r="N18">
        <f t="shared" si="4"/>
        <v>928.22</v>
      </c>
    </row>
    <row r="19" spans="1:14">
      <c r="A19" s="6" t="s">
        <v>65</v>
      </c>
      <c r="B19" s="6">
        <f>setup!B22</f>
        <v>27082019</v>
      </c>
      <c r="C19" s="6">
        <f>setup!C22</f>
        <v>1500</v>
      </c>
      <c r="D19" s="6">
        <f>setup!J20</f>
        <v>549.99</v>
      </c>
      <c r="E19" s="6">
        <v>0</v>
      </c>
      <c r="F19" s="6">
        <f t="shared" si="0"/>
        <v>549.99</v>
      </c>
      <c r="G19" s="6">
        <f>setup!D22</f>
        <v>26</v>
      </c>
      <c r="H19" s="6">
        <f t="shared" si="1"/>
        <v>1012.5</v>
      </c>
      <c r="I19" s="6">
        <f t="shared" si="2"/>
        <v>52.5</v>
      </c>
      <c r="J19" s="6">
        <f t="shared" si="2"/>
        <v>52.5</v>
      </c>
      <c r="K19" s="6" t="s">
        <v>91</v>
      </c>
      <c r="L19">
        <f t="shared" si="3"/>
        <v>7.0000000000000007E-2</v>
      </c>
      <c r="M19">
        <f>(1-L19)-(E19/100)*'Water column'!$B$26</f>
        <v>0.92999999999999994</v>
      </c>
      <c r="N19">
        <f t="shared" si="4"/>
        <v>928.22</v>
      </c>
    </row>
    <row r="20" spans="1:14">
      <c r="A20" s="6" t="s">
        <v>66</v>
      </c>
      <c r="B20" s="6">
        <f>setup!B23</f>
        <v>27082019</v>
      </c>
      <c r="C20" s="6">
        <f>setup!C23</f>
        <v>1500</v>
      </c>
      <c r="D20" s="6">
        <f>setup!J21</f>
        <v>547.02</v>
      </c>
      <c r="E20" s="6">
        <v>0</v>
      </c>
      <c r="F20" s="6">
        <f t="shared" si="0"/>
        <v>547.02</v>
      </c>
      <c r="G20" s="6">
        <f>setup!D23</f>
        <v>26</v>
      </c>
      <c r="H20" s="6">
        <f t="shared" si="1"/>
        <v>1012.5</v>
      </c>
      <c r="I20" s="6">
        <f t="shared" si="2"/>
        <v>52.5</v>
      </c>
      <c r="J20" s="6">
        <f t="shared" si="2"/>
        <v>52.5</v>
      </c>
      <c r="K20" s="6" t="s">
        <v>91</v>
      </c>
      <c r="L20">
        <f t="shared" si="3"/>
        <v>7.0000000000000007E-2</v>
      </c>
      <c r="M20">
        <f>(1-L20)-(E20/100)*'Water column'!$B$26</f>
        <v>0.92999999999999994</v>
      </c>
      <c r="N20">
        <f t="shared" si="4"/>
        <v>928.22</v>
      </c>
    </row>
    <row r="21" spans="1:14">
      <c r="A21" s="6" t="s">
        <v>67</v>
      </c>
      <c r="B21" s="6">
        <f>setup!B24</f>
        <v>27082019</v>
      </c>
      <c r="C21" s="6">
        <f>setup!C24</f>
        <v>1500</v>
      </c>
      <c r="D21" s="6">
        <f>setup!J22</f>
        <v>545.92999999999995</v>
      </c>
      <c r="E21" s="6">
        <v>0</v>
      </c>
      <c r="F21" s="6">
        <f t="shared" si="0"/>
        <v>545.92999999999995</v>
      </c>
      <c r="G21" s="6">
        <f>setup!D24</f>
        <v>26</v>
      </c>
      <c r="H21" s="6">
        <f t="shared" si="1"/>
        <v>1012.5</v>
      </c>
      <c r="I21" s="6">
        <f t="shared" si="2"/>
        <v>52.5</v>
      </c>
      <c r="J21" s="6">
        <f t="shared" si="2"/>
        <v>52.5</v>
      </c>
      <c r="K21" s="6" t="s">
        <v>91</v>
      </c>
      <c r="L21">
        <f t="shared" si="3"/>
        <v>7.0000000000000007E-2</v>
      </c>
      <c r="M21">
        <f>(1-L21)-(E21/100)*'Water column'!$B$26</f>
        <v>0.92999999999999994</v>
      </c>
      <c r="N21">
        <f t="shared" si="4"/>
        <v>928.22</v>
      </c>
    </row>
    <row r="22" spans="1:14">
      <c r="A22" s="8" t="s">
        <v>40</v>
      </c>
      <c r="B22" s="6">
        <f>setup!B25</f>
        <v>27082019</v>
      </c>
      <c r="C22" s="6">
        <f>setup!C25</f>
        <v>1500</v>
      </c>
      <c r="D22" s="6">
        <f>setup!J23</f>
        <v>526.66</v>
      </c>
      <c r="E22" s="6">
        <v>0</v>
      </c>
      <c r="F22" s="6">
        <f t="shared" si="0"/>
        <v>526.66</v>
      </c>
      <c r="G22" s="6">
        <f>setup!D25</f>
        <v>26</v>
      </c>
      <c r="H22" s="6">
        <f t="shared" si="1"/>
        <v>1012.5</v>
      </c>
      <c r="I22" s="6">
        <f t="shared" si="2"/>
        <v>52.5</v>
      </c>
      <c r="J22" s="6">
        <f t="shared" si="2"/>
        <v>52.5</v>
      </c>
      <c r="K22" s="6" t="s">
        <v>91</v>
      </c>
      <c r="L22">
        <f t="shared" si="3"/>
        <v>7.0000000000000007E-2</v>
      </c>
      <c r="M22">
        <f>(1-L22)-(E22/100)*'Water column'!$B$26</f>
        <v>0.92999999999999994</v>
      </c>
      <c r="N22">
        <f t="shared" si="4"/>
        <v>928.22</v>
      </c>
    </row>
    <row r="23" spans="1:14">
      <c r="A23" s="25" t="s">
        <v>72</v>
      </c>
      <c r="B23" s="6">
        <f>setup!B26</f>
        <v>27082019</v>
      </c>
      <c r="C23" s="6">
        <f>setup!C26</f>
        <v>1500</v>
      </c>
      <c r="D23" s="6">
        <f>setup!J24</f>
        <v>528.36</v>
      </c>
      <c r="E23" s="6">
        <v>0</v>
      </c>
      <c r="F23" s="6">
        <f t="shared" si="0"/>
        <v>528.36</v>
      </c>
      <c r="G23" s="6">
        <f>setup!D26</f>
        <v>26</v>
      </c>
      <c r="H23" s="6">
        <f t="shared" si="1"/>
        <v>1012.5</v>
      </c>
      <c r="I23" s="6">
        <f t="shared" si="2"/>
        <v>52.5</v>
      </c>
      <c r="J23" s="6">
        <f t="shared" si="2"/>
        <v>52.5</v>
      </c>
      <c r="K23" s="6" t="s">
        <v>91</v>
      </c>
      <c r="L23">
        <f t="shared" si="3"/>
        <v>7.0000000000000007E-2</v>
      </c>
      <c r="M23">
        <f>(1-L23)-(E23/100)*'Water column'!$B$26</f>
        <v>0.92999999999999994</v>
      </c>
      <c r="N23">
        <f t="shared" si="4"/>
        <v>928.22</v>
      </c>
    </row>
    <row r="24" spans="1:14">
      <c r="A24" s="6" t="s">
        <v>75</v>
      </c>
      <c r="B24" s="6">
        <f>setup!B27</f>
        <v>27082019</v>
      </c>
      <c r="C24" s="6">
        <f>setup!C27</f>
        <v>1500</v>
      </c>
      <c r="D24" s="6">
        <f>setup!J25</f>
        <v>527.21</v>
      </c>
      <c r="E24" s="6">
        <v>0</v>
      </c>
      <c r="F24" s="6">
        <f t="shared" si="0"/>
        <v>527.21</v>
      </c>
      <c r="G24" s="6">
        <f>setup!D27</f>
        <v>26</v>
      </c>
      <c r="H24" s="6">
        <f t="shared" si="1"/>
        <v>1012.5</v>
      </c>
      <c r="I24" s="6">
        <f t="shared" si="2"/>
        <v>52.5</v>
      </c>
      <c r="J24" s="6">
        <f t="shared" si="2"/>
        <v>52.5</v>
      </c>
      <c r="K24" s="6" t="s">
        <v>91</v>
      </c>
      <c r="L24">
        <f t="shared" si="3"/>
        <v>7.0000000000000007E-2</v>
      </c>
      <c r="M24">
        <f>(1-L24)-(E24/100)*'Water column'!$B$26</f>
        <v>0.92999999999999994</v>
      </c>
      <c r="N24">
        <f t="shared" si="4"/>
        <v>928.22</v>
      </c>
    </row>
    <row r="25" spans="1:14">
      <c r="A25" s="6" t="s">
        <v>76</v>
      </c>
      <c r="B25" s="6">
        <f>setup!B28</f>
        <v>27082019</v>
      </c>
      <c r="C25" s="6">
        <f>setup!C28</f>
        <v>1500</v>
      </c>
      <c r="D25" s="6">
        <f>setup!J26</f>
        <v>525.15</v>
      </c>
      <c r="E25" s="6">
        <v>0</v>
      </c>
      <c r="F25" s="6">
        <f t="shared" si="0"/>
        <v>525.15</v>
      </c>
      <c r="G25" s="6">
        <f>setup!D28</f>
        <v>26</v>
      </c>
      <c r="H25" s="6">
        <f t="shared" si="1"/>
        <v>1012.5</v>
      </c>
      <c r="I25" s="6">
        <f t="shared" si="2"/>
        <v>52.5</v>
      </c>
      <c r="J25" s="6">
        <f t="shared" si="2"/>
        <v>52.5</v>
      </c>
      <c r="K25" s="6" t="s">
        <v>91</v>
      </c>
      <c r="L25">
        <f t="shared" si="3"/>
        <v>7.0000000000000007E-2</v>
      </c>
      <c r="M25">
        <f>(1-L25)-(E25/100)*'Water column'!$B$26</f>
        <v>0.92999999999999994</v>
      </c>
      <c r="N25">
        <f t="shared" si="4"/>
        <v>928.22</v>
      </c>
    </row>
    <row r="26" spans="1:14">
      <c r="A26" s="6" t="s">
        <v>73</v>
      </c>
      <c r="B26" s="6">
        <f>setup!B29</f>
        <v>27082019</v>
      </c>
      <c r="C26" s="6">
        <f>setup!C29</f>
        <v>1500</v>
      </c>
      <c r="D26" s="6">
        <f>setup!J27</f>
        <v>525.9799999999999</v>
      </c>
      <c r="E26" s="6">
        <v>0</v>
      </c>
      <c r="F26" s="6">
        <f t="shared" si="0"/>
        <v>525.9799999999999</v>
      </c>
      <c r="G26" s="6">
        <f>setup!D29</f>
        <v>26</v>
      </c>
      <c r="H26" s="6">
        <f t="shared" si="1"/>
        <v>1012.5</v>
      </c>
      <c r="I26" s="6">
        <f t="shared" si="2"/>
        <v>52.5</v>
      </c>
      <c r="J26" s="6">
        <f t="shared" si="2"/>
        <v>52.5</v>
      </c>
      <c r="K26" s="6" t="s">
        <v>91</v>
      </c>
      <c r="L26">
        <f t="shared" si="3"/>
        <v>7.0000000000000007E-2</v>
      </c>
      <c r="M26">
        <f>(1-L26)-(E26/100)*'Water column'!$B$26</f>
        <v>0.92999999999999994</v>
      </c>
      <c r="N26">
        <f t="shared" si="4"/>
        <v>928.22</v>
      </c>
    </row>
    <row r="27" spans="1:14">
      <c r="A27" s="6" t="s">
        <v>77</v>
      </c>
      <c r="B27" s="6">
        <f>setup!B30</f>
        <v>27082019</v>
      </c>
      <c r="C27" s="6">
        <f>setup!C30</f>
        <v>1500</v>
      </c>
      <c r="D27" s="6">
        <f>setup!J28</f>
        <v>528.5</v>
      </c>
      <c r="E27" s="6">
        <v>0</v>
      </c>
      <c r="F27" s="6">
        <f t="shared" si="0"/>
        <v>528.5</v>
      </c>
      <c r="G27" s="6">
        <f>setup!D30</f>
        <v>26</v>
      </c>
      <c r="H27" s="6">
        <f t="shared" si="1"/>
        <v>1012.5</v>
      </c>
      <c r="I27" s="6">
        <f t="shared" si="2"/>
        <v>52.5</v>
      </c>
      <c r="J27" s="6">
        <f t="shared" si="2"/>
        <v>52.5</v>
      </c>
      <c r="K27" s="6" t="s">
        <v>91</v>
      </c>
      <c r="L27">
        <f t="shared" si="3"/>
        <v>7.0000000000000007E-2</v>
      </c>
      <c r="M27">
        <f>(1-L27)-(E27/100)*'Water column'!$B$26</f>
        <v>0.92999999999999994</v>
      </c>
      <c r="N27">
        <f t="shared" si="4"/>
        <v>928.22</v>
      </c>
    </row>
    <row r="28" spans="1:14">
      <c r="A28" s="6" t="s">
        <v>78</v>
      </c>
      <c r="B28" s="6">
        <f>setup!B31</f>
        <v>27082019</v>
      </c>
      <c r="C28" s="6">
        <f>setup!C31</f>
        <v>1500</v>
      </c>
      <c r="D28" s="6">
        <f>setup!J29</f>
        <v>524.94000000000005</v>
      </c>
      <c r="E28" s="6">
        <v>0</v>
      </c>
      <c r="F28" s="6">
        <f t="shared" si="0"/>
        <v>524.94000000000005</v>
      </c>
      <c r="G28" s="6">
        <f>setup!D31</f>
        <v>26</v>
      </c>
      <c r="H28" s="6">
        <f t="shared" si="1"/>
        <v>1012.5</v>
      </c>
      <c r="I28" s="6">
        <f t="shared" si="2"/>
        <v>52.5</v>
      </c>
      <c r="J28" s="6">
        <f t="shared" si="2"/>
        <v>52.5</v>
      </c>
      <c r="K28" s="6" t="s">
        <v>91</v>
      </c>
      <c r="L28">
        <f t="shared" si="3"/>
        <v>7.0000000000000007E-2</v>
      </c>
      <c r="M28">
        <f>(1-L28)-(E28/100)*'Water column'!$B$26</f>
        <v>0.92999999999999994</v>
      </c>
      <c r="N28">
        <f t="shared" si="4"/>
        <v>928.22</v>
      </c>
    </row>
    <row r="29" spans="1:14">
      <c r="A29" s="6" t="s">
        <v>74</v>
      </c>
      <c r="B29" s="6">
        <f>setup!B32</f>
        <v>27082019</v>
      </c>
      <c r="C29" s="6">
        <f>setup!C32</f>
        <v>1500</v>
      </c>
      <c r="D29" s="6">
        <f>setup!J30</f>
        <v>544.99</v>
      </c>
      <c r="E29" s="6">
        <v>0</v>
      </c>
      <c r="F29" s="6">
        <f t="shared" si="0"/>
        <v>544.99</v>
      </c>
      <c r="G29" s="6">
        <f>setup!D32</f>
        <v>26</v>
      </c>
      <c r="H29" s="6">
        <f t="shared" si="1"/>
        <v>1012.5</v>
      </c>
      <c r="I29" s="6">
        <f t="shared" si="2"/>
        <v>52.5</v>
      </c>
      <c r="J29" s="6">
        <f t="shared" si="2"/>
        <v>52.5</v>
      </c>
      <c r="K29" s="6" t="s">
        <v>91</v>
      </c>
      <c r="L29">
        <f t="shared" si="3"/>
        <v>7.0000000000000007E-2</v>
      </c>
      <c r="M29">
        <f>(1-L29)-(E29/100)*'Water column'!$B$26</f>
        <v>0.92999999999999994</v>
      </c>
      <c r="N29">
        <f t="shared" si="4"/>
        <v>928.22</v>
      </c>
    </row>
    <row r="30" spans="1:14">
      <c r="A30" s="6" t="s">
        <v>79</v>
      </c>
      <c r="B30" s="6">
        <f>setup!B33</f>
        <v>27082019</v>
      </c>
      <c r="C30" s="6">
        <f>setup!C33</f>
        <v>1500</v>
      </c>
      <c r="D30" s="6">
        <f>setup!J31</f>
        <v>538.46</v>
      </c>
      <c r="E30" s="6">
        <v>0</v>
      </c>
      <c r="F30" s="6">
        <f t="shared" si="0"/>
        <v>538.46</v>
      </c>
      <c r="G30" s="6">
        <f>setup!D33</f>
        <v>26</v>
      </c>
      <c r="H30" s="6">
        <f t="shared" si="1"/>
        <v>1012.5</v>
      </c>
      <c r="I30" s="6">
        <f t="shared" si="2"/>
        <v>52.5</v>
      </c>
      <c r="J30" s="6">
        <f t="shared" si="2"/>
        <v>52.5</v>
      </c>
      <c r="K30" s="6" t="s">
        <v>91</v>
      </c>
      <c r="L30">
        <f t="shared" si="3"/>
        <v>7.0000000000000007E-2</v>
      </c>
      <c r="M30">
        <f>(1-L30)-(E30/100)*'Water column'!$B$26</f>
        <v>0.92999999999999994</v>
      </c>
      <c r="N30">
        <f t="shared" si="4"/>
        <v>928.22</v>
      </c>
    </row>
    <row r="31" spans="1:14">
      <c r="A31" s="8" t="s">
        <v>80</v>
      </c>
      <c r="B31" s="6">
        <f>setup!B34</f>
        <v>27082019</v>
      </c>
      <c r="C31" s="6">
        <f>setup!C34</f>
        <v>1500</v>
      </c>
      <c r="D31" s="6">
        <f>setup!J32</f>
        <v>536.42999999999995</v>
      </c>
      <c r="E31" s="6">
        <v>0</v>
      </c>
      <c r="F31" s="6">
        <f t="shared" si="0"/>
        <v>536.42999999999995</v>
      </c>
      <c r="G31" s="6">
        <f>setup!D34</f>
        <v>26</v>
      </c>
      <c r="H31" s="6">
        <f t="shared" si="1"/>
        <v>1012.5</v>
      </c>
      <c r="I31" s="6">
        <f t="shared" si="2"/>
        <v>52.5</v>
      </c>
      <c r="J31" s="6">
        <f t="shared" si="2"/>
        <v>52.5</v>
      </c>
      <c r="K31" s="6" t="s">
        <v>91</v>
      </c>
      <c r="L31">
        <f t="shared" si="3"/>
        <v>7.0000000000000007E-2</v>
      </c>
      <c r="M31">
        <f>(1-L31)-(E31/100)*'Water column'!$B$26</f>
        <v>0.92999999999999994</v>
      </c>
      <c r="N31">
        <f t="shared" si="4"/>
        <v>928.22</v>
      </c>
    </row>
    <row r="32" spans="1:14">
      <c r="A32" s="21" t="s">
        <v>93</v>
      </c>
      <c r="B32" s="7">
        <v>29082019</v>
      </c>
      <c r="C32" s="29">
        <v>1300</v>
      </c>
      <c r="D32" s="3">
        <v>527.23</v>
      </c>
      <c r="E32" s="3" t="s">
        <v>22</v>
      </c>
      <c r="F32" s="3">
        <v>527.23</v>
      </c>
      <c r="G32" s="3">
        <v>25</v>
      </c>
      <c r="H32" s="7">
        <f>1007.69</f>
        <v>1007.69</v>
      </c>
      <c r="I32" s="7">
        <v>52.5</v>
      </c>
      <c r="J32" s="7">
        <v>52.5</v>
      </c>
      <c r="K32" s="3" t="s">
        <v>69</v>
      </c>
      <c r="L32">
        <f t="shared" si="3"/>
        <v>7.0000000000000007E-2</v>
      </c>
      <c r="M32" t="s">
        <v>22</v>
      </c>
      <c r="N32" t="s">
        <v>22</v>
      </c>
    </row>
    <row r="33" spans="1:14">
      <c r="A33" s="21" t="s">
        <v>94</v>
      </c>
      <c r="B33" s="6">
        <v>29082019</v>
      </c>
      <c r="C33" s="29">
        <v>1300</v>
      </c>
      <c r="D33" s="3">
        <v>528.13</v>
      </c>
      <c r="E33" s="3" t="s">
        <v>22</v>
      </c>
      <c r="F33" s="3">
        <v>528.14</v>
      </c>
      <c r="G33" s="3">
        <v>25</v>
      </c>
      <c r="H33" s="36">
        <v>1007.69</v>
      </c>
      <c r="I33" s="6">
        <f t="shared" ref="I33:I58" si="5">$I$32</f>
        <v>52.5</v>
      </c>
      <c r="J33" s="6">
        <f t="shared" ref="J33:J58" si="6">$J$32</f>
        <v>52.5</v>
      </c>
      <c r="K33" s="3" t="s">
        <v>68</v>
      </c>
      <c r="L33">
        <f t="shared" si="3"/>
        <v>7.0000000000000007E-2</v>
      </c>
      <c r="M33" t="s">
        <v>22</v>
      </c>
      <c r="N33" t="s">
        <v>22</v>
      </c>
    </row>
    <row r="34" spans="1:14">
      <c r="A34" s="26" t="s">
        <v>53</v>
      </c>
      <c r="B34" s="6">
        <v>29082019</v>
      </c>
      <c r="C34" s="30">
        <v>1307</v>
      </c>
      <c r="D34" s="25">
        <v>533.29</v>
      </c>
      <c r="E34" s="25">
        <v>520</v>
      </c>
      <c r="F34" s="25">
        <v>532.65</v>
      </c>
      <c r="G34" s="3">
        <v>25</v>
      </c>
      <c r="H34" s="6">
        <f t="shared" ref="H34:H35" si="7">1007.69</f>
        <v>1007.69</v>
      </c>
      <c r="I34" s="6">
        <f t="shared" si="5"/>
        <v>52.5</v>
      </c>
      <c r="J34" s="6">
        <f t="shared" si="6"/>
        <v>52.5</v>
      </c>
      <c r="K34" s="25" t="s">
        <v>91</v>
      </c>
      <c r="L34">
        <f t="shared" si="3"/>
        <v>7.0000000000000007E-2</v>
      </c>
      <c r="M34">
        <f>(1-L34)-(E34/100)*'Water column'!$B$26</f>
        <v>0.59199999999999986</v>
      </c>
      <c r="N34">
        <f t="shared" si="4"/>
        <v>956.53400000000011</v>
      </c>
    </row>
    <row r="35" spans="1:14">
      <c r="A35" s="26" t="s">
        <v>54</v>
      </c>
      <c r="B35" s="6">
        <v>29082019</v>
      </c>
      <c r="C35" s="30">
        <v>1307</v>
      </c>
      <c r="D35" s="25">
        <v>537.44000000000005</v>
      </c>
      <c r="E35" s="25">
        <v>550</v>
      </c>
      <c r="F35" s="25">
        <v>536.84</v>
      </c>
      <c r="G35" s="3">
        <v>25</v>
      </c>
      <c r="H35" s="6">
        <f t="shared" si="7"/>
        <v>1007.69</v>
      </c>
      <c r="I35" s="6">
        <f t="shared" si="5"/>
        <v>52.5</v>
      </c>
      <c r="J35" s="6">
        <f t="shared" si="6"/>
        <v>52.5</v>
      </c>
      <c r="K35" s="25" t="s">
        <v>91</v>
      </c>
      <c r="L35">
        <f t="shared" si="3"/>
        <v>7.0000000000000007E-2</v>
      </c>
      <c r="M35">
        <f>(1-L35)-(E35/100)*'Water column'!$B$26</f>
        <v>0.5724999999999999</v>
      </c>
      <c r="N35">
        <f t="shared" si="4"/>
        <v>958.44500000000005</v>
      </c>
    </row>
    <row r="36" spans="1:14">
      <c r="A36" s="26" t="s">
        <v>55</v>
      </c>
      <c r="B36" s="6">
        <v>29082019</v>
      </c>
      <c r="C36" s="30">
        <v>1307</v>
      </c>
      <c r="D36" s="25">
        <v>545.44000000000005</v>
      </c>
      <c r="E36" s="25">
        <v>540</v>
      </c>
      <c r="F36" s="25">
        <v>544.82000000000005</v>
      </c>
      <c r="G36" s="3">
        <v>25</v>
      </c>
      <c r="H36" s="36">
        <f t="shared" ref="H36:H58" si="8">$H$32</f>
        <v>1007.69</v>
      </c>
      <c r="I36" s="6">
        <f t="shared" si="5"/>
        <v>52.5</v>
      </c>
      <c r="J36" s="6">
        <f t="shared" si="6"/>
        <v>52.5</v>
      </c>
      <c r="K36" s="25" t="s">
        <v>91</v>
      </c>
      <c r="L36">
        <f t="shared" si="3"/>
        <v>7.0000000000000007E-2</v>
      </c>
      <c r="M36">
        <f>(1-L36)-(E36/100)*'Water column'!$B$26</f>
        <v>0.57899999999999996</v>
      </c>
      <c r="N36">
        <f t="shared" si="4"/>
        <v>957.80800000000011</v>
      </c>
    </row>
    <row r="37" spans="1:14">
      <c r="A37" s="26" t="s">
        <v>56</v>
      </c>
      <c r="B37" s="6">
        <v>29082019</v>
      </c>
      <c r="C37" s="30">
        <v>1330</v>
      </c>
      <c r="D37" s="25">
        <v>537.54999999999995</v>
      </c>
      <c r="E37" s="25">
        <v>630</v>
      </c>
      <c r="F37" s="25">
        <v>536.85</v>
      </c>
      <c r="G37" s="3">
        <v>25</v>
      </c>
      <c r="H37" s="36">
        <f t="shared" si="8"/>
        <v>1007.69</v>
      </c>
      <c r="I37" s="6">
        <f t="shared" si="5"/>
        <v>52.5</v>
      </c>
      <c r="J37" s="6">
        <f t="shared" si="6"/>
        <v>52.5</v>
      </c>
      <c r="K37" s="25" t="s">
        <v>91</v>
      </c>
      <c r="L37">
        <f t="shared" si="3"/>
        <v>7.0000000000000007E-2</v>
      </c>
      <c r="M37">
        <f>(1-L37)-(E37/100)*'Water column'!$B$26</f>
        <v>0.52049999999999996</v>
      </c>
      <c r="N37">
        <f t="shared" si="4"/>
        <v>963.54100000000005</v>
      </c>
    </row>
    <row r="38" spans="1:14">
      <c r="A38" s="26" t="s">
        <v>57</v>
      </c>
      <c r="B38" s="6">
        <v>29082019</v>
      </c>
      <c r="C38" s="30">
        <v>1330</v>
      </c>
      <c r="D38" s="25">
        <v>536.72</v>
      </c>
      <c r="E38" s="25">
        <v>400</v>
      </c>
      <c r="F38" s="25">
        <v>536.24</v>
      </c>
      <c r="G38" s="3">
        <v>25</v>
      </c>
      <c r="H38" s="36">
        <f t="shared" si="8"/>
        <v>1007.69</v>
      </c>
      <c r="I38" s="6">
        <f t="shared" si="5"/>
        <v>52.5</v>
      </c>
      <c r="J38" s="6">
        <f t="shared" si="6"/>
        <v>52.5</v>
      </c>
      <c r="K38" s="25" t="s">
        <v>91</v>
      </c>
      <c r="L38">
        <f t="shared" si="3"/>
        <v>7.0000000000000007E-2</v>
      </c>
      <c r="M38">
        <f>(1-L38)-(E38/100)*'Water column'!$B$26</f>
        <v>0.66999999999999993</v>
      </c>
      <c r="N38">
        <f t="shared" si="4"/>
        <v>948.8900000000001</v>
      </c>
    </row>
    <row r="39" spans="1:14">
      <c r="A39" s="26" t="s">
        <v>58</v>
      </c>
      <c r="B39" s="6">
        <v>29082019</v>
      </c>
      <c r="C39" s="30">
        <v>1330</v>
      </c>
      <c r="D39" s="25">
        <v>537.03</v>
      </c>
      <c r="E39" s="25">
        <v>620</v>
      </c>
      <c r="F39" s="25">
        <v>536.34</v>
      </c>
      <c r="G39" s="3">
        <v>25</v>
      </c>
      <c r="H39" s="36">
        <f t="shared" si="8"/>
        <v>1007.69</v>
      </c>
      <c r="I39" s="6">
        <f t="shared" si="5"/>
        <v>52.5</v>
      </c>
      <c r="J39" s="6">
        <f t="shared" si="6"/>
        <v>52.5</v>
      </c>
      <c r="K39" s="25" t="s">
        <v>91</v>
      </c>
      <c r="L39">
        <f t="shared" si="3"/>
        <v>7.0000000000000007E-2</v>
      </c>
      <c r="M39">
        <f>(1-L39)-(E39/100)*'Water column'!$B$26</f>
        <v>0.52699999999999991</v>
      </c>
      <c r="N39">
        <f t="shared" si="4"/>
        <v>962.90400000000011</v>
      </c>
    </row>
    <row r="40" spans="1:14">
      <c r="A40" s="26" t="s">
        <v>59</v>
      </c>
      <c r="B40" s="6">
        <v>29082019</v>
      </c>
      <c r="C40" s="30">
        <v>1345</v>
      </c>
      <c r="D40" s="25">
        <v>536.74</v>
      </c>
      <c r="E40" s="25">
        <v>540</v>
      </c>
      <c r="F40" s="25">
        <v>536.16</v>
      </c>
      <c r="G40" s="3">
        <v>25</v>
      </c>
      <c r="H40" s="36">
        <f t="shared" si="8"/>
        <v>1007.69</v>
      </c>
      <c r="I40" s="6">
        <f t="shared" si="5"/>
        <v>52.5</v>
      </c>
      <c r="J40" s="6">
        <f t="shared" si="6"/>
        <v>52.5</v>
      </c>
      <c r="K40" s="25" t="s">
        <v>91</v>
      </c>
      <c r="L40">
        <f t="shared" si="3"/>
        <v>7.0000000000000007E-2</v>
      </c>
      <c r="M40">
        <f>(1-L40)-(E40/100)*'Water column'!$B$26</f>
        <v>0.57899999999999996</v>
      </c>
      <c r="N40">
        <f t="shared" si="4"/>
        <v>957.80800000000011</v>
      </c>
    </row>
    <row r="41" spans="1:14">
      <c r="A41" s="26" t="s">
        <v>60</v>
      </c>
      <c r="B41" s="6">
        <v>29082019</v>
      </c>
      <c r="C41" s="30">
        <v>1345</v>
      </c>
      <c r="D41" s="25">
        <v>534.58000000000004</v>
      </c>
      <c r="E41" s="25">
        <v>610</v>
      </c>
      <c r="F41" s="25">
        <v>533.92999999999995</v>
      </c>
      <c r="G41" s="3">
        <v>25</v>
      </c>
      <c r="H41" s="36">
        <f t="shared" si="8"/>
        <v>1007.69</v>
      </c>
      <c r="I41" s="6">
        <f t="shared" si="5"/>
        <v>52.5</v>
      </c>
      <c r="J41" s="6">
        <f t="shared" si="6"/>
        <v>52.5</v>
      </c>
      <c r="K41" s="25" t="s">
        <v>91</v>
      </c>
      <c r="L41">
        <f t="shared" si="3"/>
        <v>7.0000000000000007E-2</v>
      </c>
      <c r="M41">
        <f>(1-L41)-(E41/100)*'Water column'!$B$26</f>
        <v>0.53349999999999997</v>
      </c>
      <c r="N41">
        <f t="shared" si="4"/>
        <v>962.26700000000005</v>
      </c>
    </row>
    <row r="42" spans="1:14">
      <c r="A42" s="26" t="s">
        <v>61</v>
      </c>
      <c r="B42" s="6">
        <v>29082019</v>
      </c>
      <c r="C42" s="31">
        <v>1345</v>
      </c>
      <c r="D42" s="6">
        <v>537.30999999999995</v>
      </c>
      <c r="E42" s="6">
        <v>660</v>
      </c>
      <c r="F42" s="6">
        <v>536.62</v>
      </c>
      <c r="G42" s="3">
        <v>25</v>
      </c>
      <c r="H42" s="36">
        <f t="shared" si="8"/>
        <v>1007.69</v>
      </c>
      <c r="I42" s="6">
        <f t="shared" si="5"/>
        <v>52.5</v>
      </c>
      <c r="J42" s="6">
        <f t="shared" si="6"/>
        <v>52.5</v>
      </c>
      <c r="K42" s="25" t="s">
        <v>91</v>
      </c>
      <c r="L42">
        <f t="shared" si="3"/>
        <v>7.0000000000000007E-2</v>
      </c>
      <c r="M42">
        <f>(1-L42)-(E42/100)*'Water column'!$B$26</f>
        <v>0.50099999999999989</v>
      </c>
      <c r="N42">
        <f t="shared" si="4"/>
        <v>965.45200000000011</v>
      </c>
    </row>
    <row r="43" spans="1:14">
      <c r="A43" s="26" t="s">
        <v>62</v>
      </c>
      <c r="B43" s="6">
        <v>29082019</v>
      </c>
      <c r="C43" s="31">
        <v>1441</v>
      </c>
      <c r="D43" s="6">
        <v>538.02</v>
      </c>
      <c r="E43" s="6">
        <v>560</v>
      </c>
      <c r="F43" s="11">
        <v>537.4</v>
      </c>
      <c r="G43" s="3">
        <v>25</v>
      </c>
      <c r="H43" s="36">
        <f t="shared" si="8"/>
        <v>1007.69</v>
      </c>
      <c r="I43" s="6">
        <f t="shared" si="5"/>
        <v>52.5</v>
      </c>
      <c r="J43" s="6">
        <f t="shared" si="6"/>
        <v>52.5</v>
      </c>
      <c r="K43" s="25" t="s">
        <v>91</v>
      </c>
      <c r="L43">
        <f t="shared" si="3"/>
        <v>7.0000000000000007E-2</v>
      </c>
      <c r="M43">
        <f>(1-L43)-(E43/100)*'Water column'!$B$26</f>
        <v>0.56599999999999995</v>
      </c>
      <c r="N43">
        <f t="shared" si="4"/>
        <v>959.08200000000011</v>
      </c>
    </row>
    <row r="44" spans="1:14">
      <c r="A44" s="26" t="s">
        <v>63</v>
      </c>
      <c r="B44" s="6">
        <v>29082019</v>
      </c>
      <c r="C44" s="31">
        <v>1441</v>
      </c>
      <c r="D44" s="6">
        <v>541.78</v>
      </c>
      <c r="E44" s="6">
        <v>630</v>
      </c>
      <c r="F44" s="6">
        <v>541.12</v>
      </c>
      <c r="G44" s="3">
        <v>25</v>
      </c>
      <c r="H44" s="36">
        <f t="shared" si="8"/>
        <v>1007.69</v>
      </c>
      <c r="I44" s="6">
        <f t="shared" si="5"/>
        <v>52.5</v>
      </c>
      <c r="J44" s="6">
        <f t="shared" si="6"/>
        <v>52.5</v>
      </c>
      <c r="K44" s="25" t="s">
        <v>91</v>
      </c>
      <c r="L44">
        <f t="shared" si="3"/>
        <v>7.0000000000000007E-2</v>
      </c>
      <c r="M44">
        <f>(1-L44)-(E44/100)*'Water column'!$B$26</f>
        <v>0.52049999999999996</v>
      </c>
      <c r="N44">
        <f t="shared" si="4"/>
        <v>963.54100000000005</v>
      </c>
    </row>
    <row r="45" spans="1:14">
      <c r="A45" s="26" t="s">
        <v>64</v>
      </c>
      <c r="B45" s="6">
        <v>29082019</v>
      </c>
      <c r="C45" s="31">
        <v>1441</v>
      </c>
      <c r="D45" s="6">
        <v>536.97</v>
      </c>
      <c r="E45" s="6">
        <v>630</v>
      </c>
      <c r="F45" s="6">
        <v>536.26</v>
      </c>
      <c r="G45" s="3">
        <v>25</v>
      </c>
      <c r="H45" s="36">
        <f t="shared" si="8"/>
        <v>1007.69</v>
      </c>
      <c r="I45" s="6">
        <f t="shared" si="5"/>
        <v>52.5</v>
      </c>
      <c r="J45" s="6">
        <f t="shared" si="6"/>
        <v>52.5</v>
      </c>
      <c r="K45" s="25" t="s">
        <v>91</v>
      </c>
      <c r="L45">
        <f t="shared" si="3"/>
        <v>7.0000000000000007E-2</v>
      </c>
      <c r="M45">
        <f>(1-L45)-(E45/100)*'Water column'!$B$26</f>
        <v>0.52049999999999996</v>
      </c>
      <c r="N45">
        <f t="shared" si="4"/>
        <v>963.54100000000005</v>
      </c>
    </row>
    <row r="46" spans="1:14">
      <c r="A46" s="27" t="s">
        <v>65</v>
      </c>
      <c r="B46" s="6">
        <v>29082019</v>
      </c>
      <c r="C46" s="31">
        <v>1417</v>
      </c>
      <c r="D46" s="6">
        <v>549.62</v>
      </c>
      <c r="E46" s="6">
        <v>660</v>
      </c>
      <c r="F46" s="6">
        <v>548.80999999999995</v>
      </c>
      <c r="G46" s="3">
        <v>25</v>
      </c>
      <c r="H46" s="36">
        <f t="shared" si="8"/>
        <v>1007.69</v>
      </c>
      <c r="I46" s="6">
        <f t="shared" si="5"/>
        <v>52.5</v>
      </c>
      <c r="J46" s="6">
        <f t="shared" si="6"/>
        <v>52.5</v>
      </c>
      <c r="K46" s="25" t="s">
        <v>91</v>
      </c>
      <c r="L46">
        <f t="shared" si="3"/>
        <v>7.0000000000000007E-2</v>
      </c>
      <c r="M46">
        <f>(1-L46)-(E46/100)*'Water column'!$B$26</f>
        <v>0.50099999999999989</v>
      </c>
      <c r="N46">
        <f t="shared" si="4"/>
        <v>965.45200000000011</v>
      </c>
    </row>
    <row r="47" spans="1:14">
      <c r="A47" s="27" t="s">
        <v>66</v>
      </c>
      <c r="B47" s="6">
        <v>29082019</v>
      </c>
      <c r="C47" s="31">
        <v>1417</v>
      </c>
      <c r="D47" s="6">
        <v>546.25</v>
      </c>
      <c r="E47" s="6">
        <v>390</v>
      </c>
      <c r="F47" s="6">
        <v>545.79</v>
      </c>
      <c r="G47" s="3">
        <v>25</v>
      </c>
      <c r="H47" s="36">
        <f t="shared" si="8"/>
        <v>1007.69</v>
      </c>
      <c r="I47" s="6">
        <f t="shared" si="5"/>
        <v>52.5</v>
      </c>
      <c r="J47" s="6">
        <f t="shared" si="6"/>
        <v>52.5</v>
      </c>
      <c r="K47" s="25" t="s">
        <v>91</v>
      </c>
      <c r="L47">
        <f t="shared" si="3"/>
        <v>7.0000000000000007E-2</v>
      </c>
      <c r="M47">
        <f>(1-L47)-(E47/100)*'Water column'!$B$26</f>
        <v>0.67649999999999988</v>
      </c>
      <c r="N47">
        <f t="shared" si="4"/>
        <v>948.25300000000004</v>
      </c>
    </row>
    <row r="48" spans="1:14">
      <c r="A48" s="27" t="s">
        <v>67</v>
      </c>
      <c r="B48" s="6">
        <v>29082019</v>
      </c>
      <c r="C48" s="31">
        <v>1417</v>
      </c>
      <c r="D48" s="6">
        <v>545.26</v>
      </c>
      <c r="E48" s="6">
        <v>580</v>
      </c>
      <c r="F48" s="6">
        <v>544.59</v>
      </c>
      <c r="G48" s="3">
        <v>25</v>
      </c>
      <c r="H48" s="36">
        <f t="shared" si="8"/>
        <v>1007.69</v>
      </c>
      <c r="I48" s="6">
        <f t="shared" si="5"/>
        <v>52.5</v>
      </c>
      <c r="J48" s="6">
        <f t="shared" si="6"/>
        <v>52.5</v>
      </c>
      <c r="K48" s="25" t="s">
        <v>91</v>
      </c>
      <c r="L48">
        <f t="shared" si="3"/>
        <v>7.0000000000000007E-2</v>
      </c>
      <c r="M48">
        <f>(1-L48)-(E48/100)*'Water column'!$B$26</f>
        <v>0.55299999999999994</v>
      </c>
      <c r="N48">
        <f t="shared" si="4"/>
        <v>960.35600000000011</v>
      </c>
    </row>
    <row r="49" spans="1:14">
      <c r="A49" s="28" t="s">
        <v>40</v>
      </c>
      <c r="B49" s="6">
        <v>29082019</v>
      </c>
      <c r="C49" s="31">
        <v>1426</v>
      </c>
      <c r="D49" s="11">
        <v>526.6</v>
      </c>
      <c r="E49" s="6">
        <v>130</v>
      </c>
      <c r="F49" s="6">
        <v>526.47</v>
      </c>
      <c r="G49" s="3">
        <v>25</v>
      </c>
      <c r="H49" s="36">
        <f t="shared" si="8"/>
        <v>1007.69</v>
      </c>
      <c r="I49" s="6">
        <f t="shared" si="5"/>
        <v>52.5</v>
      </c>
      <c r="J49" s="6">
        <f t="shared" si="6"/>
        <v>52.5</v>
      </c>
      <c r="K49" s="25" t="s">
        <v>91</v>
      </c>
      <c r="L49">
        <f t="shared" si="3"/>
        <v>7.0000000000000007E-2</v>
      </c>
      <c r="M49">
        <f>(1-L49)-(E49/100)*'Water column'!$B$26</f>
        <v>0.84549999999999992</v>
      </c>
      <c r="N49">
        <f t="shared" si="4"/>
        <v>931.69100000000003</v>
      </c>
    </row>
    <row r="50" spans="1:14">
      <c r="A50" s="26" t="s">
        <v>72</v>
      </c>
      <c r="B50" s="6">
        <v>29082019</v>
      </c>
      <c r="C50" s="31">
        <v>1434</v>
      </c>
      <c r="D50" s="6">
        <v>528.26</v>
      </c>
      <c r="E50" s="6">
        <v>120</v>
      </c>
      <c r="F50" s="6">
        <v>528.12</v>
      </c>
      <c r="G50" s="3">
        <v>25</v>
      </c>
      <c r="H50" s="36">
        <f t="shared" si="8"/>
        <v>1007.69</v>
      </c>
      <c r="I50" s="6">
        <f t="shared" si="5"/>
        <v>52.5</v>
      </c>
      <c r="J50" s="6">
        <f t="shared" si="6"/>
        <v>52.5</v>
      </c>
      <c r="K50" s="25" t="s">
        <v>91</v>
      </c>
      <c r="L50">
        <f t="shared" si="3"/>
        <v>7.0000000000000007E-2</v>
      </c>
      <c r="M50">
        <f>(1-L50)-(E50/100)*'Water column'!$B$26</f>
        <v>0.85199999999999998</v>
      </c>
      <c r="N50">
        <f t="shared" si="4"/>
        <v>931.05400000000009</v>
      </c>
    </row>
    <row r="51" spans="1:14">
      <c r="A51" s="27" t="s">
        <v>75</v>
      </c>
      <c r="B51" s="6">
        <v>29082019</v>
      </c>
      <c r="C51" s="31">
        <v>1434</v>
      </c>
      <c r="D51" s="6">
        <v>527.12</v>
      </c>
      <c r="E51" s="6">
        <v>120</v>
      </c>
      <c r="F51" s="11">
        <v>527</v>
      </c>
      <c r="G51" s="3">
        <v>25</v>
      </c>
      <c r="H51" s="36">
        <f t="shared" si="8"/>
        <v>1007.69</v>
      </c>
      <c r="I51" s="6">
        <f t="shared" si="5"/>
        <v>52.5</v>
      </c>
      <c r="J51" s="6">
        <f t="shared" si="6"/>
        <v>52.5</v>
      </c>
      <c r="K51" s="25" t="s">
        <v>91</v>
      </c>
      <c r="L51">
        <f t="shared" si="3"/>
        <v>7.0000000000000007E-2</v>
      </c>
      <c r="M51">
        <f>(1-L51)-(E51/100)*'Water column'!$B$26</f>
        <v>0.85199999999999998</v>
      </c>
      <c r="N51">
        <f t="shared" si="4"/>
        <v>931.05400000000009</v>
      </c>
    </row>
    <row r="52" spans="1:14">
      <c r="A52" s="27" t="s">
        <v>76</v>
      </c>
      <c r="B52" s="6">
        <v>29082019</v>
      </c>
      <c r="C52" s="31">
        <v>1434</v>
      </c>
      <c r="D52" s="6">
        <v>525.08000000000004</v>
      </c>
      <c r="E52" s="6">
        <v>115</v>
      </c>
      <c r="F52" s="6">
        <v>524.96</v>
      </c>
      <c r="G52" s="3">
        <v>25</v>
      </c>
      <c r="H52" s="36">
        <f t="shared" si="8"/>
        <v>1007.69</v>
      </c>
      <c r="I52" s="6">
        <f t="shared" si="5"/>
        <v>52.5</v>
      </c>
      <c r="J52" s="6">
        <f t="shared" si="6"/>
        <v>52.5</v>
      </c>
      <c r="K52" s="25" t="s">
        <v>91</v>
      </c>
      <c r="L52">
        <f t="shared" si="3"/>
        <v>7.0000000000000007E-2</v>
      </c>
      <c r="M52">
        <f>(1-L52)-(E52/100)*'Water column'!$B$26</f>
        <v>0.85524999999999995</v>
      </c>
      <c r="N52">
        <f t="shared" si="4"/>
        <v>930.7355</v>
      </c>
    </row>
    <row r="53" spans="1:14">
      <c r="A53" s="27" t="s">
        <v>73</v>
      </c>
      <c r="B53" s="6">
        <v>29082019</v>
      </c>
      <c r="C53" s="31">
        <v>1400</v>
      </c>
      <c r="D53" s="6">
        <v>525.91999999999996</v>
      </c>
      <c r="E53" s="6">
        <v>400</v>
      </c>
      <c r="F53" s="6">
        <v>525.42999999999995</v>
      </c>
      <c r="G53" s="3">
        <v>25</v>
      </c>
      <c r="H53" s="36">
        <f t="shared" si="8"/>
        <v>1007.69</v>
      </c>
      <c r="I53" s="6">
        <f t="shared" si="5"/>
        <v>52.5</v>
      </c>
      <c r="J53" s="6">
        <f t="shared" si="6"/>
        <v>52.5</v>
      </c>
      <c r="K53" s="25" t="s">
        <v>91</v>
      </c>
      <c r="L53">
        <f t="shared" si="3"/>
        <v>7.0000000000000007E-2</v>
      </c>
      <c r="M53">
        <f>(1-L53)-(E53/100)*'Water column'!$B$26</f>
        <v>0.66999999999999993</v>
      </c>
      <c r="N53">
        <f t="shared" si="4"/>
        <v>948.8900000000001</v>
      </c>
    </row>
    <row r="54" spans="1:14">
      <c r="A54" s="27" t="s">
        <v>77</v>
      </c>
      <c r="B54" s="6">
        <v>29082019</v>
      </c>
      <c r="C54" s="31">
        <v>1400</v>
      </c>
      <c r="D54" s="11">
        <v>528.4</v>
      </c>
      <c r="E54" s="6">
        <v>400</v>
      </c>
      <c r="F54" s="6">
        <v>527.92999999999995</v>
      </c>
      <c r="G54" s="3">
        <v>25</v>
      </c>
      <c r="H54" s="36">
        <f t="shared" si="8"/>
        <v>1007.69</v>
      </c>
      <c r="I54" s="6">
        <f t="shared" si="5"/>
        <v>52.5</v>
      </c>
      <c r="J54" s="6">
        <f t="shared" si="6"/>
        <v>52.5</v>
      </c>
      <c r="K54" s="25" t="s">
        <v>91</v>
      </c>
      <c r="L54">
        <f t="shared" si="3"/>
        <v>7.0000000000000007E-2</v>
      </c>
      <c r="M54">
        <f>(1-L54)-(E54/100)*'Water column'!$B$26</f>
        <v>0.66999999999999993</v>
      </c>
      <c r="N54">
        <f t="shared" si="4"/>
        <v>948.8900000000001</v>
      </c>
    </row>
    <row r="55" spans="1:14">
      <c r="A55" s="27" t="s">
        <v>78</v>
      </c>
      <c r="B55" s="6">
        <v>29082019</v>
      </c>
      <c r="C55" s="31">
        <v>1400</v>
      </c>
      <c r="D55" s="6">
        <v>524.84</v>
      </c>
      <c r="E55" s="6">
        <v>330</v>
      </c>
      <c r="F55" s="6">
        <v>524.46</v>
      </c>
      <c r="G55" s="3">
        <v>25</v>
      </c>
      <c r="H55" s="36">
        <f t="shared" si="8"/>
        <v>1007.69</v>
      </c>
      <c r="I55" s="6">
        <f t="shared" si="5"/>
        <v>52.5</v>
      </c>
      <c r="J55" s="6">
        <f t="shared" si="6"/>
        <v>52.5</v>
      </c>
      <c r="K55" s="25" t="s">
        <v>91</v>
      </c>
      <c r="L55">
        <f t="shared" si="3"/>
        <v>7.0000000000000007E-2</v>
      </c>
      <c r="M55">
        <f>(1-L55)-(E55/100)*'Water column'!$B$26</f>
        <v>0.71549999999999991</v>
      </c>
      <c r="N55">
        <f t="shared" si="4"/>
        <v>944.43100000000004</v>
      </c>
    </row>
    <row r="56" spans="1:14">
      <c r="A56" s="27" t="s">
        <v>74</v>
      </c>
      <c r="B56" s="6">
        <v>29082019</v>
      </c>
      <c r="C56" s="31">
        <v>1409</v>
      </c>
      <c r="D56" s="6">
        <v>544.87</v>
      </c>
      <c r="E56" s="6">
        <v>675</v>
      </c>
      <c r="F56" s="6">
        <v>544.15</v>
      </c>
      <c r="G56" s="3">
        <v>25</v>
      </c>
      <c r="H56" s="36">
        <f t="shared" si="8"/>
        <v>1007.69</v>
      </c>
      <c r="I56" s="6">
        <f t="shared" si="5"/>
        <v>52.5</v>
      </c>
      <c r="J56" s="6">
        <f t="shared" si="6"/>
        <v>52.5</v>
      </c>
      <c r="K56" s="6" t="s">
        <v>90</v>
      </c>
      <c r="L56">
        <f t="shared" si="3"/>
        <v>7.0000000000000007E-2</v>
      </c>
      <c r="M56">
        <f>(1-L56)-(E56/100)*'Water column'!$B$26</f>
        <v>0.49124999999999991</v>
      </c>
      <c r="N56">
        <f t="shared" si="4"/>
        <v>966.40750000000003</v>
      </c>
    </row>
    <row r="57" spans="1:14">
      <c r="A57" s="27" t="s">
        <v>79</v>
      </c>
      <c r="B57" s="6">
        <v>29082019</v>
      </c>
      <c r="C57" s="31">
        <v>1409</v>
      </c>
      <c r="D57" s="6">
        <v>538.34</v>
      </c>
      <c r="E57" s="6">
        <v>685</v>
      </c>
      <c r="F57" s="6">
        <v>537.57000000000005</v>
      </c>
      <c r="G57" s="3">
        <v>25</v>
      </c>
      <c r="H57" s="36">
        <f t="shared" si="8"/>
        <v>1007.69</v>
      </c>
      <c r="I57" s="6">
        <f t="shared" si="5"/>
        <v>52.5</v>
      </c>
      <c r="J57" s="6">
        <f t="shared" si="6"/>
        <v>52.5</v>
      </c>
      <c r="K57" s="6" t="s">
        <v>90</v>
      </c>
      <c r="L57">
        <f t="shared" si="3"/>
        <v>7.0000000000000007E-2</v>
      </c>
      <c r="M57">
        <f>(1-L57)-(E57/100)*'Water column'!$B$26</f>
        <v>0.48474999999999996</v>
      </c>
      <c r="N57">
        <f t="shared" si="4"/>
        <v>967.04450000000008</v>
      </c>
    </row>
    <row r="58" spans="1:14">
      <c r="A58" s="28" t="s">
        <v>80</v>
      </c>
      <c r="B58" s="6">
        <v>29082019</v>
      </c>
      <c r="C58" s="31">
        <v>1409</v>
      </c>
      <c r="D58" s="11">
        <v>536.1</v>
      </c>
      <c r="E58" s="6">
        <v>510</v>
      </c>
      <c r="F58" s="6">
        <v>535.51</v>
      </c>
      <c r="G58" s="3">
        <v>25</v>
      </c>
      <c r="H58" s="36">
        <f t="shared" si="8"/>
        <v>1007.69</v>
      </c>
      <c r="I58" s="6">
        <f t="shared" si="5"/>
        <v>52.5</v>
      </c>
      <c r="J58" s="6">
        <f t="shared" si="6"/>
        <v>52.5</v>
      </c>
      <c r="K58" s="6" t="s">
        <v>90</v>
      </c>
      <c r="L58">
        <f t="shared" si="3"/>
        <v>7.0000000000000007E-2</v>
      </c>
      <c r="M58">
        <f>(1-L58)-(E58/100)*'Water column'!$B$26</f>
        <v>0.59850000000000003</v>
      </c>
      <c r="N58">
        <f t="shared" si="4"/>
        <v>955.89700000000005</v>
      </c>
    </row>
    <row r="59" spans="1:14">
      <c r="A59" s="21" t="s">
        <v>93</v>
      </c>
      <c r="B59" s="6">
        <v>30082019</v>
      </c>
      <c r="C59" s="39">
        <v>1145</v>
      </c>
      <c r="D59" s="39">
        <v>527.22</v>
      </c>
      <c r="E59" s="39" t="s">
        <v>22</v>
      </c>
      <c r="F59" s="39">
        <v>527.22</v>
      </c>
      <c r="G59" s="6">
        <v>24</v>
      </c>
      <c r="H59" s="6">
        <v>1013.07</v>
      </c>
      <c r="I59" s="6">
        <v>52.5</v>
      </c>
      <c r="J59" s="7">
        <v>52.5</v>
      </c>
      <c r="K59" s="39" t="s">
        <v>47</v>
      </c>
      <c r="L59">
        <f t="shared" si="3"/>
        <v>7.0000000000000007E-2</v>
      </c>
      <c r="M59" t="s">
        <v>22</v>
      </c>
      <c r="N59" t="s">
        <v>22</v>
      </c>
    </row>
    <row r="60" spans="1:14">
      <c r="A60" s="21" t="s">
        <v>94</v>
      </c>
      <c r="B60" s="7">
        <v>30082019</v>
      </c>
      <c r="C60" s="39">
        <v>1145</v>
      </c>
      <c r="D60" s="39">
        <v>528.11</v>
      </c>
      <c r="E60" s="39" t="s">
        <v>22</v>
      </c>
      <c r="F60" s="39">
        <v>528.12</v>
      </c>
      <c r="G60" s="6">
        <v>24</v>
      </c>
      <c r="H60" s="6">
        <v>1013.07</v>
      </c>
      <c r="I60" s="6">
        <v>52.5</v>
      </c>
      <c r="J60" s="7">
        <v>52.5</v>
      </c>
      <c r="K60" s="39" t="s">
        <v>48</v>
      </c>
      <c r="L60">
        <f t="shared" si="3"/>
        <v>7.0000000000000007E-2</v>
      </c>
      <c r="M60" t="s">
        <v>22</v>
      </c>
      <c r="N60" t="s">
        <v>22</v>
      </c>
    </row>
    <row r="61" spans="1:14">
      <c r="A61" s="25" t="s">
        <v>53</v>
      </c>
      <c r="B61" s="7">
        <v>30082019</v>
      </c>
      <c r="C61" s="39">
        <v>1153</v>
      </c>
      <c r="D61" s="39">
        <v>532.62</v>
      </c>
      <c r="E61" s="39">
        <v>380</v>
      </c>
      <c r="F61" s="39">
        <v>532.17999999999995</v>
      </c>
      <c r="G61" s="6">
        <v>24</v>
      </c>
      <c r="H61" s="6">
        <v>1013.07</v>
      </c>
      <c r="I61" s="6">
        <v>52.5</v>
      </c>
      <c r="J61" s="7">
        <v>52.5</v>
      </c>
      <c r="K61" s="39" t="s">
        <v>82</v>
      </c>
      <c r="L61">
        <f t="shared" si="3"/>
        <v>7.0000000000000007E-2</v>
      </c>
      <c r="M61">
        <f>(1-L61)-(E61/100)*'Water column'!$B$26</f>
        <v>0.68299999999999994</v>
      </c>
      <c r="N61">
        <f t="shared" si="4"/>
        <v>952.99600000000009</v>
      </c>
    </row>
    <row r="62" spans="1:14">
      <c r="A62" s="25" t="s">
        <v>54</v>
      </c>
      <c r="B62" s="7">
        <v>30082019</v>
      </c>
      <c r="C62" s="39">
        <v>1153</v>
      </c>
      <c r="D62" s="39">
        <v>536.79</v>
      </c>
      <c r="E62" s="39">
        <v>385</v>
      </c>
      <c r="F62" s="39">
        <v>536.4</v>
      </c>
      <c r="G62" s="6">
        <v>24</v>
      </c>
      <c r="H62" s="6">
        <v>1013.07</v>
      </c>
      <c r="I62" s="6">
        <v>52.5</v>
      </c>
      <c r="J62" s="7">
        <v>52.5</v>
      </c>
      <c r="K62" s="39" t="s">
        <v>82</v>
      </c>
      <c r="L62">
        <f t="shared" si="3"/>
        <v>7.0000000000000007E-2</v>
      </c>
      <c r="M62">
        <f>(1-L62)-(E62/100)*'Water column'!$B$26</f>
        <v>0.67974999999999985</v>
      </c>
      <c r="N62">
        <f t="shared" si="4"/>
        <v>953.31450000000007</v>
      </c>
    </row>
    <row r="63" spans="1:14">
      <c r="A63" s="25" t="s">
        <v>55</v>
      </c>
      <c r="B63" s="7">
        <v>30082019</v>
      </c>
      <c r="C63" s="39">
        <v>1153</v>
      </c>
      <c r="D63" s="39">
        <v>544.80999999999995</v>
      </c>
      <c r="E63" s="39">
        <v>350</v>
      </c>
      <c r="F63" s="39">
        <v>544.42999999999995</v>
      </c>
      <c r="G63" s="6">
        <v>24</v>
      </c>
      <c r="H63" s="6">
        <v>1013.07</v>
      </c>
      <c r="I63" s="6">
        <v>52.5</v>
      </c>
      <c r="J63" s="7">
        <v>52.5</v>
      </c>
      <c r="K63" s="39" t="s">
        <v>82</v>
      </c>
      <c r="L63">
        <f t="shared" si="3"/>
        <v>7.0000000000000007E-2</v>
      </c>
      <c r="M63">
        <f>(1-L63)-(E63/100)*'Water column'!$B$26</f>
        <v>0.7024999999999999</v>
      </c>
      <c r="N63">
        <f t="shared" si="4"/>
        <v>951.08500000000004</v>
      </c>
    </row>
    <row r="64" spans="1:14">
      <c r="A64" s="25" t="s">
        <v>56</v>
      </c>
      <c r="B64" s="7">
        <v>30082019</v>
      </c>
      <c r="C64" s="39">
        <v>1233</v>
      </c>
      <c r="D64" s="39">
        <v>536.80999999999995</v>
      </c>
      <c r="E64" s="39">
        <v>350</v>
      </c>
      <c r="F64" s="39">
        <v>536.42999999999995</v>
      </c>
      <c r="G64" s="6">
        <v>24</v>
      </c>
      <c r="H64" s="6">
        <v>1013.07</v>
      </c>
      <c r="I64" s="6">
        <v>52.5</v>
      </c>
      <c r="J64" s="7">
        <v>52.5</v>
      </c>
      <c r="K64" s="39" t="s">
        <v>91</v>
      </c>
      <c r="L64">
        <f t="shared" si="3"/>
        <v>7.0000000000000007E-2</v>
      </c>
      <c r="M64">
        <f>(1-L64)-(E64/100)*'Water column'!$B$26</f>
        <v>0.7024999999999999</v>
      </c>
      <c r="N64">
        <f t="shared" si="4"/>
        <v>951.08500000000004</v>
      </c>
    </row>
    <row r="65" spans="1:14">
      <c r="A65" s="25" t="s">
        <v>57</v>
      </c>
      <c r="B65" s="7">
        <v>30082019</v>
      </c>
      <c r="C65" s="39">
        <v>1233</v>
      </c>
      <c r="D65" s="39">
        <v>536.20000000000005</v>
      </c>
      <c r="E65" s="39">
        <v>375</v>
      </c>
      <c r="F65" s="39">
        <v>535.77</v>
      </c>
      <c r="G65" s="6">
        <v>24</v>
      </c>
      <c r="H65" s="6">
        <v>1013.07</v>
      </c>
      <c r="I65" s="6">
        <v>52.5</v>
      </c>
      <c r="J65" s="7">
        <v>52.5</v>
      </c>
      <c r="K65" s="39" t="s">
        <v>91</v>
      </c>
      <c r="L65">
        <f t="shared" si="3"/>
        <v>7.0000000000000007E-2</v>
      </c>
      <c r="M65">
        <f>(1-L65)-(E65/100)*'Water column'!$B$26</f>
        <v>0.68624999999999992</v>
      </c>
      <c r="N65">
        <f t="shared" si="4"/>
        <v>952.67750000000001</v>
      </c>
    </row>
    <row r="66" spans="1:14">
      <c r="A66" s="25" t="s">
        <v>58</v>
      </c>
      <c r="B66" s="7">
        <v>30082019</v>
      </c>
      <c r="C66" s="39">
        <v>1233</v>
      </c>
      <c r="D66" s="39">
        <v>536.29999999999995</v>
      </c>
      <c r="E66" s="39">
        <v>350</v>
      </c>
      <c r="F66" s="39">
        <v>535.92999999999995</v>
      </c>
      <c r="G66" s="6">
        <v>24</v>
      </c>
      <c r="H66" s="6">
        <v>1013.07</v>
      </c>
      <c r="I66" s="6">
        <v>52.5</v>
      </c>
      <c r="J66" s="7">
        <v>52.5</v>
      </c>
      <c r="K66" s="39" t="s">
        <v>91</v>
      </c>
      <c r="L66">
        <f t="shared" si="3"/>
        <v>7.0000000000000007E-2</v>
      </c>
      <c r="M66">
        <f>(1-L66)-(E66/100)*'Water column'!$B$26</f>
        <v>0.7024999999999999</v>
      </c>
      <c r="N66">
        <f t="shared" si="4"/>
        <v>951.08500000000004</v>
      </c>
    </row>
    <row r="67" spans="1:14">
      <c r="A67" s="25" t="s">
        <v>59</v>
      </c>
      <c r="B67" s="7">
        <v>30082019</v>
      </c>
      <c r="C67" s="39">
        <v>1241</v>
      </c>
      <c r="D67" s="39">
        <v>536.11</v>
      </c>
      <c r="E67" s="39">
        <v>380</v>
      </c>
      <c r="F67" s="39">
        <v>535.69000000000005</v>
      </c>
      <c r="G67" s="6">
        <v>24</v>
      </c>
      <c r="H67" s="6">
        <v>1013.07</v>
      </c>
      <c r="I67" s="6">
        <v>52.5</v>
      </c>
      <c r="J67" s="7">
        <v>52.5</v>
      </c>
      <c r="K67" s="39" t="s">
        <v>91</v>
      </c>
      <c r="L67">
        <f t="shared" si="3"/>
        <v>7.0000000000000007E-2</v>
      </c>
      <c r="M67">
        <f>(1-L67)-(E67/100)*'Water column'!$B$26</f>
        <v>0.68299999999999994</v>
      </c>
      <c r="N67">
        <f t="shared" si="4"/>
        <v>952.99600000000009</v>
      </c>
    </row>
    <row r="68" spans="1:14">
      <c r="A68" s="25" t="s">
        <v>60</v>
      </c>
      <c r="B68" s="7">
        <v>30082019</v>
      </c>
      <c r="C68" s="39">
        <v>1241</v>
      </c>
      <c r="D68" s="39">
        <v>533.86</v>
      </c>
      <c r="E68" s="39">
        <v>335</v>
      </c>
      <c r="F68" s="39">
        <v>533.51</v>
      </c>
      <c r="G68" s="6">
        <v>24</v>
      </c>
      <c r="H68" s="6">
        <v>1013.07</v>
      </c>
      <c r="I68" s="6">
        <v>52.5</v>
      </c>
      <c r="J68" s="7">
        <v>52.5</v>
      </c>
      <c r="K68" s="39" t="s">
        <v>91</v>
      </c>
      <c r="L68">
        <f t="shared" si="3"/>
        <v>7.0000000000000007E-2</v>
      </c>
      <c r="M68">
        <f>(1-L68)-(E68/100)*'Water column'!$B$26</f>
        <v>0.71224999999999994</v>
      </c>
      <c r="N68">
        <f t="shared" si="4"/>
        <v>950.12950000000001</v>
      </c>
    </row>
    <row r="69" spans="1:14">
      <c r="A69" s="25" t="s">
        <v>61</v>
      </c>
      <c r="B69" s="7">
        <v>30082019</v>
      </c>
      <c r="C69" s="39">
        <v>1241</v>
      </c>
      <c r="D69" s="39">
        <v>536.52</v>
      </c>
      <c r="E69" s="39">
        <v>325</v>
      </c>
      <c r="F69" s="39">
        <v>536.16</v>
      </c>
      <c r="G69" s="6">
        <v>24</v>
      </c>
      <c r="H69" s="6">
        <v>1013.07</v>
      </c>
      <c r="I69" s="6">
        <v>52.5</v>
      </c>
      <c r="J69" s="7">
        <v>52.5</v>
      </c>
      <c r="K69" s="39" t="s">
        <v>91</v>
      </c>
      <c r="L69">
        <f t="shared" si="3"/>
        <v>7.0000000000000007E-2</v>
      </c>
      <c r="M69">
        <f>(1-L69)-(E69/100)*'Water column'!$B$26</f>
        <v>0.71875</v>
      </c>
      <c r="N69">
        <f t="shared" si="4"/>
        <v>949.49250000000006</v>
      </c>
    </row>
    <row r="70" spans="1:14">
      <c r="A70" s="25" t="s">
        <v>62</v>
      </c>
      <c r="B70" s="7">
        <v>30082019</v>
      </c>
      <c r="C70" s="39">
        <v>1248</v>
      </c>
      <c r="D70" s="39">
        <v>537.35</v>
      </c>
      <c r="E70" s="39">
        <v>330</v>
      </c>
      <c r="F70" s="39">
        <v>536.98</v>
      </c>
      <c r="G70" s="6">
        <v>24</v>
      </c>
      <c r="H70" s="6">
        <v>1013.07</v>
      </c>
      <c r="I70" s="6">
        <v>52.5</v>
      </c>
      <c r="J70" s="7">
        <v>52.5</v>
      </c>
      <c r="K70" s="39" t="s">
        <v>91</v>
      </c>
      <c r="L70">
        <f t="shared" si="3"/>
        <v>7.0000000000000007E-2</v>
      </c>
      <c r="M70">
        <f>(1-L70)-(E70/100)*'Water column'!$B$26</f>
        <v>0.71549999999999991</v>
      </c>
      <c r="N70">
        <f t="shared" si="4"/>
        <v>949.81100000000004</v>
      </c>
    </row>
    <row r="71" spans="1:14">
      <c r="A71" s="25" t="s">
        <v>63</v>
      </c>
      <c r="B71" s="7">
        <v>30082019</v>
      </c>
      <c r="C71" s="39">
        <v>1248</v>
      </c>
      <c r="D71" s="39">
        <v>541.07000000000005</v>
      </c>
      <c r="E71" s="39">
        <v>300</v>
      </c>
      <c r="F71" s="39">
        <v>540.74</v>
      </c>
      <c r="G71" s="6">
        <v>24</v>
      </c>
      <c r="H71" s="6">
        <v>1013.07</v>
      </c>
      <c r="I71" s="6">
        <v>52.5</v>
      </c>
      <c r="J71" s="7">
        <v>52.5</v>
      </c>
      <c r="K71" s="39" t="s">
        <v>91</v>
      </c>
      <c r="L71">
        <f t="shared" ref="L71:L134" si="9">$L$5</f>
        <v>7.0000000000000007E-2</v>
      </c>
      <c r="M71">
        <f>(1-L71)-(E71/100)*'Water column'!$B$26</f>
        <v>0.73499999999999988</v>
      </c>
      <c r="N71">
        <f t="shared" si="4"/>
        <v>947.90000000000009</v>
      </c>
    </row>
    <row r="72" spans="1:14">
      <c r="A72" s="25" t="s">
        <v>64</v>
      </c>
      <c r="B72" s="7">
        <v>30082019</v>
      </c>
      <c r="C72" s="39">
        <v>1248</v>
      </c>
      <c r="D72" s="39">
        <v>536.16999999999996</v>
      </c>
      <c r="E72" s="39">
        <v>230</v>
      </c>
      <c r="F72" s="39">
        <v>535.92999999999995</v>
      </c>
      <c r="G72" s="6">
        <v>24</v>
      </c>
      <c r="H72" s="6">
        <v>1013.07</v>
      </c>
      <c r="I72" s="6">
        <v>52.5</v>
      </c>
      <c r="J72" s="7">
        <v>52.5</v>
      </c>
      <c r="K72" s="39" t="s">
        <v>91</v>
      </c>
      <c r="L72">
        <f t="shared" si="9"/>
        <v>7.0000000000000007E-2</v>
      </c>
      <c r="M72">
        <f>(1-L72)-(E72/100)*'Water column'!$B$26</f>
        <v>0.78049999999999997</v>
      </c>
      <c r="N72">
        <f t="shared" ref="N72:N133" si="10">H72-(M72-L72)*98</f>
        <v>943.44100000000003</v>
      </c>
    </row>
    <row r="73" spans="1:14">
      <c r="A73" s="21" t="s">
        <v>65</v>
      </c>
      <c r="B73" s="7">
        <v>30082019</v>
      </c>
      <c r="C73" s="39">
        <v>1307</v>
      </c>
      <c r="D73" s="39">
        <v>548.6</v>
      </c>
      <c r="E73" s="39">
        <v>420</v>
      </c>
      <c r="F73" s="39">
        <v>548.1</v>
      </c>
      <c r="G73" s="6">
        <v>24</v>
      </c>
      <c r="H73" s="6">
        <v>1013.07</v>
      </c>
      <c r="I73" s="6">
        <v>52.5</v>
      </c>
      <c r="J73" s="7">
        <v>52.5</v>
      </c>
      <c r="K73" s="39" t="s">
        <v>91</v>
      </c>
      <c r="L73">
        <f t="shared" si="9"/>
        <v>7.0000000000000007E-2</v>
      </c>
      <c r="M73">
        <f>(1-L73)-(E73/100)*'Water column'!$B$26</f>
        <v>0.65699999999999992</v>
      </c>
      <c r="N73">
        <f t="shared" si="10"/>
        <v>955.5440000000001</v>
      </c>
    </row>
    <row r="74" spans="1:14">
      <c r="A74" s="21" t="s">
        <v>66</v>
      </c>
      <c r="B74" s="7">
        <v>30082019</v>
      </c>
      <c r="C74" s="39">
        <v>1307</v>
      </c>
      <c r="D74" s="39">
        <v>545.59</v>
      </c>
      <c r="E74" s="39">
        <v>420</v>
      </c>
      <c r="F74" s="39">
        <v>545.11</v>
      </c>
      <c r="G74" s="6">
        <v>24</v>
      </c>
      <c r="H74" s="6">
        <v>1013.07</v>
      </c>
      <c r="I74" s="6">
        <v>52.5</v>
      </c>
      <c r="J74" s="7">
        <v>52.5</v>
      </c>
      <c r="K74" s="39" t="s">
        <v>91</v>
      </c>
      <c r="L74">
        <f t="shared" si="9"/>
        <v>7.0000000000000007E-2</v>
      </c>
      <c r="M74">
        <f>(1-L74)-(E74/100)*'Water column'!$B$26</f>
        <v>0.65699999999999992</v>
      </c>
      <c r="N74">
        <f t="shared" si="10"/>
        <v>955.5440000000001</v>
      </c>
    </row>
    <row r="75" spans="1:14">
      <c r="A75" s="21" t="s">
        <v>67</v>
      </c>
      <c r="B75" s="7">
        <v>30082019</v>
      </c>
      <c r="C75" s="39">
        <v>1307</v>
      </c>
      <c r="D75" s="39">
        <v>544.58000000000004</v>
      </c>
      <c r="E75" s="39">
        <v>520</v>
      </c>
      <c r="F75" s="39">
        <v>543.97</v>
      </c>
      <c r="G75" s="6">
        <v>24</v>
      </c>
      <c r="H75" s="6">
        <v>1013.07</v>
      </c>
      <c r="I75" s="6">
        <v>52.5</v>
      </c>
      <c r="J75" s="7">
        <v>52.5</v>
      </c>
      <c r="K75" s="39" t="s">
        <v>91</v>
      </c>
      <c r="L75">
        <f t="shared" si="9"/>
        <v>7.0000000000000007E-2</v>
      </c>
      <c r="M75">
        <f>(1-L75)-(E75/100)*'Water column'!$B$26</f>
        <v>0.59199999999999986</v>
      </c>
      <c r="N75">
        <f t="shared" si="10"/>
        <v>961.9140000000001</v>
      </c>
    </row>
    <row r="76" spans="1:14">
      <c r="A76" s="21" t="s">
        <v>40</v>
      </c>
      <c r="B76" s="7">
        <v>30082019</v>
      </c>
      <c r="C76" s="39">
        <v>1327</v>
      </c>
      <c r="D76" s="39">
        <v>526.46</v>
      </c>
      <c r="E76" s="39">
        <v>30</v>
      </c>
      <c r="F76" s="39">
        <v>526.44000000000005</v>
      </c>
      <c r="G76" s="6">
        <v>24</v>
      </c>
      <c r="H76" s="6">
        <v>1013.07</v>
      </c>
      <c r="I76" s="6">
        <v>52.5</v>
      </c>
      <c r="J76" s="7">
        <v>52.5</v>
      </c>
      <c r="K76" s="39" t="s">
        <v>91</v>
      </c>
      <c r="L76">
        <f t="shared" si="9"/>
        <v>7.0000000000000007E-2</v>
      </c>
      <c r="M76">
        <f>(1-L76)-(E76/100)*'Water column'!$B$26</f>
        <v>0.91049999999999998</v>
      </c>
      <c r="N76">
        <f t="shared" si="10"/>
        <v>930.70100000000002</v>
      </c>
    </row>
    <row r="77" spans="1:14">
      <c r="A77" s="21" t="s">
        <v>72</v>
      </c>
      <c r="B77" s="7">
        <v>30082019</v>
      </c>
      <c r="C77" s="39">
        <v>1322</v>
      </c>
      <c r="D77" s="39">
        <v>528.13</v>
      </c>
      <c r="E77" s="39">
        <v>30</v>
      </c>
      <c r="F77" s="39">
        <v>528.1</v>
      </c>
      <c r="G77" s="6">
        <v>24</v>
      </c>
      <c r="H77" s="6">
        <v>1013.07</v>
      </c>
      <c r="I77" s="6">
        <v>52.5</v>
      </c>
      <c r="J77" s="7">
        <v>52.5</v>
      </c>
      <c r="K77" s="39" t="s">
        <v>91</v>
      </c>
      <c r="L77">
        <f t="shared" si="9"/>
        <v>7.0000000000000007E-2</v>
      </c>
      <c r="M77">
        <f>(1-L77)-(E77/100)*'Water column'!$B$26</f>
        <v>0.91049999999999998</v>
      </c>
      <c r="N77">
        <f t="shared" si="10"/>
        <v>930.70100000000002</v>
      </c>
    </row>
    <row r="78" spans="1:14">
      <c r="A78" s="21" t="s">
        <v>75</v>
      </c>
      <c r="B78" s="7">
        <v>30082019</v>
      </c>
      <c r="C78" s="39">
        <v>1322</v>
      </c>
      <c r="D78" s="39">
        <v>526.99</v>
      </c>
      <c r="E78" s="39">
        <v>20</v>
      </c>
      <c r="F78" s="39">
        <v>526.98</v>
      </c>
      <c r="G78" s="6">
        <v>24</v>
      </c>
      <c r="H78" s="6">
        <v>1013.07</v>
      </c>
      <c r="I78" s="6">
        <v>52.5</v>
      </c>
      <c r="J78" s="7">
        <v>52.5</v>
      </c>
      <c r="K78" s="39" t="s">
        <v>91</v>
      </c>
      <c r="L78">
        <f t="shared" si="9"/>
        <v>7.0000000000000007E-2</v>
      </c>
      <c r="M78">
        <f>(1-L78)-(E78/100)*'Water column'!$B$26</f>
        <v>0.91699999999999993</v>
      </c>
      <c r="N78">
        <f t="shared" si="10"/>
        <v>930.06400000000008</v>
      </c>
    </row>
    <row r="79" spans="1:14">
      <c r="A79" s="21" t="s">
        <v>76</v>
      </c>
      <c r="B79" s="7">
        <v>30082019</v>
      </c>
      <c r="C79" s="39">
        <v>1322</v>
      </c>
      <c r="D79" s="39">
        <v>524.95000000000005</v>
      </c>
      <c r="E79" s="39">
        <v>25</v>
      </c>
      <c r="F79" s="39">
        <v>524.94000000000005</v>
      </c>
      <c r="G79" s="6">
        <v>24</v>
      </c>
      <c r="H79" s="6">
        <v>1013.07</v>
      </c>
      <c r="I79" s="6">
        <v>52.5</v>
      </c>
      <c r="J79" s="7">
        <v>52.5</v>
      </c>
      <c r="K79" s="39" t="s">
        <v>91</v>
      </c>
      <c r="L79">
        <f t="shared" si="9"/>
        <v>7.0000000000000007E-2</v>
      </c>
      <c r="M79">
        <f>(1-L79)-(E79/100)*'Water column'!$B$26</f>
        <v>0.91374999999999995</v>
      </c>
      <c r="N79">
        <f t="shared" si="10"/>
        <v>930.38250000000005</v>
      </c>
    </row>
    <row r="80" spans="1:14">
      <c r="A80" s="21" t="s">
        <v>73</v>
      </c>
      <c r="B80" s="7">
        <v>30082019</v>
      </c>
      <c r="C80" s="39">
        <v>1313</v>
      </c>
      <c r="D80" s="39">
        <v>525.42999999999995</v>
      </c>
      <c r="E80" s="39">
        <v>400</v>
      </c>
      <c r="F80" s="39">
        <v>524.97</v>
      </c>
      <c r="G80" s="6">
        <v>24</v>
      </c>
      <c r="H80" s="6">
        <v>1013.07</v>
      </c>
      <c r="I80" s="6">
        <v>52.5</v>
      </c>
      <c r="J80" s="7">
        <v>52.5</v>
      </c>
      <c r="K80" s="39" t="s">
        <v>91</v>
      </c>
      <c r="L80">
        <f t="shared" si="9"/>
        <v>7.0000000000000007E-2</v>
      </c>
      <c r="M80">
        <f>(1-L80)-(E80/100)*'Water column'!$B$26</f>
        <v>0.66999999999999993</v>
      </c>
      <c r="N80">
        <f t="shared" si="10"/>
        <v>954.2700000000001</v>
      </c>
    </row>
    <row r="81" spans="1:14">
      <c r="A81" s="21" t="s">
        <v>77</v>
      </c>
      <c r="B81" s="7">
        <v>30082019</v>
      </c>
      <c r="C81" s="39">
        <v>1313</v>
      </c>
      <c r="D81" s="39">
        <v>527.91</v>
      </c>
      <c r="E81" s="39">
        <v>385</v>
      </c>
      <c r="F81" s="39">
        <v>527.47</v>
      </c>
      <c r="G81" s="6">
        <v>24</v>
      </c>
      <c r="H81" s="6">
        <v>1013.07</v>
      </c>
      <c r="I81" s="6">
        <v>52.5</v>
      </c>
      <c r="J81" s="7">
        <v>52.5</v>
      </c>
      <c r="K81" s="39" t="s">
        <v>91</v>
      </c>
      <c r="L81">
        <f t="shared" si="9"/>
        <v>7.0000000000000007E-2</v>
      </c>
      <c r="M81">
        <f>(1-L81)-(E81/100)*'Water column'!$B$26</f>
        <v>0.67974999999999985</v>
      </c>
      <c r="N81">
        <f t="shared" si="10"/>
        <v>953.31450000000007</v>
      </c>
    </row>
    <row r="82" spans="1:14">
      <c r="A82" s="21" t="s">
        <v>78</v>
      </c>
      <c r="B82" s="7">
        <v>30082019</v>
      </c>
      <c r="C82" s="39">
        <v>1313</v>
      </c>
      <c r="D82" s="39">
        <v>524.45000000000005</v>
      </c>
      <c r="E82" s="39">
        <v>380</v>
      </c>
      <c r="F82" s="39">
        <v>524.01</v>
      </c>
      <c r="G82" s="6">
        <v>24</v>
      </c>
      <c r="H82" s="6">
        <v>1013.07</v>
      </c>
      <c r="I82" s="6">
        <v>52.5</v>
      </c>
      <c r="J82" s="7">
        <v>52.5</v>
      </c>
      <c r="K82" s="39" t="s">
        <v>91</v>
      </c>
      <c r="L82">
        <f t="shared" si="9"/>
        <v>7.0000000000000007E-2</v>
      </c>
      <c r="M82">
        <f>(1-L82)-(E82/100)*'Water column'!$B$26</f>
        <v>0.68299999999999994</v>
      </c>
      <c r="N82">
        <f t="shared" si="10"/>
        <v>952.99600000000009</v>
      </c>
    </row>
    <row r="83" spans="1:14">
      <c r="A83" s="21" t="s">
        <v>74</v>
      </c>
      <c r="B83" s="7">
        <v>30082019</v>
      </c>
      <c r="C83" s="39">
        <v>1301</v>
      </c>
      <c r="D83" s="39">
        <v>544.14</v>
      </c>
      <c r="E83" s="39">
        <v>340</v>
      </c>
      <c r="F83" s="39">
        <v>543.76</v>
      </c>
      <c r="G83" s="6">
        <v>24</v>
      </c>
      <c r="H83" s="6">
        <v>1013.07</v>
      </c>
      <c r="I83" s="6">
        <v>52.5</v>
      </c>
      <c r="J83" s="7">
        <v>52.5</v>
      </c>
      <c r="K83" s="39" t="s">
        <v>90</v>
      </c>
      <c r="L83">
        <f t="shared" si="9"/>
        <v>7.0000000000000007E-2</v>
      </c>
      <c r="M83">
        <f>(1-L83)-(E83/100)*'Water column'!$B$26</f>
        <v>0.70899999999999996</v>
      </c>
      <c r="N83">
        <f t="shared" si="10"/>
        <v>950.44800000000009</v>
      </c>
    </row>
    <row r="84" spans="1:14">
      <c r="A84" s="21" t="s">
        <v>79</v>
      </c>
      <c r="B84" s="7">
        <v>30082019</v>
      </c>
      <c r="C84" s="39">
        <v>1301</v>
      </c>
      <c r="D84" s="39">
        <v>537.57000000000005</v>
      </c>
      <c r="E84" s="39">
        <v>390</v>
      </c>
      <c r="F84" s="39">
        <v>537.1</v>
      </c>
      <c r="G84" s="6">
        <v>24</v>
      </c>
      <c r="H84" s="6">
        <v>1013.07</v>
      </c>
      <c r="I84" s="6">
        <v>52.5</v>
      </c>
      <c r="J84" s="7">
        <v>52.5</v>
      </c>
      <c r="K84" s="39" t="s">
        <v>90</v>
      </c>
      <c r="L84">
        <f t="shared" si="9"/>
        <v>7.0000000000000007E-2</v>
      </c>
      <c r="M84">
        <f>(1-L84)-(E84/100)*'Water column'!$B$26</f>
        <v>0.67649999999999988</v>
      </c>
      <c r="N84">
        <f t="shared" si="10"/>
        <v>953.63300000000004</v>
      </c>
    </row>
    <row r="85" spans="1:14">
      <c r="A85" s="6" t="s">
        <v>80</v>
      </c>
      <c r="B85" s="6">
        <v>30082019</v>
      </c>
      <c r="C85" s="6">
        <v>1301</v>
      </c>
      <c r="D85" s="6">
        <v>535.52</v>
      </c>
      <c r="E85" s="6">
        <v>360</v>
      </c>
      <c r="F85" s="6">
        <v>535.09</v>
      </c>
      <c r="G85" s="6">
        <v>24</v>
      </c>
      <c r="H85" s="6">
        <v>1013.07</v>
      </c>
      <c r="I85" s="6">
        <v>52.5</v>
      </c>
      <c r="J85" s="6">
        <v>52.5</v>
      </c>
      <c r="K85" s="6" t="s">
        <v>90</v>
      </c>
      <c r="L85">
        <f t="shared" si="9"/>
        <v>7.0000000000000007E-2</v>
      </c>
      <c r="M85">
        <f>(1-L85)-(E85/100)*'Water column'!$B$26</f>
        <v>0.69599999999999995</v>
      </c>
      <c r="N85">
        <f t="shared" si="10"/>
        <v>951.72200000000009</v>
      </c>
    </row>
    <row r="86" spans="1:14">
      <c r="A86" s="8" t="s">
        <v>93</v>
      </c>
      <c r="B86" s="8">
        <v>1092019</v>
      </c>
      <c r="C86" s="8">
        <v>850</v>
      </c>
      <c r="D86" s="8">
        <v>527.21</v>
      </c>
      <c r="E86" s="6" t="s">
        <v>22</v>
      </c>
      <c r="F86" s="8">
        <v>527.23</v>
      </c>
      <c r="G86" s="8">
        <v>24</v>
      </c>
      <c r="H86" s="8">
        <v>999.74</v>
      </c>
      <c r="I86" s="8">
        <v>52.5</v>
      </c>
      <c r="J86" s="8">
        <v>52.5</v>
      </c>
      <c r="K86" s="8" t="s">
        <v>91</v>
      </c>
      <c r="L86">
        <f t="shared" si="9"/>
        <v>7.0000000000000007E-2</v>
      </c>
      <c r="M86" t="s">
        <v>22</v>
      </c>
      <c r="N86" t="s">
        <v>22</v>
      </c>
    </row>
    <row r="87" spans="1:14">
      <c r="A87" s="8" t="s">
        <v>94</v>
      </c>
      <c r="B87" s="8">
        <v>1092019</v>
      </c>
      <c r="C87" s="8">
        <v>850</v>
      </c>
      <c r="D87" s="8">
        <v>528.11</v>
      </c>
      <c r="E87" s="6" t="s">
        <v>22</v>
      </c>
      <c r="F87" s="8">
        <v>528.12</v>
      </c>
      <c r="G87" s="8">
        <v>24</v>
      </c>
      <c r="H87" s="8">
        <v>999.74</v>
      </c>
      <c r="I87" s="8">
        <v>52.5</v>
      </c>
      <c r="J87" s="8">
        <v>52.5</v>
      </c>
      <c r="K87" s="8" t="s">
        <v>91</v>
      </c>
      <c r="L87">
        <f t="shared" si="9"/>
        <v>7.0000000000000007E-2</v>
      </c>
      <c r="M87" t="s">
        <v>22</v>
      </c>
      <c r="N87" t="s">
        <v>22</v>
      </c>
    </row>
    <row r="88" spans="1:14">
      <c r="A88" s="25" t="s">
        <v>56</v>
      </c>
      <c r="B88" s="46">
        <v>1092019</v>
      </c>
      <c r="C88" s="47">
        <v>850</v>
      </c>
      <c r="D88" s="39">
        <v>536.36</v>
      </c>
      <c r="E88" s="39">
        <v>260</v>
      </c>
      <c r="F88" s="39">
        <v>536.1</v>
      </c>
      <c r="G88" s="7">
        <v>24</v>
      </c>
      <c r="H88" s="7">
        <v>999.74</v>
      </c>
      <c r="I88" s="7">
        <v>52.5</v>
      </c>
      <c r="J88" s="7">
        <v>52.5</v>
      </c>
      <c r="K88" s="39" t="s">
        <v>91</v>
      </c>
      <c r="L88">
        <f t="shared" si="9"/>
        <v>7.0000000000000007E-2</v>
      </c>
      <c r="M88">
        <f>(1-L88)-(E88/100)*'Water column'!$B$26</f>
        <v>0.7609999999999999</v>
      </c>
      <c r="N88">
        <f t="shared" si="10"/>
        <v>932.02200000000005</v>
      </c>
    </row>
    <row r="89" spans="1:14">
      <c r="A89" s="25" t="s">
        <v>57</v>
      </c>
      <c r="B89" s="46">
        <v>1092019</v>
      </c>
      <c r="C89" s="47">
        <v>850</v>
      </c>
      <c r="D89" s="39">
        <v>535.76</v>
      </c>
      <c r="E89" s="39">
        <v>320</v>
      </c>
      <c r="F89" s="39">
        <v>535.42999999999995</v>
      </c>
      <c r="G89" s="6">
        <v>24</v>
      </c>
      <c r="H89" s="6">
        <f t="shared" ref="H89:H109" si="11">$H$88</f>
        <v>999.74</v>
      </c>
      <c r="I89" s="6">
        <v>52.5</v>
      </c>
      <c r="J89" s="7">
        <v>52.5</v>
      </c>
      <c r="K89" s="39" t="s">
        <v>91</v>
      </c>
      <c r="L89">
        <f t="shared" si="9"/>
        <v>7.0000000000000007E-2</v>
      </c>
      <c r="M89">
        <f>(1-L89)-(E89/100)*'Water column'!$B$26</f>
        <v>0.72199999999999998</v>
      </c>
      <c r="N89">
        <f t="shared" si="10"/>
        <v>935.84400000000005</v>
      </c>
    </row>
    <row r="90" spans="1:14">
      <c r="A90" s="25" t="s">
        <v>58</v>
      </c>
      <c r="B90" s="46">
        <v>1092019</v>
      </c>
      <c r="C90" s="47">
        <v>850</v>
      </c>
      <c r="D90" s="39">
        <v>535.84</v>
      </c>
      <c r="E90" s="39">
        <v>280</v>
      </c>
      <c r="F90" s="39">
        <v>535.54999999999995</v>
      </c>
      <c r="G90" s="6">
        <v>24</v>
      </c>
      <c r="H90" s="6">
        <f t="shared" si="11"/>
        <v>999.74</v>
      </c>
      <c r="I90" s="6">
        <v>52.5</v>
      </c>
      <c r="J90" s="7">
        <v>52.5</v>
      </c>
      <c r="K90" s="39" t="s">
        <v>91</v>
      </c>
      <c r="L90">
        <f t="shared" si="9"/>
        <v>7.0000000000000007E-2</v>
      </c>
      <c r="M90">
        <f>(1-L90)-(E90/100)*'Water column'!$B$26</f>
        <v>0.748</v>
      </c>
      <c r="N90">
        <f t="shared" si="10"/>
        <v>933.29600000000005</v>
      </c>
    </row>
    <row r="91" spans="1:14">
      <c r="A91" s="21" t="s">
        <v>59</v>
      </c>
      <c r="B91" s="46">
        <v>1092019</v>
      </c>
      <c r="C91" s="47">
        <v>857</v>
      </c>
      <c r="D91" s="39">
        <v>535.67999999999995</v>
      </c>
      <c r="E91" s="39">
        <v>340</v>
      </c>
      <c r="F91" s="39">
        <v>535.30999999999995</v>
      </c>
      <c r="G91" s="6">
        <v>24</v>
      </c>
      <c r="H91" s="6">
        <f t="shared" si="11"/>
        <v>999.74</v>
      </c>
      <c r="I91" s="6">
        <v>52.5</v>
      </c>
      <c r="J91" s="7">
        <v>52.5</v>
      </c>
      <c r="K91" s="39" t="s">
        <v>91</v>
      </c>
      <c r="L91">
        <f t="shared" si="9"/>
        <v>7.0000000000000007E-2</v>
      </c>
      <c r="M91">
        <f>(1-L91)-(E91/100)*'Water column'!$B$26</f>
        <v>0.70899999999999996</v>
      </c>
      <c r="N91">
        <f t="shared" si="10"/>
        <v>937.11800000000005</v>
      </c>
    </row>
    <row r="92" spans="1:14">
      <c r="A92" s="21" t="s">
        <v>60</v>
      </c>
      <c r="B92" s="46">
        <v>1092019</v>
      </c>
      <c r="C92" s="47">
        <v>857</v>
      </c>
      <c r="D92" s="39">
        <v>533.51</v>
      </c>
      <c r="E92" s="39">
        <v>295</v>
      </c>
      <c r="F92" s="39">
        <v>533.17999999999995</v>
      </c>
      <c r="G92" s="6">
        <v>24</v>
      </c>
      <c r="H92" s="6">
        <f t="shared" si="11"/>
        <v>999.74</v>
      </c>
      <c r="I92" s="6">
        <v>52.5</v>
      </c>
      <c r="J92" s="7">
        <v>52.5</v>
      </c>
      <c r="K92" s="39" t="s">
        <v>91</v>
      </c>
      <c r="L92">
        <f t="shared" si="9"/>
        <v>7.0000000000000007E-2</v>
      </c>
      <c r="M92">
        <f>(1-L92)-(E92/100)*'Water column'!$B$26</f>
        <v>0.73824999999999985</v>
      </c>
      <c r="N92">
        <f t="shared" si="10"/>
        <v>934.25150000000008</v>
      </c>
    </row>
    <row r="93" spans="1:14">
      <c r="A93" s="21" t="s">
        <v>61</v>
      </c>
      <c r="B93" s="46">
        <v>1092019</v>
      </c>
      <c r="C93" s="47">
        <v>857</v>
      </c>
      <c r="D93" s="39">
        <v>536.08000000000004</v>
      </c>
      <c r="E93" s="39">
        <v>250</v>
      </c>
      <c r="F93" s="39">
        <v>535.82000000000005</v>
      </c>
      <c r="G93" s="6">
        <v>24</v>
      </c>
      <c r="H93" s="6">
        <f t="shared" si="11"/>
        <v>999.74</v>
      </c>
      <c r="I93" s="6">
        <v>52.5</v>
      </c>
      <c r="J93" s="7">
        <v>52.5</v>
      </c>
      <c r="K93" s="39" t="s">
        <v>91</v>
      </c>
      <c r="L93">
        <f t="shared" si="9"/>
        <v>7.0000000000000007E-2</v>
      </c>
      <c r="M93">
        <f>(1-L93)-(E93/100)*'Water column'!$B$26</f>
        <v>0.76749999999999996</v>
      </c>
      <c r="N93">
        <f t="shared" si="10"/>
        <v>931.38499999999999</v>
      </c>
    </row>
    <row r="94" spans="1:14">
      <c r="A94" s="21" t="s">
        <v>62</v>
      </c>
      <c r="B94" s="46">
        <v>1092019</v>
      </c>
      <c r="C94" s="47">
        <v>903</v>
      </c>
      <c r="D94" s="39">
        <v>536.91999999999996</v>
      </c>
      <c r="E94" s="39">
        <v>290</v>
      </c>
      <c r="F94" s="39">
        <v>536.62</v>
      </c>
      <c r="G94" s="6">
        <v>24</v>
      </c>
      <c r="H94" s="6">
        <f t="shared" si="11"/>
        <v>999.74</v>
      </c>
      <c r="I94" s="6">
        <v>52.5</v>
      </c>
      <c r="J94" s="7">
        <v>52.5</v>
      </c>
      <c r="K94" s="39" t="s">
        <v>91</v>
      </c>
      <c r="L94">
        <f t="shared" si="9"/>
        <v>7.0000000000000007E-2</v>
      </c>
      <c r="M94">
        <f>(1-L94)-(E94/100)*'Water column'!$B$26</f>
        <v>0.74149999999999994</v>
      </c>
      <c r="N94">
        <f t="shared" si="10"/>
        <v>933.93299999999999</v>
      </c>
    </row>
    <row r="95" spans="1:14">
      <c r="A95" s="21" t="s">
        <v>63</v>
      </c>
      <c r="B95" s="46">
        <v>1092019</v>
      </c>
      <c r="C95" s="47">
        <v>903</v>
      </c>
      <c r="D95" s="39">
        <v>540.69000000000005</v>
      </c>
      <c r="E95" s="39">
        <v>310</v>
      </c>
      <c r="F95" s="39">
        <v>540.4</v>
      </c>
      <c r="G95" s="6">
        <v>24</v>
      </c>
      <c r="H95" s="6">
        <f t="shared" si="11"/>
        <v>999.74</v>
      </c>
      <c r="I95" s="6">
        <v>52.5</v>
      </c>
      <c r="J95" s="7">
        <v>52.5</v>
      </c>
      <c r="K95" s="39" t="s">
        <v>91</v>
      </c>
      <c r="L95">
        <f t="shared" si="9"/>
        <v>7.0000000000000007E-2</v>
      </c>
      <c r="M95">
        <f>(1-L95)-(E95/100)*'Water column'!$B$26</f>
        <v>0.72849999999999993</v>
      </c>
      <c r="N95">
        <f t="shared" si="10"/>
        <v>935.20699999999999</v>
      </c>
    </row>
    <row r="96" spans="1:14">
      <c r="A96" s="21" t="s">
        <v>64</v>
      </c>
      <c r="B96" s="46">
        <v>1092019</v>
      </c>
      <c r="C96" s="47">
        <v>903</v>
      </c>
      <c r="D96" s="39">
        <v>535.71</v>
      </c>
      <c r="E96" s="39">
        <v>150</v>
      </c>
      <c r="F96" s="39">
        <v>535.58000000000004</v>
      </c>
      <c r="G96" s="6">
        <v>24</v>
      </c>
      <c r="H96" s="6">
        <f t="shared" si="11"/>
        <v>999.74</v>
      </c>
      <c r="I96" s="6">
        <v>52.5</v>
      </c>
      <c r="J96" s="7">
        <v>52.5</v>
      </c>
      <c r="K96" s="39" t="s">
        <v>91</v>
      </c>
      <c r="L96">
        <f t="shared" si="9"/>
        <v>7.0000000000000007E-2</v>
      </c>
      <c r="M96">
        <f>(1-L96)-(E96/100)*'Water column'!$B$26</f>
        <v>0.83249999999999991</v>
      </c>
      <c r="N96">
        <f t="shared" si="10"/>
        <v>925.01499999999999</v>
      </c>
    </row>
    <row r="97" spans="1:14">
      <c r="A97" s="21" t="s">
        <v>65</v>
      </c>
      <c r="B97" s="46">
        <v>1092019</v>
      </c>
      <c r="C97" s="47">
        <v>843</v>
      </c>
      <c r="D97" s="39">
        <v>547.44000000000005</v>
      </c>
      <c r="E97" s="39">
        <v>190</v>
      </c>
      <c r="F97" s="39">
        <v>547.24</v>
      </c>
      <c r="G97" s="6">
        <v>24</v>
      </c>
      <c r="H97" s="6">
        <f t="shared" si="11"/>
        <v>999.74</v>
      </c>
      <c r="I97" s="6">
        <v>52.5</v>
      </c>
      <c r="J97" s="7">
        <v>52.5</v>
      </c>
      <c r="K97" s="39" t="s">
        <v>91</v>
      </c>
      <c r="L97">
        <f t="shared" si="9"/>
        <v>7.0000000000000007E-2</v>
      </c>
      <c r="M97">
        <f>(1-L97)-(E97/100)*'Water column'!$B$26</f>
        <v>0.80649999999999999</v>
      </c>
      <c r="N97">
        <f t="shared" si="10"/>
        <v>927.56299999999999</v>
      </c>
    </row>
    <row r="98" spans="1:14">
      <c r="A98" s="21" t="s">
        <v>66</v>
      </c>
      <c r="B98" s="46">
        <v>1092019</v>
      </c>
      <c r="C98" s="47">
        <v>843</v>
      </c>
      <c r="D98" s="39">
        <v>544.72</v>
      </c>
      <c r="E98" s="39">
        <v>340</v>
      </c>
      <c r="F98" s="39">
        <v>544.34</v>
      </c>
      <c r="G98" s="6">
        <v>24</v>
      </c>
      <c r="H98" s="6">
        <f t="shared" si="11"/>
        <v>999.74</v>
      </c>
      <c r="I98" s="6">
        <v>52.5</v>
      </c>
      <c r="J98" s="7">
        <v>52.5</v>
      </c>
      <c r="K98" s="39" t="s">
        <v>91</v>
      </c>
      <c r="L98">
        <f t="shared" si="9"/>
        <v>7.0000000000000007E-2</v>
      </c>
      <c r="M98">
        <f>(1-L98)-(E98/100)*'Water column'!$B$26</f>
        <v>0.70899999999999996</v>
      </c>
      <c r="N98">
        <f t="shared" si="10"/>
        <v>937.11800000000005</v>
      </c>
    </row>
    <row r="99" spans="1:14">
      <c r="A99" s="21" t="s">
        <v>67</v>
      </c>
      <c r="B99" s="46">
        <v>1092019</v>
      </c>
      <c r="C99" s="47">
        <v>843</v>
      </c>
      <c r="D99" s="39">
        <v>543.86</v>
      </c>
      <c r="E99" s="39">
        <v>535</v>
      </c>
      <c r="F99" s="39">
        <v>543.27</v>
      </c>
      <c r="G99" s="6">
        <v>24</v>
      </c>
      <c r="H99" s="6">
        <f t="shared" si="11"/>
        <v>999.74</v>
      </c>
      <c r="I99" s="6">
        <v>52.5</v>
      </c>
      <c r="J99" s="7">
        <v>52.5</v>
      </c>
      <c r="K99" s="39" t="s">
        <v>91</v>
      </c>
      <c r="L99">
        <f t="shared" si="9"/>
        <v>7.0000000000000007E-2</v>
      </c>
      <c r="M99">
        <f>(1-L99)-(E99/100)*'Water column'!$B$26</f>
        <v>0.58224999999999993</v>
      </c>
      <c r="N99">
        <f t="shared" si="10"/>
        <v>949.53949999999998</v>
      </c>
    </row>
    <row r="100" spans="1:14">
      <c r="A100" s="21" t="s">
        <v>40</v>
      </c>
      <c r="B100" s="46">
        <v>1092019</v>
      </c>
      <c r="C100" s="47">
        <v>932</v>
      </c>
      <c r="D100" s="39">
        <v>526.41</v>
      </c>
      <c r="E100" s="39">
        <v>35</v>
      </c>
      <c r="F100" s="52">
        <v>526.4</v>
      </c>
      <c r="G100" s="6">
        <v>24</v>
      </c>
      <c r="H100" s="6">
        <f t="shared" si="11"/>
        <v>999.74</v>
      </c>
      <c r="I100" s="6">
        <v>52.5</v>
      </c>
      <c r="J100" s="7">
        <v>52.5</v>
      </c>
      <c r="K100" s="39" t="s">
        <v>91</v>
      </c>
      <c r="L100">
        <f t="shared" si="9"/>
        <v>7.0000000000000007E-2</v>
      </c>
      <c r="M100">
        <f>(1-L100)-(E100/100)*'Water column'!$B$26</f>
        <v>0.90724999999999989</v>
      </c>
      <c r="N100">
        <f t="shared" si="10"/>
        <v>917.68950000000007</v>
      </c>
    </row>
    <row r="101" spans="1:14">
      <c r="A101" s="21" t="s">
        <v>72</v>
      </c>
      <c r="B101" s="46">
        <v>1092019</v>
      </c>
      <c r="C101" s="47">
        <v>926</v>
      </c>
      <c r="D101" s="39">
        <v>528.08000000000004</v>
      </c>
      <c r="E101" s="39">
        <v>35</v>
      </c>
      <c r="F101" s="39">
        <v>528.05999999999995</v>
      </c>
      <c r="G101" s="6">
        <v>24</v>
      </c>
      <c r="H101" s="6">
        <f t="shared" si="11"/>
        <v>999.74</v>
      </c>
      <c r="I101" s="6">
        <v>52.5</v>
      </c>
      <c r="J101" s="7">
        <v>52.5</v>
      </c>
      <c r="K101" s="39" t="s">
        <v>91</v>
      </c>
      <c r="L101">
        <f t="shared" si="9"/>
        <v>7.0000000000000007E-2</v>
      </c>
      <c r="M101">
        <f>(1-L101)-(E101/100)*'Water column'!$B$26</f>
        <v>0.90724999999999989</v>
      </c>
      <c r="N101">
        <f t="shared" si="10"/>
        <v>917.68950000000007</v>
      </c>
    </row>
    <row r="102" spans="1:14">
      <c r="A102" s="21" t="s">
        <v>75</v>
      </c>
      <c r="B102" s="46">
        <v>1092019</v>
      </c>
      <c r="C102" s="47">
        <v>926</v>
      </c>
      <c r="D102" s="39">
        <v>526.95000000000005</v>
      </c>
      <c r="E102" s="39">
        <v>35</v>
      </c>
      <c r="F102" s="39">
        <v>526.92999999999995</v>
      </c>
      <c r="G102" s="6">
        <v>24</v>
      </c>
      <c r="H102" s="6">
        <f t="shared" si="11"/>
        <v>999.74</v>
      </c>
      <c r="I102" s="6">
        <v>52.5</v>
      </c>
      <c r="J102" s="7">
        <v>52.5</v>
      </c>
      <c r="K102" s="39" t="s">
        <v>91</v>
      </c>
      <c r="L102">
        <f t="shared" si="9"/>
        <v>7.0000000000000007E-2</v>
      </c>
      <c r="M102">
        <f>(1-L102)-(E102/100)*'Water column'!$B$26</f>
        <v>0.90724999999999989</v>
      </c>
      <c r="N102">
        <f t="shared" si="10"/>
        <v>917.68950000000007</v>
      </c>
    </row>
    <row r="103" spans="1:14">
      <c r="A103" s="21" t="s">
        <v>76</v>
      </c>
      <c r="B103" s="46">
        <v>1092019</v>
      </c>
      <c r="C103" s="47">
        <v>926</v>
      </c>
      <c r="D103" s="39">
        <v>524.91</v>
      </c>
      <c r="E103" s="39">
        <v>40</v>
      </c>
      <c r="F103" s="39">
        <v>524.89</v>
      </c>
      <c r="G103" s="6">
        <v>24</v>
      </c>
      <c r="H103" s="6">
        <f t="shared" si="11"/>
        <v>999.74</v>
      </c>
      <c r="I103" s="6">
        <v>52.5</v>
      </c>
      <c r="J103" s="7">
        <v>52.5</v>
      </c>
      <c r="K103" s="39" t="s">
        <v>91</v>
      </c>
      <c r="L103">
        <f t="shared" si="9"/>
        <v>7.0000000000000007E-2</v>
      </c>
      <c r="M103">
        <f>(1-L103)-(E103/100)*'Water column'!$B$26</f>
        <v>0.90399999999999991</v>
      </c>
      <c r="N103">
        <f t="shared" si="10"/>
        <v>918.00800000000004</v>
      </c>
    </row>
    <row r="104" spans="1:14">
      <c r="A104" s="21" t="s">
        <v>73</v>
      </c>
      <c r="B104" s="46">
        <v>1092019</v>
      </c>
      <c r="C104" s="47">
        <v>920</v>
      </c>
      <c r="D104" s="39">
        <v>524.98</v>
      </c>
      <c r="E104" s="39">
        <v>360</v>
      </c>
      <c r="F104" s="39">
        <v>524.6</v>
      </c>
      <c r="G104" s="6">
        <v>24</v>
      </c>
      <c r="H104" s="6">
        <f t="shared" si="11"/>
        <v>999.74</v>
      </c>
      <c r="I104" s="6">
        <v>52.5</v>
      </c>
      <c r="J104" s="7">
        <v>52.5</v>
      </c>
      <c r="K104" s="39" t="s">
        <v>91</v>
      </c>
      <c r="L104">
        <f t="shared" si="9"/>
        <v>7.0000000000000007E-2</v>
      </c>
      <c r="M104">
        <f>(1-L104)-(E104/100)*'Water column'!$B$26</f>
        <v>0.69599999999999995</v>
      </c>
      <c r="N104">
        <f t="shared" si="10"/>
        <v>938.39200000000005</v>
      </c>
    </row>
    <row r="105" spans="1:14">
      <c r="A105" s="21" t="s">
        <v>77</v>
      </c>
      <c r="B105" s="46">
        <v>1092019</v>
      </c>
      <c r="C105" s="47">
        <v>920</v>
      </c>
      <c r="D105" s="39">
        <v>527.47</v>
      </c>
      <c r="E105" s="39">
        <v>350</v>
      </c>
      <c r="F105" s="39">
        <v>527.11</v>
      </c>
      <c r="G105" s="6">
        <v>24</v>
      </c>
      <c r="H105" s="6">
        <f t="shared" si="11"/>
        <v>999.74</v>
      </c>
      <c r="I105" s="6">
        <v>52.5</v>
      </c>
      <c r="J105" s="7">
        <v>52.5</v>
      </c>
      <c r="K105" s="39" t="s">
        <v>91</v>
      </c>
      <c r="L105">
        <f t="shared" si="9"/>
        <v>7.0000000000000007E-2</v>
      </c>
      <c r="M105">
        <f>(1-L105)-(E105/100)*'Water column'!$B$26</f>
        <v>0.7024999999999999</v>
      </c>
      <c r="N105">
        <f t="shared" si="10"/>
        <v>937.755</v>
      </c>
    </row>
    <row r="106" spans="1:14">
      <c r="A106" s="21" t="s">
        <v>78</v>
      </c>
      <c r="B106" s="46">
        <v>1092019</v>
      </c>
      <c r="C106" s="47">
        <v>920</v>
      </c>
      <c r="D106" s="39">
        <v>524.01</v>
      </c>
      <c r="E106" s="39">
        <v>420</v>
      </c>
      <c r="F106" s="39">
        <v>523.55999999999995</v>
      </c>
      <c r="G106" s="6">
        <v>24</v>
      </c>
      <c r="H106" s="6">
        <f t="shared" si="11"/>
        <v>999.74</v>
      </c>
      <c r="I106" s="6">
        <v>52.5</v>
      </c>
      <c r="J106" s="7">
        <v>52.5</v>
      </c>
      <c r="K106" s="39" t="s">
        <v>91</v>
      </c>
      <c r="L106">
        <f t="shared" si="9"/>
        <v>7.0000000000000007E-2</v>
      </c>
      <c r="M106">
        <f>(1-L106)-(E106/100)*'Water column'!$B$26</f>
        <v>0.65699999999999992</v>
      </c>
      <c r="N106">
        <f t="shared" si="10"/>
        <v>942.21400000000006</v>
      </c>
    </row>
    <row r="107" spans="1:14">
      <c r="A107" s="21" t="s">
        <v>74</v>
      </c>
      <c r="B107" s="46">
        <v>1092019</v>
      </c>
      <c r="C107" s="47">
        <v>913</v>
      </c>
      <c r="D107" s="39">
        <v>543.64</v>
      </c>
      <c r="E107" s="39">
        <v>205</v>
      </c>
      <c r="F107" s="39">
        <v>543.41</v>
      </c>
      <c r="G107" s="6">
        <v>24</v>
      </c>
      <c r="H107" s="6">
        <f t="shared" si="11"/>
        <v>999.74</v>
      </c>
      <c r="I107" s="6">
        <v>52.5</v>
      </c>
      <c r="J107" s="7">
        <v>52.5</v>
      </c>
      <c r="K107" s="39" t="s">
        <v>90</v>
      </c>
      <c r="L107">
        <f t="shared" si="9"/>
        <v>7.0000000000000007E-2</v>
      </c>
      <c r="M107">
        <f>(1-L107)-(E107/100)*'Water column'!$B$26</f>
        <v>0.79674999999999996</v>
      </c>
      <c r="N107">
        <f t="shared" si="10"/>
        <v>928.51850000000002</v>
      </c>
    </row>
    <row r="108" spans="1:14">
      <c r="A108" s="21" t="s">
        <v>79</v>
      </c>
      <c r="B108" s="46">
        <v>1092019</v>
      </c>
      <c r="C108" s="47">
        <v>913</v>
      </c>
      <c r="D108" s="39">
        <v>537.1</v>
      </c>
      <c r="E108" s="39">
        <v>340</v>
      </c>
      <c r="F108" s="39">
        <v>536.71</v>
      </c>
      <c r="G108" s="6">
        <v>24</v>
      </c>
      <c r="H108" s="6">
        <f t="shared" si="11"/>
        <v>999.74</v>
      </c>
      <c r="I108" s="6">
        <v>52.5</v>
      </c>
      <c r="J108" s="7">
        <v>52.5</v>
      </c>
      <c r="K108" s="39" t="s">
        <v>90</v>
      </c>
      <c r="L108">
        <f t="shared" si="9"/>
        <v>7.0000000000000007E-2</v>
      </c>
      <c r="M108">
        <f>(1-L108)-(E108/100)*'Water column'!$B$26</f>
        <v>0.70899999999999996</v>
      </c>
      <c r="N108">
        <f t="shared" si="10"/>
        <v>937.11800000000005</v>
      </c>
    </row>
    <row r="109" spans="1:14">
      <c r="A109" s="6" t="s">
        <v>80</v>
      </c>
      <c r="B109" s="46">
        <v>1092019</v>
      </c>
      <c r="C109" s="31">
        <v>913</v>
      </c>
      <c r="D109" s="6">
        <v>535.09</v>
      </c>
      <c r="E109" s="6">
        <v>310</v>
      </c>
      <c r="F109" s="6">
        <v>534.74</v>
      </c>
      <c r="G109" s="6">
        <v>24</v>
      </c>
      <c r="H109" s="6">
        <f t="shared" si="11"/>
        <v>999.74</v>
      </c>
      <c r="I109" s="6">
        <v>52.5</v>
      </c>
      <c r="J109" s="6">
        <v>52.5</v>
      </c>
      <c r="K109" s="6" t="s">
        <v>90</v>
      </c>
      <c r="L109">
        <f t="shared" si="9"/>
        <v>7.0000000000000007E-2</v>
      </c>
      <c r="M109">
        <f>(1-L109)-(E109/100)*'Water column'!$B$26</f>
        <v>0.72849999999999993</v>
      </c>
      <c r="N109">
        <f t="shared" si="10"/>
        <v>935.20699999999999</v>
      </c>
    </row>
    <row r="110" spans="1:14">
      <c r="A110" s="8" t="s">
        <v>93</v>
      </c>
      <c r="B110" s="8">
        <v>3092019</v>
      </c>
      <c r="C110" s="8">
        <v>1023</v>
      </c>
      <c r="D110" s="8">
        <v>527.22</v>
      </c>
      <c r="E110" s="6" t="s">
        <v>22</v>
      </c>
      <c r="F110" s="8">
        <v>527.23</v>
      </c>
      <c r="G110" s="8">
        <v>22</v>
      </c>
      <c r="H110" s="8">
        <v>1005.41</v>
      </c>
      <c r="I110" s="8">
        <v>52.5</v>
      </c>
      <c r="J110" s="8">
        <v>52.5</v>
      </c>
      <c r="K110" s="8" t="s">
        <v>91</v>
      </c>
      <c r="L110">
        <f t="shared" si="9"/>
        <v>7.0000000000000007E-2</v>
      </c>
      <c r="M110" t="s">
        <v>22</v>
      </c>
      <c r="N110" t="s">
        <v>22</v>
      </c>
    </row>
    <row r="111" spans="1:14">
      <c r="A111" s="8" t="s">
        <v>94</v>
      </c>
      <c r="B111" s="8">
        <v>3092019</v>
      </c>
      <c r="C111" s="8">
        <v>1023</v>
      </c>
      <c r="D111" s="8">
        <v>528.12</v>
      </c>
      <c r="E111" s="6" t="s">
        <v>22</v>
      </c>
      <c r="F111" s="8">
        <v>528.13</v>
      </c>
      <c r="G111" s="8">
        <v>22</v>
      </c>
      <c r="H111" s="8">
        <v>1005.41</v>
      </c>
      <c r="I111" s="8">
        <v>52.5</v>
      </c>
      <c r="J111" s="8">
        <v>52.5</v>
      </c>
      <c r="K111" s="8" t="s">
        <v>91</v>
      </c>
      <c r="L111">
        <f t="shared" si="9"/>
        <v>7.0000000000000007E-2</v>
      </c>
      <c r="M111" t="s">
        <v>22</v>
      </c>
      <c r="N111" t="s">
        <v>22</v>
      </c>
    </row>
    <row r="112" spans="1:14">
      <c r="A112" s="25" t="s">
        <v>56</v>
      </c>
      <c r="B112" s="46">
        <v>3092019</v>
      </c>
      <c r="C112" s="47">
        <v>1056</v>
      </c>
      <c r="D112" s="39">
        <v>536.07000000000005</v>
      </c>
      <c r="E112" s="39">
        <v>175</v>
      </c>
      <c r="F112" s="39">
        <v>535.95000000000005</v>
      </c>
      <c r="G112" s="8">
        <v>22</v>
      </c>
      <c r="H112" s="8">
        <v>1005.41</v>
      </c>
      <c r="I112" s="8">
        <v>52.5</v>
      </c>
      <c r="J112" s="8">
        <v>52.5</v>
      </c>
      <c r="K112" s="8" t="s">
        <v>82</v>
      </c>
      <c r="L112">
        <f t="shared" si="9"/>
        <v>7.0000000000000007E-2</v>
      </c>
      <c r="M112">
        <f>(1-L112)-(E112/100)*'Water column'!$B$26</f>
        <v>0.81624999999999992</v>
      </c>
      <c r="N112">
        <f t="shared" si="10"/>
        <v>932.27749999999992</v>
      </c>
    </row>
    <row r="113" spans="1:14">
      <c r="A113" s="25" t="s">
        <v>57</v>
      </c>
      <c r="B113" s="46">
        <v>3092019</v>
      </c>
      <c r="C113" s="47">
        <v>1056</v>
      </c>
      <c r="D113" s="39">
        <v>535.44000000000005</v>
      </c>
      <c r="E113" s="39">
        <v>200</v>
      </c>
      <c r="F113" s="39">
        <v>535.28</v>
      </c>
      <c r="G113" s="8">
        <v>22</v>
      </c>
      <c r="H113" s="8">
        <v>1005.41</v>
      </c>
      <c r="I113" s="8">
        <v>52.5</v>
      </c>
      <c r="J113" s="8">
        <v>52.5</v>
      </c>
      <c r="K113" s="8" t="s">
        <v>82</v>
      </c>
      <c r="L113">
        <f t="shared" si="9"/>
        <v>7.0000000000000007E-2</v>
      </c>
      <c r="M113">
        <f>(1-L113)-(E113/100)*'Water column'!$B$26</f>
        <v>0.79999999999999993</v>
      </c>
      <c r="N113">
        <f t="shared" si="10"/>
        <v>933.87</v>
      </c>
    </row>
    <row r="114" spans="1:14">
      <c r="A114" s="25" t="s">
        <v>58</v>
      </c>
      <c r="B114" s="46">
        <v>3092019</v>
      </c>
      <c r="C114" s="47">
        <v>1056</v>
      </c>
      <c r="D114" s="39">
        <v>535.54</v>
      </c>
      <c r="E114" s="39">
        <v>170</v>
      </c>
      <c r="F114" s="39">
        <v>535.36</v>
      </c>
      <c r="G114" s="8">
        <v>22</v>
      </c>
      <c r="H114" s="8">
        <v>1005.41</v>
      </c>
      <c r="I114" s="8">
        <v>52.5</v>
      </c>
      <c r="J114" s="8">
        <v>52.5</v>
      </c>
      <c r="K114" s="8" t="s">
        <v>82</v>
      </c>
      <c r="L114">
        <f t="shared" si="9"/>
        <v>7.0000000000000007E-2</v>
      </c>
      <c r="M114">
        <f>(1-L114)-(E114/100)*'Water column'!$B$26</f>
        <v>0.8194999999999999</v>
      </c>
      <c r="N114">
        <f t="shared" si="10"/>
        <v>931.95899999999995</v>
      </c>
    </row>
    <row r="115" spans="1:14">
      <c r="A115" s="21" t="s">
        <v>59</v>
      </c>
      <c r="B115" s="46">
        <v>3092019</v>
      </c>
      <c r="C115" s="47">
        <v>1025</v>
      </c>
      <c r="D115" s="39">
        <v>535.29</v>
      </c>
      <c r="E115" s="39">
        <v>170</v>
      </c>
      <c r="F115" s="39">
        <v>535.13</v>
      </c>
      <c r="G115" s="8">
        <v>22</v>
      </c>
      <c r="H115" s="8">
        <v>1005.41</v>
      </c>
      <c r="I115" s="8">
        <v>52.5</v>
      </c>
      <c r="J115" s="8">
        <v>52.5</v>
      </c>
      <c r="K115" s="8" t="s">
        <v>91</v>
      </c>
      <c r="L115">
        <f t="shared" si="9"/>
        <v>7.0000000000000007E-2</v>
      </c>
      <c r="M115">
        <f>(1-L115)-(E115/100)*'Water column'!$B$26</f>
        <v>0.8194999999999999</v>
      </c>
      <c r="N115">
        <f t="shared" si="10"/>
        <v>931.95899999999995</v>
      </c>
    </row>
    <row r="116" spans="1:14">
      <c r="A116" s="21" t="s">
        <v>60</v>
      </c>
      <c r="B116" s="46">
        <v>3092019</v>
      </c>
      <c r="C116" s="47">
        <v>1025</v>
      </c>
      <c r="D116" s="39">
        <v>533.12</v>
      </c>
      <c r="E116" s="39">
        <v>150</v>
      </c>
      <c r="F116" s="39">
        <v>532.97</v>
      </c>
      <c r="G116" s="8">
        <v>22</v>
      </c>
      <c r="H116" s="8">
        <v>1005.41</v>
      </c>
      <c r="I116" s="8">
        <v>52.5</v>
      </c>
      <c r="J116" s="8">
        <v>52.5</v>
      </c>
      <c r="K116" s="8" t="s">
        <v>91</v>
      </c>
      <c r="L116">
        <f t="shared" si="9"/>
        <v>7.0000000000000007E-2</v>
      </c>
      <c r="M116">
        <f>(1-L116)-(E116/100)*'Water column'!$B$26</f>
        <v>0.83249999999999991</v>
      </c>
      <c r="N116">
        <f t="shared" si="10"/>
        <v>930.68499999999995</v>
      </c>
    </row>
    <row r="117" spans="1:14">
      <c r="A117" s="21" t="s">
        <v>61</v>
      </c>
      <c r="B117" s="46">
        <v>3092019</v>
      </c>
      <c r="C117" s="47">
        <v>1025</v>
      </c>
      <c r="D117" s="39">
        <v>535.77</v>
      </c>
      <c r="E117" s="39">
        <v>140</v>
      </c>
      <c r="F117" s="39">
        <v>535.64</v>
      </c>
      <c r="G117" s="8">
        <v>22</v>
      </c>
      <c r="H117" s="8">
        <v>1005.41</v>
      </c>
      <c r="I117" s="8">
        <v>52.5</v>
      </c>
      <c r="J117" s="8">
        <v>52.5</v>
      </c>
      <c r="K117" s="8" t="s">
        <v>91</v>
      </c>
      <c r="L117">
        <f t="shared" si="9"/>
        <v>7.0000000000000007E-2</v>
      </c>
      <c r="M117">
        <f>(1-L117)-(E117/100)*'Water column'!$B$26</f>
        <v>0.83899999999999997</v>
      </c>
      <c r="N117">
        <f t="shared" si="10"/>
        <v>930.048</v>
      </c>
    </row>
    <row r="118" spans="1:14">
      <c r="A118" s="21" t="s">
        <v>62</v>
      </c>
      <c r="B118" s="46">
        <v>3092019</v>
      </c>
      <c r="C118" s="47">
        <v>1031</v>
      </c>
      <c r="D118" s="39">
        <v>536.61</v>
      </c>
      <c r="E118" s="39">
        <v>160</v>
      </c>
      <c r="F118" s="39">
        <v>536.41999999999996</v>
      </c>
      <c r="G118" s="8">
        <v>22</v>
      </c>
      <c r="H118" s="8">
        <v>1005.41</v>
      </c>
      <c r="I118" s="8">
        <v>52.5</v>
      </c>
      <c r="J118" s="8">
        <v>52.5</v>
      </c>
      <c r="K118" s="8" t="s">
        <v>91</v>
      </c>
      <c r="L118">
        <f t="shared" si="9"/>
        <v>7.0000000000000007E-2</v>
      </c>
      <c r="M118">
        <f>(1-L118)-(E118/100)*'Water column'!$B$26</f>
        <v>0.82599999999999996</v>
      </c>
      <c r="N118">
        <f t="shared" si="10"/>
        <v>931.322</v>
      </c>
    </row>
    <row r="119" spans="1:14">
      <c r="A119" s="21" t="s">
        <v>63</v>
      </c>
      <c r="B119" s="46">
        <v>3092019</v>
      </c>
      <c r="C119" s="47">
        <v>1031</v>
      </c>
      <c r="D119" s="39">
        <v>540.38</v>
      </c>
      <c r="E119" s="39">
        <v>170</v>
      </c>
      <c r="F119" s="39">
        <v>540.16999999999996</v>
      </c>
      <c r="G119" s="8">
        <v>22</v>
      </c>
      <c r="H119" s="8">
        <v>1005.41</v>
      </c>
      <c r="I119" s="8">
        <v>52.5</v>
      </c>
      <c r="J119" s="8">
        <v>52.5</v>
      </c>
      <c r="K119" s="8" t="s">
        <v>91</v>
      </c>
      <c r="L119">
        <f t="shared" si="9"/>
        <v>7.0000000000000007E-2</v>
      </c>
      <c r="M119">
        <f>(1-L119)-(E119/100)*'Water column'!$B$26</f>
        <v>0.8194999999999999</v>
      </c>
      <c r="N119">
        <f t="shared" si="10"/>
        <v>931.95899999999995</v>
      </c>
    </row>
    <row r="120" spans="1:14">
      <c r="A120" s="21" t="s">
        <v>64</v>
      </c>
      <c r="B120" s="46">
        <v>3092019</v>
      </c>
      <c r="C120" s="47">
        <v>1031</v>
      </c>
      <c r="D120" s="39">
        <v>535.48</v>
      </c>
      <c r="E120" s="39">
        <v>95</v>
      </c>
      <c r="F120" s="39">
        <v>535.38</v>
      </c>
      <c r="G120" s="8">
        <v>22</v>
      </c>
      <c r="H120" s="8">
        <v>1005.41</v>
      </c>
      <c r="I120" s="8">
        <v>52.5</v>
      </c>
      <c r="J120" s="8">
        <v>52.5</v>
      </c>
      <c r="K120" s="8" t="s">
        <v>91</v>
      </c>
      <c r="L120">
        <f t="shared" si="9"/>
        <v>7.0000000000000007E-2</v>
      </c>
      <c r="M120">
        <f>(1-L120)-(E120/100)*'Water column'!$B$26</f>
        <v>0.86824999999999997</v>
      </c>
      <c r="N120">
        <f t="shared" si="10"/>
        <v>927.18149999999991</v>
      </c>
    </row>
    <row r="121" spans="1:14">
      <c r="A121" s="21" t="s">
        <v>65</v>
      </c>
      <c r="B121" s="46">
        <v>3092019</v>
      </c>
      <c r="C121" s="47">
        <v>1038</v>
      </c>
      <c r="D121" s="39">
        <v>547.25</v>
      </c>
      <c r="E121" s="39">
        <v>360</v>
      </c>
      <c r="F121" s="39">
        <v>546.88</v>
      </c>
      <c r="G121" s="8">
        <v>22</v>
      </c>
      <c r="H121" s="8">
        <v>1005.41</v>
      </c>
      <c r="I121" s="8">
        <v>52.5</v>
      </c>
      <c r="J121" s="8">
        <v>52.5</v>
      </c>
      <c r="K121" s="8" t="s">
        <v>91</v>
      </c>
      <c r="L121">
        <f t="shared" si="9"/>
        <v>7.0000000000000007E-2</v>
      </c>
      <c r="M121">
        <f>(1-L121)-(E121/100)*'Water column'!$B$26</f>
        <v>0.69599999999999995</v>
      </c>
      <c r="N121">
        <f t="shared" si="10"/>
        <v>944.06200000000001</v>
      </c>
    </row>
    <row r="122" spans="1:14">
      <c r="A122" s="21" t="s">
        <v>66</v>
      </c>
      <c r="B122" s="46">
        <v>3092019</v>
      </c>
      <c r="C122" s="47">
        <v>1038</v>
      </c>
      <c r="D122" s="39">
        <v>544.16999999999996</v>
      </c>
      <c r="E122" s="39">
        <v>240</v>
      </c>
      <c r="F122" s="39">
        <v>543.91999999999996</v>
      </c>
      <c r="G122" s="8">
        <v>22</v>
      </c>
      <c r="H122" s="8">
        <v>1005.41</v>
      </c>
      <c r="I122" s="8">
        <v>52.5</v>
      </c>
      <c r="J122" s="8">
        <v>52.5</v>
      </c>
      <c r="K122" s="8" t="s">
        <v>91</v>
      </c>
      <c r="L122">
        <f t="shared" si="9"/>
        <v>7.0000000000000007E-2</v>
      </c>
      <c r="M122">
        <f>(1-L122)-(E122/100)*'Water column'!$B$26</f>
        <v>0.77399999999999991</v>
      </c>
      <c r="N122">
        <f t="shared" si="10"/>
        <v>936.41800000000001</v>
      </c>
    </row>
    <row r="123" spans="1:14">
      <c r="A123" s="21" t="s">
        <v>67</v>
      </c>
      <c r="B123" s="46">
        <v>3092019</v>
      </c>
      <c r="C123" s="47">
        <v>1038</v>
      </c>
      <c r="D123" s="39">
        <v>543.29</v>
      </c>
      <c r="E123" s="39">
        <v>430</v>
      </c>
      <c r="F123" s="39">
        <v>542.84</v>
      </c>
      <c r="G123" s="8">
        <v>22</v>
      </c>
      <c r="H123" s="8">
        <v>1005.41</v>
      </c>
      <c r="I123" s="8">
        <v>52.5</v>
      </c>
      <c r="J123" s="8">
        <v>52.5</v>
      </c>
      <c r="K123" s="8" t="s">
        <v>91</v>
      </c>
      <c r="L123">
        <f t="shared" si="9"/>
        <v>7.0000000000000007E-2</v>
      </c>
      <c r="M123">
        <f>(1-L123)-(E123/100)*'Water column'!$B$26</f>
        <v>0.65049999999999997</v>
      </c>
      <c r="N123">
        <f t="shared" si="10"/>
        <v>948.52099999999996</v>
      </c>
    </row>
    <row r="124" spans="1:14">
      <c r="A124" s="21" t="s">
        <v>40</v>
      </c>
      <c r="B124" s="46">
        <v>3092019</v>
      </c>
      <c r="C124" s="47">
        <v>1114</v>
      </c>
      <c r="D124" s="39">
        <v>526.39</v>
      </c>
      <c r="E124" s="39">
        <v>40</v>
      </c>
      <c r="F124" s="39">
        <v>526.37</v>
      </c>
      <c r="G124" s="8">
        <v>22</v>
      </c>
      <c r="H124" s="8">
        <v>1005.41</v>
      </c>
      <c r="I124" s="8">
        <v>52.5</v>
      </c>
      <c r="J124" s="8">
        <v>52.5</v>
      </c>
      <c r="K124" s="8" t="s">
        <v>91</v>
      </c>
      <c r="L124">
        <f t="shared" si="9"/>
        <v>7.0000000000000007E-2</v>
      </c>
      <c r="M124">
        <f>(1-L124)-(E124/100)*'Water column'!$B$26</f>
        <v>0.90399999999999991</v>
      </c>
      <c r="N124">
        <f t="shared" si="10"/>
        <v>923.678</v>
      </c>
    </row>
    <row r="125" spans="1:14">
      <c r="A125" s="21" t="s">
        <v>72</v>
      </c>
      <c r="B125" s="46">
        <v>3092019</v>
      </c>
      <c r="C125" s="47">
        <v>1109</v>
      </c>
      <c r="D125" s="39">
        <v>528.08000000000004</v>
      </c>
      <c r="E125" s="39">
        <v>40</v>
      </c>
      <c r="F125" s="39">
        <v>528.05999999999995</v>
      </c>
      <c r="G125" s="8">
        <v>22</v>
      </c>
      <c r="H125" s="8">
        <v>1005.41</v>
      </c>
      <c r="I125" s="8">
        <v>52.5</v>
      </c>
      <c r="J125" s="8">
        <v>52.5</v>
      </c>
      <c r="K125" s="8" t="s">
        <v>91</v>
      </c>
      <c r="L125">
        <f t="shared" si="9"/>
        <v>7.0000000000000007E-2</v>
      </c>
      <c r="M125">
        <f>(1-L125)-(E125/100)*'Water column'!$B$26</f>
        <v>0.90399999999999991</v>
      </c>
      <c r="N125">
        <f t="shared" si="10"/>
        <v>923.678</v>
      </c>
    </row>
    <row r="126" spans="1:14">
      <c r="A126" s="21" t="s">
        <v>75</v>
      </c>
      <c r="B126" s="46">
        <v>3092019</v>
      </c>
      <c r="C126" s="47">
        <v>1109</v>
      </c>
      <c r="D126" s="39">
        <v>526.94000000000005</v>
      </c>
      <c r="E126" s="39">
        <v>40</v>
      </c>
      <c r="F126" s="39">
        <v>526.91</v>
      </c>
      <c r="G126" s="8">
        <v>22</v>
      </c>
      <c r="H126" s="8">
        <v>1005.41</v>
      </c>
      <c r="I126" s="8">
        <v>52.5</v>
      </c>
      <c r="J126" s="8">
        <v>52.5</v>
      </c>
      <c r="K126" s="8" t="s">
        <v>91</v>
      </c>
      <c r="L126">
        <f t="shared" si="9"/>
        <v>7.0000000000000007E-2</v>
      </c>
      <c r="M126">
        <f>(1-L126)-(E126/100)*'Water column'!$B$26</f>
        <v>0.90399999999999991</v>
      </c>
      <c r="N126">
        <f t="shared" si="10"/>
        <v>923.678</v>
      </c>
    </row>
    <row r="127" spans="1:14">
      <c r="A127" s="21" t="s">
        <v>76</v>
      </c>
      <c r="B127" s="46">
        <v>3092019</v>
      </c>
      <c r="C127" s="47">
        <v>1109</v>
      </c>
      <c r="D127" s="39">
        <v>524.88</v>
      </c>
      <c r="E127" s="39">
        <v>40</v>
      </c>
      <c r="F127" s="39">
        <v>524.86</v>
      </c>
      <c r="G127" s="8">
        <v>22</v>
      </c>
      <c r="H127" s="8">
        <v>1005.41</v>
      </c>
      <c r="I127" s="8">
        <v>52.5</v>
      </c>
      <c r="J127" s="8">
        <v>52.5</v>
      </c>
      <c r="K127" s="8" t="s">
        <v>91</v>
      </c>
      <c r="L127">
        <f t="shared" si="9"/>
        <v>7.0000000000000007E-2</v>
      </c>
      <c r="M127">
        <f>(1-L127)-(E127/100)*'Water column'!$B$26</f>
        <v>0.90399999999999991</v>
      </c>
      <c r="N127">
        <f t="shared" si="10"/>
        <v>923.678</v>
      </c>
    </row>
    <row r="128" spans="1:14">
      <c r="A128" s="21" t="s">
        <v>73</v>
      </c>
      <c r="B128" s="46">
        <v>3092019</v>
      </c>
      <c r="C128" s="47">
        <v>1045</v>
      </c>
      <c r="D128" s="39">
        <v>524.59</v>
      </c>
      <c r="E128" s="39">
        <v>190</v>
      </c>
      <c r="F128" s="39">
        <v>524.37</v>
      </c>
      <c r="G128" s="8">
        <v>22</v>
      </c>
      <c r="H128" s="8">
        <v>1005.41</v>
      </c>
      <c r="I128" s="8">
        <v>52.5</v>
      </c>
      <c r="J128" s="8">
        <v>52.5</v>
      </c>
      <c r="K128" s="8" t="s">
        <v>91</v>
      </c>
      <c r="L128">
        <f t="shared" si="9"/>
        <v>7.0000000000000007E-2</v>
      </c>
      <c r="M128">
        <f>(1-L128)-(E128/100)*'Water column'!$B$26</f>
        <v>0.80649999999999999</v>
      </c>
      <c r="N128">
        <f t="shared" si="10"/>
        <v>933.23299999999995</v>
      </c>
    </row>
    <row r="129" spans="1:14">
      <c r="A129" s="21" t="s">
        <v>77</v>
      </c>
      <c r="B129" s="46">
        <v>3092019</v>
      </c>
      <c r="C129" s="47">
        <v>1045</v>
      </c>
      <c r="D129" s="39">
        <v>527.1</v>
      </c>
      <c r="E129" s="39">
        <v>175</v>
      </c>
      <c r="F129" s="39">
        <v>526.9</v>
      </c>
      <c r="G129" s="8">
        <v>22</v>
      </c>
      <c r="H129" s="8">
        <v>1005.41</v>
      </c>
      <c r="I129" s="8">
        <v>52.5</v>
      </c>
      <c r="J129" s="8">
        <v>52.5</v>
      </c>
      <c r="K129" s="8" t="s">
        <v>91</v>
      </c>
      <c r="L129">
        <f t="shared" si="9"/>
        <v>7.0000000000000007E-2</v>
      </c>
      <c r="M129">
        <f>(1-L129)-(E129/100)*'Water column'!$B$26</f>
        <v>0.81624999999999992</v>
      </c>
      <c r="N129">
        <f t="shared" si="10"/>
        <v>932.27749999999992</v>
      </c>
    </row>
    <row r="130" spans="1:14">
      <c r="A130" s="21" t="s">
        <v>78</v>
      </c>
      <c r="B130" s="46">
        <v>3092019</v>
      </c>
      <c r="C130" s="47">
        <v>1045</v>
      </c>
      <c r="D130" s="39">
        <v>523.52</v>
      </c>
      <c r="E130" s="39">
        <v>205</v>
      </c>
      <c r="F130" s="39">
        <v>523.29</v>
      </c>
      <c r="G130" s="8">
        <v>22</v>
      </c>
      <c r="H130" s="8">
        <v>1005.41</v>
      </c>
      <c r="I130" s="8">
        <v>52.5</v>
      </c>
      <c r="J130" s="8">
        <v>52.5</v>
      </c>
      <c r="K130" s="8" t="s">
        <v>91</v>
      </c>
      <c r="L130">
        <f t="shared" si="9"/>
        <v>7.0000000000000007E-2</v>
      </c>
      <c r="M130">
        <f>(1-L130)-(E130/100)*'Water column'!$B$26</f>
        <v>0.79674999999999996</v>
      </c>
      <c r="N130">
        <f t="shared" si="10"/>
        <v>934.18849999999998</v>
      </c>
    </row>
    <row r="131" spans="1:14">
      <c r="A131" s="21" t="s">
        <v>74</v>
      </c>
      <c r="B131" s="46">
        <v>3092019</v>
      </c>
      <c r="C131" s="47">
        <v>1102</v>
      </c>
      <c r="D131" s="39">
        <v>543.38</v>
      </c>
      <c r="E131" s="39">
        <v>130</v>
      </c>
      <c r="F131" s="39">
        <v>543.25</v>
      </c>
      <c r="G131" s="8">
        <v>22</v>
      </c>
      <c r="H131" s="8">
        <v>1005.41</v>
      </c>
      <c r="I131" s="8">
        <v>52.5</v>
      </c>
      <c r="J131" s="8">
        <v>52.5</v>
      </c>
      <c r="K131" s="8" t="s">
        <v>91</v>
      </c>
      <c r="L131">
        <f t="shared" si="9"/>
        <v>7.0000000000000007E-2</v>
      </c>
      <c r="M131">
        <f>(1-L131)-(E131/100)*'Water column'!$B$26</f>
        <v>0.84549999999999992</v>
      </c>
      <c r="N131">
        <f t="shared" si="10"/>
        <v>929.41099999999994</v>
      </c>
    </row>
    <row r="132" spans="1:14">
      <c r="A132" s="21" t="s">
        <v>79</v>
      </c>
      <c r="B132" s="46">
        <v>3092019</v>
      </c>
      <c r="C132" s="47">
        <v>1102</v>
      </c>
      <c r="D132" s="39">
        <v>536.66</v>
      </c>
      <c r="E132" s="39">
        <v>130</v>
      </c>
      <c r="F132" s="39">
        <v>536.52</v>
      </c>
      <c r="G132" s="8">
        <v>22</v>
      </c>
      <c r="H132" s="8">
        <v>1005.41</v>
      </c>
      <c r="I132" s="8">
        <v>52.5</v>
      </c>
      <c r="J132" s="8">
        <v>52.5</v>
      </c>
      <c r="K132" s="8" t="s">
        <v>91</v>
      </c>
      <c r="L132">
        <f t="shared" si="9"/>
        <v>7.0000000000000007E-2</v>
      </c>
      <c r="M132">
        <f>(1-L132)-(E132/100)*'Water column'!$B$26</f>
        <v>0.84549999999999992</v>
      </c>
      <c r="N132">
        <f t="shared" si="10"/>
        <v>929.41099999999994</v>
      </c>
    </row>
    <row r="133" spans="1:14">
      <c r="A133" s="6" t="s">
        <v>80</v>
      </c>
      <c r="B133" s="46">
        <v>3092019</v>
      </c>
      <c r="C133" s="31">
        <v>1102</v>
      </c>
      <c r="D133" s="6">
        <v>534.77</v>
      </c>
      <c r="E133" s="6">
        <v>180</v>
      </c>
      <c r="F133" s="6">
        <v>534.58000000000004</v>
      </c>
      <c r="G133" s="8">
        <v>22</v>
      </c>
      <c r="H133" s="8">
        <v>1005.41</v>
      </c>
      <c r="I133" s="8">
        <v>52.5</v>
      </c>
      <c r="J133" s="8">
        <v>52.5</v>
      </c>
      <c r="K133" s="8" t="s">
        <v>91</v>
      </c>
      <c r="L133">
        <f t="shared" si="9"/>
        <v>7.0000000000000007E-2</v>
      </c>
      <c r="M133">
        <f>(1-L133)-(E133/100)*'Water column'!$B$26</f>
        <v>0.81299999999999994</v>
      </c>
      <c r="N133">
        <f t="shared" si="10"/>
        <v>932.596</v>
      </c>
    </row>
    <row r="134" spans="1:14">
      <c r="A134" s="8" t="s">
        <v>93</v>
      </c>
      <c r="B134" s="8">
        <v>5092019</v>
      </c>
      <c r="C134" s="8">
        <v>1020</v>
      </c>
      <c r="D134" s="8">
        <v>527.24</v>
      </c>
      <c r="E134" s="6" t="s">
        <v>22</v>
      </c>
      <c r="F134" s="8">
        <v>527.23</v>
      </c>
      <c r="G134" s="8">
        <v>20.5</v>
      </c>
      <c r="H134" s="8">
        <v>998.37</v>
      </c>
      <c r="I134" s="8">
        <v>52.5</v>
      </c>
      <c r="J134" s="8">
        <v>52.5</v>
      </c>
      <c r="K134" s="8" t="s">
        <v>91</v>
      </c>
      <c r="L134">
        <f t="shared" si="9"/>
        <v>7.0000000000000007E-2</v>
      </c>
      <c r="M134" t="s">
        <v>22</v>
      </c>
      <c r="N134" t="s">
        <v>22</v>
      </c>
    </row>
    <row r="135" spans="1:14">
      <c r="A135" s="8" t="s">
        <v>94</v>
      </c>
      <c r="B135" s="8">
        <v>5092019</v>
      </c>
      <c r="C135" s="8">
        <v>1020</v>
      </c>
      <c r="D135" s="8">
        <v>528.13</v>
      </c>
      <c r="E135" s="6" t="s">
        <v>22</v>
      </c>
      <c r="F135" s="8">
        <v>528.14</v>
      </c>
      <c r="G135" s="8">
        <v>20.5</v>
      </c>
      <c r="H135" s="8">
        <v>998.37</v>
      </c>
      <c r="I135" s="8">
        <v>52.5</v>
      </c>
      <c r="J135" s="8">
        <v>52.5</v>
      </c>
      <c r="K135" s="8" t="s">
        <v>91</v>
      </c>
      <c r="L135">
        <f t="shared" ref="L135:L198" si="12">$L$5</f>
        <v>7.0000000000000007E-2</v>
      </c>
      <c r="M135" t="s">
        <v>22</v>
      </c>
      <c r="N135" t="s">
        <v>22</v>
      </c>
    </row>
    <row r="136" spans="1:14">
      <c r="A136" s="21" t="s">
        <v>59</v>
      </c>
      <c r="B136" s="46">
        <v>5092019</v>
      </c>
      <c r="C136" s="47">
        <v>1023</v>
      </c>
      <c r="D136" s="39">
        <v>535.1</v>
      </c>
      <c r="E136" s="39">
        <v>70</v>
      </c>
      <c r="F136" s="39">
        <v>535.03</v>
      </c>
      <c r="G136" s="8">
        <v>20.5</v>
      </c>
      <c r="H136" s="8">
        <v>998.37</v>
      </c>
      <c r="I136" s="8">
        <v>52.5</v>
      </c>
      <c r="J136" s="8">
        <v>52.5</v>
      </c>
      <c r="K136" s="8" t="s">
        <v>91</v>
      </c>
      <c r="L136">
        <f t="shared" si="12"/>
        <v>7.0000000000000007E-2</v>
      </c>
      <c r="M136">
        <f>(1-L136)-(E136/100)*'Water column'!$B$26</f>
        <v>0.88449999999999995</v>
      </c>
      <c r="N136">
        <f t="shared" ref="N136:N154" si="13">H136-(M136-L136)*98</f>
        <v>918.54899999999998</v>
      </c>
    </row>
    <row r="137" spans="1:14">
      <c r="A137" s="21" t="s">
        <v>60</v>
      </c>
      <c r="B137" s="46">
        <v>5092019</v>
      </c>
      <c r="C137" s="47">
        <v>1023</v>
      </c>
      <c r="D137" s="39">
        <v>532.97</v>
      </c>
      <c r="E137" s="39">
        <v>70</v>
      </c>
      <c r="F137" s="39">
        <v>532.9</v>
      </c>
      <c r="G137" s="8">
        <v>20.5</v>
      </c>
      <c r="H137" s="8">
        <v>998.37</v>
      </c>
      <c r="I137" s="8">
        <v>52.5</v>
      </c>
      <c r="J137" s="8">
        <v>52.5</v>
      </c>
      <c r="K137" s="8" t="s">
        <v>91</v>
      </c>
      <c r="L137">
        <f t="shared" si="12"/>
        <v>7.0000000000000007E-2</v>
      </c>
      <c r="M137">
        <f>(1-L137)-(E137/100)*'Water column'!$B$26</f>
        <v>0.88449999999999995</v>
      </c>
      <c r="N137">
        <f t="shared" si="13"/>
        <v>918.54899999999998</v>
      </c>
    </row>
    <row r="138" spans="1:14">
      <c r="A138" s="21" t="s">
        <v>61</v>
      </c>
      <c r="B138" s="46">
        <v>5092019</v>
      </c>
      <c r="C138" s="47">
        <v>1023</v>
      </c>
      <c r="D138" s="39">
        <v>535.62</v>
      </c>
      <c r="E138" s="39">
        <v>80</v>
      </c>
      <c r="F138" s="39">
        <v>535.55999999999995</v>
      </c>
      <c r="G138" s="8">
        <v>20.5</v>
      </c>
      <c r="H138" s="8">
        <v>998.37</v>
      </c>
      <c r="I138" s="8">
        <v>52.5</v>
      </c>
      <c r="J138" s="8">
        <v>52.5</v>
      </c>
      <c r="K138" s="8" t="s">
        <v>91</v>
      </c>
      <c r="L138">
        <f t="shared" si="12"/>
        <v>7.0000000000000007E-2</v>
      </c>
      <c r="M138">
        <f>(1-L138)-(E138/100)*'Water column'!$B$26</f>
        <v>0.87799999999999989</v>
      </c>
      <c r="N138">
        <f t="shared" si="13"/>
        <v>919.18600000000004</v>
      </c>
    </row>
    <row r="139" spans="1:14">
      <c r="A139" s="21" t="s">
        <v>62</v>
      </c>
      <c r="B139" s="46">
        <v>5092019</v>
      </c>
      <c r="C139" s="47">
        <v>1031</v>
      </c>
      <c r="D139" s="39">
        <v>536.42999999999995</v>
      </c>
      <c r="E139" s="39">
        <v>100</v>
      </c>
      <c r="F139" s="39">
        <v>536.34</v>
      </c>
      <c r="G139" s="8">
        <v>20.5</v>
      </c>
      <c r="H139" s="8">
        <v>998.37</v>
      </c>
      <c r="I139" s="8">
        <v>52.5</v>
      </c>
      <c r="J139" s="8">
        <v>52.5</v>
      </c>
      <c r="K139" s="8" t="s">
        <v>91</v>
      </c>
      <c r="L139">
        <f t="shared" si="12"/>
        <v>7.0000000000000007E-2</v>
      </c>
      <c r="M139">
        <f>(1-L139)-(E139/100)*'Water column'!$B$26</f>
        <v>0.86499999999999999</v>
      </c>
      <c r="N139">
        <f t="shared" si="13"/>
        <v>920.46</v>
      </c>
    </row>
    <row r="140" spans="1:14">
      <c r="A140" s="21" t="s">
        <v>63</v>
      </c>
      <c r="B140" s="46">
        <v>5092019</v>
      </c>
      <c r="C140" s="47">
        <v>1031</v>
      </c>
      <c r="D140" s="39">
        <v>540.19000000000005</v>
      </c>
      <c r="E140" s="39">
        <v>90</v>
      </c>
      <c r="F140" s="39">
        <v>540.07000000000005</v>
      </c>
      <c r="G140" s="8">
        <v>20.5</v>
      </c>
      <c r="H140" s="8">
        <v>998.37</v>
      </c>
      <c r="I140" s="8">
        <v>52.5</v>
      </c>
      <c r="J140" s="8">
        <v>52.5</v>
      </c>
      <c r="K140" s="8" t="s">
        <v>91</v>
      </c>
      <c r="L140">
        <f t="shared" si="12"/>
        <v>7.0000000000000007E-2</v>
      </c>
      <c r="M140">
        <f>(1-L140)-(E140/100)*'Water column'!$B$26</f>
        <v>0.87149999999999994</v>
      </c>
      <c r="N140">
        <f t="shared" si="13"/>
        <v>919.82299999999998</v>
      </c>
    </row>
    <row r="141" spans="1:14">
      <c r="A141" s="21" t="s">
        <v>64</v>
      </c>
      <c r="B141" s="46">
        <v>5092019</v>
      </c>
      <c r="C141" s="47">
        <v>1031</v>
      </c>
      <c r="D141" s="39">
        <v>535.37</v>
      </c>
      <c r="E141" s="39">
        <v>60</v>
      </c>
      <c r="F141" s="39">
        <v>535.29999999999995</v>
      </c>
      <c r="G141" s="8">
        <v>20.5</v>
      </c>
      <c r="H141" s="8">
        <v>998.37</v>
      </c>
      <c r="I141" s="8">
        <v>52.5</v>
      </c>
      <c r="J141" s="8">
        <v>52.5</v>
      </c>
      <c r="K141" s="8" t="s">
        <v>91</v>
      </c>
      <c r="L141">
        <f t="shared" si="12"/>
        <v>7.0000000000000007E-2</v>
      </c>
      <c r="M141">
        <f>(1-L141)-(E141/100)*'Water column'!$B$26</f>
        <v>0.8909999999999999</v>
      </c>
      <c r="N141">
        <f t="shared" si="13"/>
        <v>917.91200000000003</v>
      </c>
    </row>
    <row r="142" spans="1:14">
      <c r="A142" s="21" t="s">
        <v>65</v>
      </c>
      <c r="B142" s="46">
        <v>5092019</v>
      </c>
      <c r="C142" s="47">
        <v>1038</v>
      </c>
      <c r="D142" s="39">
        <v>546.78</v>
      </c>
      <c r="E142" s="39">
        <v>125</v>
      </c>
      <c r="F142" s="39">
        <v>546.65</v>
      </c>
      <c r="G142" s="8">
        <v>20.5</v>
      </c>
      <c r="H142" s="8">
        <v>998.37</v>
      </c>
      <c r="I142" s="8">
        <v>52.5</v>
      </c>
      <c r="J142" s="8">
        <v>52.5</v>
      </c>
      <c r="K142" s="8" t="s">
        <v>91</v>
      </c>
      <c r="L142">
        <f t="shared" si="12"/>
        <v>7.0000000000000007E-2</v>
      </c>
      <c r="M142">
        <f>(1-L142)-(E142/100)*'Water column'!$B$26</f>
        <v>0.84874999999999989</v>
      </c>
      <c r="N142">
        <f t="shared" si="13"/>
        <v>922.05250000000001</v>
      </c>
    </row>
    <row r="143" spans="1:14">
      <c r="A143" s="21" t="s">
        <v>66</v>
      </c>
      <c r="B143" s="46">
        <v>5092019</v>
      </c>
      <c r="C143" s="47">
        <v>1038</v>
      </c>
      <c r="D143" s="39">
        <v>543.88</v>
      </c>
      <c r="E143" s="39">
        <v>135</v>
      </c>
      <c r="F143" s="39">
        <v>543.73</v>
      </c>
      <c r="G143" s="8">
        <v>20.5</v>
      </c>
      <c r="H143" s="8">
        <v>998.37</v>
      </c>
      <c r="I143" s="8">
        <v>52.5</v>
      </c>
      <c r="J143" s="8">
        <v>52.5</v>
      </c>
      <c r="K143" s="8" t="s">
        <v>91</v>
      </c>
      <c r="L143">
        <f t="shared" si="12"/>
        <v>7.0000000000000007E-2</v>
      </c>
      <c r="M143">
        <f>(1-L143)-(E143/100)*'Water column'!$B$26</f>
        <v>0.84224999999999994</v>
      </c>
      <c r="N143">
        <f t="shared" si="13"/>
        <v>922.68949999999995</v>
      </c>
    </row>
    <row r="144" spans="1:14">
      <c r="A144" s="21" t="s">
        <v>67</v>
      </c>
      <c r="B144" s="46">
        <v>5092019</v>
      </c>
      <c r="C144" s="47">
        <v>1038</v>
      </c>
      <c r="D144" s="39">
        <v>542.84</v>
      </c>
      <c r="E144" s="39">
        <v>200</v>
      </c>
      <c r="F144" s="39">
        <v>542.61</v>
      </c>
      <c r="G144" s="8">
        <v>20.5</v>
      </c>
      <c r="H144" s="8">
        <v>998.37</v>
      </c>
      <c r="I144" s="8">
        <v>52.5</v>
      </c>
      <c r="J144" s="8">
        <v>52.5</v>
      </c>
      <c r="K144" s="8" t="s">
        <v>91</v>
      </c>
      <c r="L144">
        <f t="shared" si="12"/>
        <v>7.0000000000000007E-2</v>
      </c>
      <c r="M144">
        <f>(1-L144)-(E144/100)*'Water column'!$B$26</f>
        <v>0.79999999999999993</v>
      </c>
      <c r="N144">
        <f t="shared" si="13"/>
        <v>926.83</v>
      </c>
    </row>
    <row r="145" spans="1:14">
      <c r="A145" s="21" t="s">
        <v>40</v>
      </c>
      <c r="B145" s="46">
        <v>5092019</v>
      </c>
      <c r="C145" s="47">
        <v>1044</v>
      </c>
      <c r="D145" s="39">
        <v>526.4</v>
      </c>
      <c r="E145" s="39">
        <v>40</v>
      </c>
      <c r="F145" s="39">
        <v>526.35</v>
      </c>
      <c r="G145" s="8">
        <v>20.5</v>
      </c>
      <c r="H145" s="8">
        <v>998.37</v>
      </c>
      <c r="I145" s="8">
        <v>52.5</v>
      </c>
      <c r="J145" s="8">
        <v>52.5</v>
      </c>
      <c r="K145" s="8" t="s">
        <v>91</v>
      </c>
      <c r="L145">
        <f t="shared" si="12"/>
        <v>7.0000000000000007E-2</v>
      </c>
      <c r="M145">
        <f>(1-L145)-(E145/100)*'Water column'!$B$26</f>
        <v>0.90399999999999991</v>
      </c>
      <c r="N145">
        <f t="shared" si="13"/>
        <v>916.63800000000003</v>
      </c>
    </row>
    <row r="146" spans="1:14">
      <c r="A146" s="21" t="s">
        <v>72</v>
      </c>
      <c r="B146" s="46">
        <v>5092019</v>
      </c>
      <c r="C146" s="47">
        <v>1052</v>
      </c>
      <c r="D146" s="39">
        <v>528.07000000000005</v>
      </c>
      <c r="E146" s="39">
        <v>50</v>
      </c>
      <c r="F146" s="39">
        <v>528</v>
      </c>
      <c r="G146" s="8">
        <v>20.5</v>
      </c>
      <c r="H146" s="8">
        <v>998.37</v>
      </c>
      <c r="I146" s="8">
        <v>52.5</v>
      </c>
      <c r="J146" s="8">
        <v>52.5</v>
      </c>
      <c r="K146" s="8" t="s">
        <v>91</v>
      </c>
      <c r="L146">
        <f t="shared" si="12"/>
        <v>7.0000000000000007E-2</v>
      </c>
      <c r="M146">
        <f>(1-L146)-(E146/100)*'Water column'!$B$26</f>
        <v>0.89749999999999996</v>
      </c>
      <c r="N146">
        <f t="shared" si="13"/>
        <v>917.27499999999998</v>
      </c>
    </row>
    <row r="147" spans="1:14">
      <c r="A147" s="21" t="s">
        <v>75</v>
      </c>
      <c r="B147" s="46">
        <v>5092019</v>
      </c>
      <c r="C147" s="47">
        <v>1052</v>
      </c>
      <c r="D147" s="39">
        <v>526.9</v>
      </c>
      <c r="E147" s="39">
        <v>40</v>
      </c>
      <c r="F147" s="39">
        <v>526.85</v>
      </c>
      <c r="G147" s="8">
        <v>20.5</v>
      </c>
      <c r="H147" s="8">
        <v>998.37</v>
      </c>
      <c r="I147" s="8">
        <v>52.5</v>
      </c>
      <c r="J147" s="8">
        <v>52.5</v>
      </c>
      <c r="K147" s="8" t="s">
        <v>91</v>
      </c>
      <c r="L147">
        <f t="shared" si="12"/>
        <v>7.0000000000000007E-2</v>
      </c>
      <c r="M147">
        <f>(1-L147)-(E147/100)*'Water column'!$B$26</f>
        <v>0.90399999999999991</v>
      </c>
      <c r="N147">
        <f t="shared" si="13"/>
        <v>916.63800000000003</v>
      </c>
    </row>
    <row r="148" spans="1:14">
      <c r="A148" s="21" t="s">
        <v>76</v>
      </c>
      <c r="B148" s="46">
        <v>5092019</v>
      </c>
      <c r="C148" s="47">
        <v>1052</v>
      </c>
      <c r="D148" s="39">
        <v>524.86</v>
      </c>
      <c r="E148" s="39">
        <v>40</v>
      </c>
      <c r="F148" s="39">
        <v>524.79</v>
      </c>
      <c r="G148" s="8">
        <v>20.5</v>
      </c>
      <c r="H148" s="8">
        <v>998.37</v>
      </c>
      <c r="I148" s="8">
        <v>52.5</v>
      </c>
      <c r="J148" s="8">
        <v>52.5</v>
      </c>
      <c r="K148" s="8" t="s">
        <v>91</v>
      </c>
      <c r="L148">
        <f t="shared" si="12"/>
        <v>7.0000000000000007E-2</v>
      </c>
      <c r="M148">
        <f>(1-L148)-(E148/100)*'Water column'!$B$26</f>
        <v>0.90399999999999991</v>
      </c>
      <c r="N148">
        <f t="shared" si="13"/>
        <v>916.63800000000003</v>
      </c>
    </row>
    <row r="149" spans="1:14">
      <c r="A149" s="21" t="s">
        <v>73</v>
      </c>
      <c r="B149" s="46">
        <v>5092019</v>
      </c>
      <c r="C149" s="47">
        <v>1104</v>
      </c>
      <c r="D149" s="39">
        <v>524.37</v>
      </c>
      <c r="E149" s="39">
        <v>110</v>
      </c>
      <c r="F149" s="39">
        <v>524.26</v>
      </c>
      <c r="G149" s="8">
        <v>20.5</v>
      </c>
      <c r="H149" s="8">
        <v>998.37</v>
      </c>
      <c r="I149" s="8">
        <v>52.5</v>
      </c>
      <c r="J149" s="8">
        <v>52.5</v>
      </c>
      <c r="K149" s="8" t="s">
        <v>91</v>
      </c>
      <c r="L149">
        <f t="shared" si="12"/>
        <v>7.0000000000000007E-2</v>
      </c>
      <c r="M149">
        <f>(1-L149)-(E149/100)*'Water column'!$B$26</f>
        <v>0.85849999999999993</v>
      </c>
      <c r="N149">
        <f t="shared" si="13"/>
        <v>921.09699999999998</v>
      </c>
    </row>
    <row r="150" spans="1:14">
      <c r="A150" s="21" t="s">
        <v>77</v>
      </c>
      <c r="B150" s="46">
        <v>5092019</v>
      </c>
      <c r="C150" s="47">
        <v>1104</v>
      </c>
      <c r="D150" s="39">
        <v>526.9</v>
      </c>
      <c r="E150" s="39">
        <v>110</v>
      </c>
      <c r="F150" s="39">
        <v>526.79</v>
      </c>
      <c r="G150" s="8">
        <v>20.5</v>
      </c>
      <c r="H150" s="8">
        <v>998.37</v>
      </c>
      <c r="I150" s="8">
        <v>52.5</v>
      </c>
      <c r="J150" s="8">
        <v>52.5</v>
      </c>
      <c r="K150" s="8" t="s">
        <v>91</v>
      </c>
      <c r="L150">
        <f t="shared" si="12"/>
        <v>7.0000000000000007E-2</v>
      </c>
      <c r="M150">
        <f>(1-L150)-(E150/100)*'Water column'!$B$26</f>
        <v>0.85849999999999993</v>
      </c>
      <c r="N150">
        <f t="shared" si="13"/>
        <v>921.09699999999998</v>
      </c>
    </row>
    <row r="151" spans="1:14">
      <c r="A151" s="21" t="s">
        <v>78</v>
      </c>
      <c r="B151" s="46">
        <v>5092019</v>
      </c>
      <c r="C151" s="47">
        <v>1104</v>
      </c>
      <c r="D151" s="39">
        <v>523.26</v>
      </c>
      <c r="E151" s="39">
        <v>90</v>
      </c>
      <c r="F151" s="39">
        <v>523.17999999999995</v>
      </c>
      <c r="G151" s="8">
        <v>20.5</v>
      </c>
      <c r="H151" s="8">
        <v>998.37</v>
      </c>
      <c r="I151" s="8">
        <v>52.5</v>
      </c>
      <c r="J151" s="8">
        <v>52.5</v>
      </c>
      <c r="K151" s="8" t="s">
        <v>91</v>
      </c>
      <c r="L151">
        <f t="shared" si="12"/>
        <v>7.0000000000000007E-2</v>
      </c>
      <c r="M151">
        <f>(1-L151)-(E151/100)*'Water column'!$B$26</f>
        <v>0.87149999999999994</v>
      </c>
      <c r="N151">
        <f t="shared" si="13"/>
        <v>919.82299999999998</v>
      </c>
    </row>
    <row r="152" spans="1:14">
      <c r="A152" s="21" t="s">
        <v>74</v>
      </c>
      <c r="B152" s="46">
        <v>5092019</v>
      </c>
      <c r="C152" s="47">
        <v>1058</v>
      </c>
      <c r="D152" s="39">
        <v>543.24</v>
      </c>
      <c r="E152" s="39">
        <v>90</v>
      </c>
      <c r="F152" s="39">
        <v>543.16</v>
      </c>
      <c r="G152" s="8">
        <v>20.5</v>
      </c>
      <c r="H152" s="8">
        <v>998.37</v>
      </c>
      <c r="I152" s="8">
        <v>52.5</v>
      </c>
      <c r="J152" s="8">
        <v>52.5</v>
      </c>
      <c r="K152" s="8" t="s">
        <v>91</v>
      </c>
      <c r="L152">
        <f t="shared" si="12"/>
        <v>7.0000000000000007E-2</v>
      </c>
      <c r="M152">
        <f>(1-L152)-(E152/100)*'Water column'!$B$26</f>
        <v>0.87149999999999994</v>
      </c>
      <c r="N152">
        <f t="shared" si="13"/>
        <v>919.82299999999998</v>
      </c>
    </row>
    <row r="153" spans="1:14">
      <c r="A153" s="21" t="s">
        <v>79</v>
      </c>
      <c r="B153" s="46">
        <v>5092019</v>
      </c>
      <c r="C153" s="47">
        <v>1058</v>
      </c>
      <c r="D153" s="39">
        <v>536.45000000000005</v>
      </c>
      <c r="E153" s="39">
        <v>60</v>
      </c>
      <c r="F153" s="39">
        <v>536.4</v>
      </c>
      <c r="G153" s="8">
        <v>20.5</v>
      </c>
      <c r="H153" s="8">
        <v>998.37</v>
      </c>
      <c r="I153" s="8">
        <v>52.5</v>
      </c>
      <c r="J153" s="8">
        <v>52.5</v>
      </c>
      <c r="K153" s="8" t="s">
        <v>91</v>
      </c>
      <c r="L153">
        <f t="shared" si="12"/>
        <v>7.0000000000000007E-2</v>
      </c>
      <c r="M153">
        <f>(1-L153)-(E153/100)*'Water column'!$B$26</f>
        <v>0.8909999999999999</v>
      </c>
      <c r="N153">
        <f t="shared" si="13"/>
        <v>917.91200000000003</v>
      </c>
    </row>
    <row r="154" spans="1:14">
      <c r="A154" s="6" t="s">
        <v>80</v>
      </c>
      <c r="B154" s="46">
        <v>5092019</v>
      </c>
      <c r="C154" s="31">
        <v>1058</v>
      </c>
      <c r="D154" s="6">
        <v>534.59</v>
      </c>
      <c r="E154" s="6">
        <v>110</v>
      </c>
      <c r="F154" s="6">
        <v>534.48</v>
      </c>
      <c r="G154" s="8">
        <v>20.5</v>
      </c>
      <c r="H154" s="8">
        <v>998.37</v>
      </c>
      <c r="I154" s="8">
        <v>52.5</v>
      </c>
      <c r="J154" s="8">
        <v>52.5</v>
      </c>
      <c r="K154" s="8" t="s">
        <v>91</v>
      </c>
      <c r="L154">
        <f t="shared" si="12"/>
        <v>7.0000000000000007E-2</v>
      </c>
      <c r="M154">
        <f>(1-L154)-(E154/100)*'Water column'!$B$26</f>
        <v>0.85849999999999993</v>
      </c>
      <c r="N154">
        <f t="shared" si="13"/>
        <v>921.09699999999998</v>
      </c>
    </row>
    <row r="155" spans="1:14">
      <c r="A155" s="8" t="s">
        <v>93</v>
      </c>
      <c r="B155" s="8">
        <v>10092019</v>
      </c>
      <c r="C155" s="8">
        <v>1012</v>
      </c>
      <c r="D155" s="8">
        <v>527.21</v>
      </c>
      <c r="E155" s="6" t="s">
        <v>22</v>
      </c>
      <c r="F155" s="8">
        <v>527.21</v>
      </c>
      <c r="G155" s="8">
        <v>20</v>
      </c>
      <c r="H155" s="8">
        <v>1002.37</v>
      </c>
      <c r="I155" s="8">
        <v>52.5</v>
      </c>
      <c r="J155" s="8">
        <v>52.5</v>
      </c>
      <c r="K155" s="8" t="s">
        <v>91</v>
      </c>
      <c r="L155">
        <f t="shared" si="12"/>
        <v>7.0000000000000007E-2</v>
      </c>
      <c r="M155" t="s">
        <v>22</v>
      </c>
      <c r="N155" t="s">
        <v>22</v>
      </c>
    </row>
    <row r="156" spans="1:14">
      <c r="A156" s="8" t="s">
        <v>94</v>
      </c>
      <c r="B156" s="8">
        <v>10092019</v>
      </c>
      <c r="C156" s="8">
        <v>1012</v>
      </c>
      <c r="D156" s="8">
        <v>528.11</v>
      </c>
      <c r="E156" s="6" t="s">
        <v>22</v>
      </c>
      <c r="F156" s="8">
        <v>528.11</v>
      </c>
      <c r="G156" s="8">
        <v>20</v>
      </c>
      <c r="H156" s="8">
        <v>1002.37</v>
      </c>
      <c r="I156" s="8">
        <v>52.5</v>
      </c>
      <c r="J156" s="8">
        <v>52.5</v>
      </c>
      <c r="K156" s="8" t="s">
        <v>91</v>
      </c>
      <c r="L156">
        <f t="shared" si="12"/>
        <v>7.0000000000000007E-2</v>
      </c>
      <c r="M156" t="s">
        <v>22</v>
      </c>
      <c r="N156" t="s">
        <v>22</v>
      </c>
    </row>
    <row r="157" spans="1:14">
      <c r="A157" s="21" t="s">
        <v>59</v>
      </c>
      <c r="B157" s="8">
        <v>10092019</v>
      </c>
      <c r="C157" s="47">
        <v>1133</v>
      </c>
      <c r="D157" s="39">
        <v>534.86</v>
      </c>
      <c r="E157" s="39">
        <v>90</v>
      </c>
      <c r="F157" s="39">
        <v>534.77</v>
      </c>
      <c r="G157" s="8">
        <v>20</v>
      </c>
      <c r="H157" s="8">
        <v>1002.37</v>
      </c>
      <c r="I157" s="8">
        <v>52.5</v>
      </c>
      <c r="J157" s="8">
        <v>52.5</v>
      </c>
      <c r="K157" s="8" t="s">
        <v>82</v>
      </c>
      <c r="L157">
        <f t="shared" si="12"/>
        <v>7.0000000000000007E-2</v>
      </c>
      <c r="M157">
        <f>(1-L157)-(E157/100)*'Water column'!$B$26</f>
        <v>0.87149999999999994</v>
      </c>
      <c r="N157">
        <f t="shared" ref="N157:N175" si="14">H157-(M157-L157)*98</f>
        <v>923.82299999999998</v>
      </c>
    </row>
    <row r="158" spans="1:14">
      <c r="A158" s="21" t="s">
        <v>60</v>
      </c>
      <c r="B158" s="8">
        <v>10092019</v>
      </c>
      <c r="C158" s="47">
        <v>1133</v>
      </c>
      <c r="D158" s="39">
        <v>532.76</v>
      </c>
      <c r="E158" s="39">
        <v>110</v>
      </c>
      <c r="F158" s="39">
        <v>532.66</v>
      </c>
      <c r="G158" s="8">
        <v>20</v>
      </c>
      <c r="H158" s="8">
        <v>1002.37</v>
      </c>
      <c r="I158" s="8">
        <v>52.5</v>
      </c>
      <c r="J158" s="8">
        <v>52.5</v>
      </c>
      <c r="K158" s="8" t="s">
        <v>82</v>
      </c>
      <c r="L158">
        <f t="shared" si="12"/>
        <v>7.0000000000000007E-2</v>
      </c>
      <c r="M158">
        <f>(1-L158)-(E158/100)*'Water column'!$B$26</f>
        <v>0.85849999999999993</v>
      </c>
      <c r="N158">
        <f t="shared" si="14"/>
        <v>925.09699999999998</v>
      </c>
    </row>
    <row r="159" spans="1:14">
      <c r="A159" s="21" t="s">
        <v>61</v>
      </c>
      <c r="B159" s="8">
        <v>10092019</v>
      </c>
      <c r="C159" s="47">
        <v>1133</v>
      </c>
      <c r="D159" s="39">
        <v>535.44000000000005</v>
      </c>
      <c r="E159" s="39">
        <v>105</v>
      </c>
      <c r="F159" s="39">
        <v>535.33000000000004</v>
      </c>
      <c r="G159" s="8">
        <v>20</v>
      </c>
      <c r="H159" s="8">
        <v>1002.37</v>
      </c>
      <c r="I159" s="8">
        <v>52.5</v>
      </c>
      <c r="J159" s="8">
        <v>52.5</v>
      </c>
      <c r="K159" s="8" t="s">
        <v>82</v>
      </c>
      <c r="L159">
        <f t="shared" si="12"/>
        <v>7.0000000000000007E-2</v>
      </c>
      <c r="M159">
        <f>(1-L159)-(E159/100)*'Water column'!$B$26</f>
        <v>0.8617499999999999</v>
      </c>
      <c r="N159">
        <f t="shared" si="14"/>
        <v>924.77850000000001</v>
      </c>
    </row>
    <row r="160" spans="1:14">
      <c r="A160" s="21" t="s">
        <v>62</v>
      </c>
      <c r="B160" s="8">
        <v>10092019</v>
      </c>
      <c r="C160" s="47">
        <v>1030</v>
      </c>
      <c r="D160" s="39">
        <v>536.24</v>
      </c>
      <c r="E160" s="39">
        <v>60</v>
      </c>
      <c r="F160" s="39">
        <v>536.16999999999996</v>
      </c>
      <c r="G160" s="8">
        <v>20</v>
      </c>
      <c r="H160" s="8">
        <v>1002.37</v>
      </c>
      <c r="I160" s="8">
        <v>52.5</v>
      </c>
      <c r="J160" s="8">
        <v>52.5</v>
      </c>
      <c r="K160" s="8" t="s">
        <v>91</v>
      </c>
      <c r="L160">
        <f t="shared" si="12"/>
        <v>7.0000000000000007E-2</v>
      </c>
      <c r="M160">
        <f>(1-L160)-(E160/100)*'Water column'!$B$26</f>
        <v>0.8909999999999999</v>
      </c>
      <c r="N160">
        <f t="shared" si="14"/>
        <v>921.91200000000003</v>
      </c>
    </row>
    <row r="161" spans="1:14">
      <c r="A161" s="21" t="s">
        <v>63</v>
      </c>
      <c r="B161" s="8">
        <v>10092019</v>
      </c>
      <c r="C161" s="47">
        <v>1030</v>
      </c>
      <c r="D161" s="39">
        <v>539.99</v>
      </c>
      <c r="E161" s="39">
        <v>90</v>
      </c>
      <c r="F161" s="39">
        <v>539.91999999999996</v>
      </c>
      <c r="G161" s="8">
        <v>20</v>
      </c>
      <c r="H161" s="8">
        <v>1002.37</v>
      </c>
      <c r="I161" s="8">
        <v>52.5</v>
      </c>
      <c r="J161" s="8">
        <v>52.5</v>
      </c>
      <c r="K161" s="8" t="s">
        <v>91</v>
      </c>
      <c r="L161">
        <f t="shared" si="12"/>
        <v>7.0000000000000007E-2</v>
      </c>
      <c r="M161">
        <f>(1-L161)-(E161/100)*'Water column'!$B$26</f>
        <v>0.87149999999999994</v>
      </c>
      <c r="N161">
        <f t="shared" si="14"/>
        <v>923.82299999999998</v>
      </c>
    </row>
    <row r="162" spans="1:14">
      <c r="A162" s="21" t="s">
        <v>64</v>
      </c>
      <c r="B162" s="8">
        <v>10092019</v>
      </c>
      <c r="C162" s="47">
        <v>1030</v>
      </c>
      <c r="D162" s="39">
        <v>535.16999999999996</v>
      </c>
      <c r="E162" s="39">
        <v>40</v>
      </c>
      <c r="F162" s="39">
        <v>535.15</v>
      </c>
      <c r="G162" s="8">
        <v>20</v>
      </c>
      <c r="H162" s="8">
        <v>1002.37</v>
      </c>
      <c r="I162" s="8">
        <v>52.5</v>
      </c>
      <c r="J162" s="8">
        <v>52.5</v>
      </c>
      <c r="K162" s="8" t="s">
        <v>91</v>
      </c>
      <c r="L162">
        <f t="shared" si="12"/>
        <v>7.0000000000000007E-2</v>
      </c>
      <c r="M162">
        <f>(1-L162)-(E162/100)*'Water column'!$B$26</f>
        <v>0.90399999999999991</v>
      </c>
      <c r="N162">
        <f t="shared" si="14"/>
        <v>920.63800000000003</v>
      </c>
    </row>
    <row r="163" spans="1:14">
      <c r="A163" s="21" t="s">
        <v>65</v>
      </c>
      <c r="B163" s="8">
        <v>10092019</v>
      </c>
      <c r="C163" s="47">
        <v>1023</v>
      </c>
      <c r="D163" s="39">
        <v>546.4</v>
      </c>
      <c r="E163" s="39">
        <v>280</v>
      </c>
      <c r="F163" s="39">
        <v>546.29</v>
      </c>
      <c r="G163" s="8">
        <v>20</v>
      </c>
      <c r="H163" s="8">
        <v>1002.37</v>
      </c>
      <c r="I163" s="8">
        <v>52.5</v>
      </c>
      <c r="J163" s="8">
        <v>52.5</v>
      </c>
      <c r="K163" s="8" t="s">
        <v>91</v>
      </c>
      <c r="L163">
        <f t="shared" si="12"/>
        <v>7.0000000000000007E-2</v>
      </c>
      <c r="M163">
        <f>(1-L163)-(E163/100)*'Water column'!$B$26</f>
        <v>0.748</v>
      </c>
      <c r="N163">
        <f t="shared" si="14"/>
        <v>935.92600000000004</v>
      </c>
    </row>
    <row r="164" spans="1:14">
      <c r="A164" s="21" t="s">
        <v>66</v>
      </c>
      <c r="B164" s="8">
        <v>10092019</v>
      </c>
      <c r="C164" s="47">
        <v>1023</v>
      </c>
      <c r="D164" s="39">
        <v>543.55999999999995</v>
      </c>
      <c r="E164" s="39">
        <v>130</v>
      </c>
      <c r="F164" s="39">
        <v>543.41</v>
      </c>
      <c r="G164" s="8">
        <v>20</v>
      </c>
      <c r="H164" s="8">
        <v>1002.37</v>
      </c>
      <c r="I164" s="8">
        <v>52.5</v>
      </c>
      <c r="J164" s="8">
        <v>52.5</v>
      </c>
      <c r="K164" s="8" t="s">
        <v>91</v>
      </c>
      <c r="L164">
        <f t="shared" si="12"/>
        <v>7.0000000000000007E-2</v>
      </c>
      <c r="M164">
        <f>(1-L164)-(E164/100)*'Water column'!$B$26</f>
        <v>0.84549999999999992</v>
      </c>
      <c r="N164">
        <f t="shared" si="14"/>
        <v>926.37099999999998</v>
      </c>
    </row>
    <row r="165" spans="1:14">
      <c r="A165" s="21" t="s">
        <v>67</v>
      </c>
      <c r="B165" s="8">
        <v>10092019</v>
      </c>
      <c r="C165" s="47">
        <v>1023</v>
      </c>
      <c r="D165" s="39">
        <v>542.59</v>
      </c>
      <c r="E165" s="39">
        <v>90</v>
      </c>
      <c r="F165" s="39">
        <v>542.27</v>
      </c>
      <c r="G165" s="8">
        <v>20</v>
      </c>
      <c r="H165" s="8">
        <v>1002.37</v>
      </c>
      <c r="I165" s="8">
        <v>52.5</v>
      </c>
      <c r="J165" s="8">
        <v>52.5</v>
      </c>
      <c r="K165" s="8" t="s">
        <v>91</v>
      </c>
      <c r="L165">
        <f t="shared" si="12"/>
        <v>7.0000000000000007E-2</v>
      </c>
      <c r="M165">
        <f>(1-L165)-(E165/100)*'Water column'!$B$26</f>
        <v>0.87149999999999994</v>
      </c>
      <c r="N165">
        <f t="shared" si="14"/>
        <v>923.82299999999998</v>
      </c>
    </row>
    <row r="166" spans="1:14">
      <c r="A166" s="21" t="s">
        <v>40</v>
      </c>
      <c r="B166" s="8">
        <v>10092019</v>
      </c>
      <c r="C166" s="47">
        <v>1054</v>
      </c>
      <c r="D166" s="39">
        <v>526.29999999999995</v>
      </c>
      <c r="E166" s="39">
        <v>105</v>
      </c>
      <c r="F166" s="39">
        <v>526.16999999999996</v>
      </c>
      <c r="G166" s="8">
        <v>20</v>
      </c>
      <c r="H166" s="8">
        <v>1002.37</v>
      </c>
      <c r="I166" s="8">
        <v>52.5</v>
      </c>
      <c r="J166" s="8">
        <v>52.5</v>
      </c>
      <c r="K166" s="8" t="s">
        <v>91</v>
      </c>
      <c r="L166">
        <f t="shared" si="12"/>
        <v>7.0000000000000007E-2</v>
      </c>
      <c r="M166">
        <f>(1-L166)-(E166/100)*'Water column'!$B$26</f>
        <v>0.8617499999999999</v>
      </c>
      <c r="N166">
        <f t="shared" si="14"/>
        <v>924.77850000000001</v>
      </c>
    </row>
    <row r="167" spans="1:14">
      <c r="A167" s="21" t="s">
        <v>72</v>
      </c>
      <c r="B167" s="8">
        <v>10092019</v>
      </c>
      <c r="C167" s="47">
        <v>1106</v>
      </c>
      <c r="D167" s="39">
        <v>527.97</v>
      </c>
      <c r="E167" s="39">
        <v>80</v>
      </c>
      <c r="F167" s="39">
        <v>527.9</v>
      </c>
      <c r="G167" s="8">
        <v>20</v>
      </c>
      <c r="H167" s="8">
        <v>1002.37</v>
      </c>
      <c r="I167" s="8">
        <v>52.5</v>
      </c>
      <c r="J167" s="8">
        <v>52.5</v>
      </c>
      <c r="K167" s="8" t="s">
        <v>91</v>
      </c>
      <c r="L167">
        <f t="shared" si="12"/>
        <v>7.0000000000000007E-2</v>
      </c>
      <c r="M167">
        <f>(1-L167)-(E167/100)*'Water column'!$B$26</f>
        <v>0.87799999999999989</v>
      </c>
      <c r="N167">
        <f t="shared" si="14"/>
        <v>923.18600000000004</v>
      </c>
    </row>
    <row r="168" spans="1:14">
      <c r="A168" s="21" t="s">
        <v>75</v>
      </c>
      <c r="B168" s="8">
        <v>10092019</v>
      </c>
      <c r="C168" s="47">
        <v>1106</v>
      </c>
      <c r="D168" s="39">
        <v>526.84</v>
      </c>
      <c r="E168" s="39">
        <v>80</v>
      </c>
      <c r="F168" s="39">
        <v>526.77</v>
      </c>
      <c r="G168" s="8">
        <v>20</v>
      </c>
      <c r="H168" s="8">
        <v>1002.37</v>
      </c>
      <c r="I168" s="8">
        <v>52.5</v>
      </c>
      <c r="J168" s="8">
        <v>52.5</v>
      </c>
      <c r="K168" s="8" t="s">
        <v>91</v>
      </c>
      <c r="L168">
        <f t="shared" si="12"/>
        <v>7.0000000000000007E-2</v>
      </c>
      <c r="M168">
        <f>(1-L168)-(E168/100)*'Water column'!$B$26</f>
        <v>0.87799999999999989</v>
      </c>
      <c r="N168">
        <f t="shared" si="14"/>
        <v>923.18600000000004</v>
      </c>
    </row>
    <row r="169" spans="1:14">
      <c r="A169" s="21" t="s">
        <v>76</v>
      </c>
      <c r="B169" s="8">
        <v>10092019</v>
      </c>
      <c r="C169" s="47">
        <v>1106</v>
      </c>
      <c r="D169" s="39">
        <v>524.77</v>
      </c>
      <c r="E169" s="39">
        <v>80</v>
      </c>
      <c r="F169" s="39">
        <v>524.67999999999995</v>
      </c>
      <c r="G169" s="8">
        <v>20</v>
      </c>
      <c r="H169" s="8">
        <v>1002.37</v>
      </c>
      <c r="I169" s="8">
        <v>52.5</v>
      </c>
      <c r="J169" s="8">
        <v>52.5</v>
      </c>
      <c r="K169" s="8" t="s">
        <v>91</v>
      </c>
      <c r="L169">
        <f t="shared" si="12"/>
        <v>7.0000000000000007E-2</v>
      </c>
      <c r="M169">
        <f>(1-L169)-(E169/100)*'Water column'!$B$26</f>
        <v>0.87799999999999989</v>
      </c>
      <c r="N169">
        <f t="shared" si="14"/>
        <v>923.18600000000004</v>
      </c>
    </row>
    <row r="170" spans="1:14">
      <c r="A170" s="21" t="s">
        <v>73</v>
      </c>
      <c r="B170" s="8">
        <v>10092019</v>
      </c>
      <c r="C170" s="47">
        <v>1120</v>
      </c>
      <c r="D170" s="39">
        <v>524.23</v>
      </c>
      <c r="E170" s="39">
        <v>105</v>
      </c>
      <c r="F170" s="39">
        <v>524.13</v>
      </c>
      <c r="G170" s="8">
        <v>20</v>
      </c>
      <c r="H170" s="8">
        <v>1002.37</v>
      </c>
      <c r="I170" s="8">
        <v>52.5</v>
      </c>
      <c r="J170" s="8">
        <v>52.5</v>
      </c>
      <c r="K170" s="8" t="s">
        <v>91</v>
      </c>
      <c r="L170">
        <f t="shared" si="12"/>
        <v>7.0000000000000007E-2</v>
      </c>
      <c r="M170">
        <f>(1-L170)-(E170/100)*'Water column'!$B$26</f>
        <v>0.8617499999999999</v>
      </c>
      <c r="N170">
        <f t="shared" si="14"/>
        <v>924.77850000000001</v>
      </c>
    </row>
    <row r="171" spans="1:14">
      <c r="A171" s="21" t="s">
        <v>77</v>
      </c>
      <c r="B171" s="8">
        <v>10092019</v>
      </c>
      <c r="C171" s="47">
        <v>1120</v>
      </c>
      <c r="D171" s="39">
        <v>526.76</v>
      </c>
      <c r="E171" s="39">
        <v>100</v>
      </c>
      <c r="F171" s="39">
        <v>526.69000000000005</v>
      </c>
      <c r="G171" s="8">
        <v>20</v>
      </c>
      <c r="H171" s="8">
        <v>1002.37</v>
      </c>
      <c r="I171" s="8">
        <v>52.5</v>
      </c>
      <c r="J171" s="8">
        <v>52.5</v>
      </c>
      <c r="K171" s="8" t="s">
        <v>91</v>
      </c>
      <c r="L171">
        <f t="shared" si="12"/>
        <v>7.0000000000000007E-2</v>
      </c>
      <c r="M171">
        <f>(1-L171)-(E171/100)*'Water column'!$B$26</f>
        <v>0.86499999999999999</v>
      </c>
      <c r="N171">
        <f t="shared" si="14"/>
        <v>924.46</v>
      </c>
    </row>
    <row r="172" spans="1:14">
      <c r="A172" s="21" t="s">
        <v>78</v>
      </c>
      <c r="B172" s="8">
        <v>10092019</v>
      </c>
      <c r="C172" s="47">
        <v>1120</v>
      </c>
      <c r="D172" s="39">
        <v>523.14</v>
      </c>
      <c r="E172" s="39">
        <v>80</v>
      </c>
      <c r="F172" s="39">
        <v>523.09</v>
      </c>
      <c r="G172" s="8">
        <v>20</v>
      </c>
      <c r="H172" s="8">
        <v>1002.37</v>
      </c>
      <c r="I172" s="8">
        <v>52.5</v>
      </c>
      <c r="J172" s="8">
        <v>52.5</v>
      </c>
      <c r="K172" s="8" t="s">
        <v>91</v>
      </c>
      <c r="L172">
        <f t="shared" si="12"/>
        <v>7.0000000000000007E-2</v>
      </c>
      <c r="M172">
        <f>(1-L172)-(E172/100)*'Water column'!$B$26</f>
        <v>0.87799999999999989</v>
      </c>
      <c r="N172">
        <f t="shared" si="14"/>
        <v>923.18600000000004</v>
      </c>
    </row>
    <row r="173" spans="1:14">
      <c r="A173" s="21" t="s">
        <v>74</v>
      </c>
      <c r="B173" s="8">
        <v>10092019</v>
      </c>
      <c r="C173" s="47">
        <v>1013</v>
      </c>
      <c r="D173" s="39">
        <v>543.11</v>
      </c>
      <c r="E173" s="39">
        <v>120</v>
      </c>
      <c r="F173" s="39">
        <v>543.01</v>
      </c>
      <c r="G173" s="8">
        <v>20</v>
      </c>
      <c r="H173" s="8">
        <v>1002.37</v>
      </c>
      <c r="I173" s="8">
        <v>52.5</v>
      </c>
      <c r="J173" s="8">
        <v>52.5</v>
      </c>
      <c r="K173" s="8" t="s">
        <v>91</v>
      </c>
      <c r="L173">
        <f t="shared" si="12"/>
        <v>7.0000000000000007E-2</v>
      </c>
      <c r="M173">
        <f>(1-L173)-(E173/100)*'Water column'!$B$26</f>
        <v>0.85199999999999998</v>
      </c>
      <c r="N173">
        <f t="shared" si="14"/>
        <v>925.73400000000004</v>
      </c>
    </row>
    <row r="174" spans="1:14">
      <c r="A174" s="21" t="s">
        <v>79</v>
      </c>
      <c r="B174" s="8">
        <v>10092019</v>
      </c>
      <c r="C174" s="47">
        <v>1013</v>
      </c>
      <c r="D174" s="39">
        <v>536.29</v>
      </c>
      <c r="E174" s="39">
        <v>70</v>
      </c>
      <c r="F174" s="39">
        <v>536.21</v>
      </c>
      <c r="G174" s="8">
        <v>20</v>
      </c>
      <c r="H174" s="8">
        <v>1002.37</v>
      </c>
      <c r="I174" s="8">
        <v>52.5</v>
      </c>
      <c r="J174" s="8">
        <v>52.5</v>
      </c>
      <c r="K174" s="8" t="s">
        <v>91</v>
      </c>
      <c r="L174">
        <f t="shared" si="12"/>
        <v>7.0000000000000007E-2</v>
      </c>
      <c r="M174">
        <f>(1-L174)-(E174/100)*'Water column'!$B$26</f>
        <v>0.88449999999999995</v>
      </c>
      <c r="N174">
        <f t="shared" si="14"/>
        <v>922.54899999999998</v>
      </c>
    </row>
    <row r="175" spans="1:14">
      <c r="A175" s="6" t="s">
        <v>80</v>
      </c>
      <c r="B175" s="8">
        <v>10092019</v>
      </c>
      <c r="C175" s="31">
        <v>1013</v>
      </c>
      <c r="D175" s="6">
        <v>534.41999999999996</v>
      </c>
      <c r="E175" s="6">
        <v>150</v>
      </c>
      <c r="F175" s="6">
        <v>534.29</v>
      </c>
      <c r="G175" s="8">
        <v>20</v>
      </c>
      <c r="H175" s="8">
        <v>1002.37</v>
      </c>
      <c r="I175" s="8">
        <v>52.5</v>
      </c>
      <c r="J175" s="8">
        <v>52.5</v>
      </c>
      <c r="K175" s="8" t="s">
        <v>91</v>
      </c>
      <c r="L175">
        <f t="shared" si="12"/>
        <v>7.0000000000000007E-2</v>
      </c>
      <c r="M175">
        <f>(1-L175)-(E175/100)*'Water column'!$B$26</f>
        <v>0.83249999999999991</v>
      </c>
      <c r="N175">
        <f t="shared" si="14"/>
        <v>927.64499999999998</v>
      </c>
    </row>
    <row r="176" spans="1:14">
      <c r="A176" s="8" t="s">
        <v>93</v>
      </c>
      <c r="B176" s="8">
        <v>16092019</v>
      </c>
      <c r="C176" s="8">
        <v>1027</v>
      </c>
      <c r="D176" s="8">
        <v>527.21</v>
      </c>
      <c r="E176" s="6" t="s">
        <v>22</v>
      </c>
      <c r="F176" s="8">
        <v>527.21</v>
      </c>
      <c r="G176" s="8">
        <v>18</v>
      </c>
      <c r="H176" s="8">
        <v>1007.18</v>
      </c>
      <c r="I176" s="8">
        <v>52.5</v>
      </c>
      <c r="J176" s="8">
        <v>52.5</v>
      </c>
      <c r="K176" s="8" t="s">
        <v>91</v>
      </c>
      <c r="L176">
        <f t="shared" si="12"/>
        <v>7.0000000000000007E-2</v>
      </c>
      <c r="M176" t="s">
        <v>22</v>
      </c>
      <c r="N176" t="s">
        <v>22</v>
      </c>
    </row>
    <row r="177" spans="1:14">
      <c r="A177" s="8" t="s">
        <v>94</v>
      </c>
      <c r="B177" s="8">
        <v>16092019</v>
      </c>
      <c r="C177" s="8">
        <v>1027</v>
      </c>
      <c r="D177" s="8">
        <v>528.11</v>
      </c>
      <c r="E177" s="6" t="s">
        <v>22</v>
      </c>
      <c r="F177" s="8">
        <v>528.11</v>
      </c>
      <c r="G177" s="8">
        <v>18</v>
      </c>
      <c r="H177" s="8">
        <f>$H$176</f>
        <v>1007.18</v>
      </c>
      <c r="I177" s="8">
        <v>52.5</v>
      </c>
      <c r="J177" s="8">
        <v>52.5</v>
      </c>
      <c r="K177" s="8" t="s">
        <v>91</v>
      </c>
      <c r="L177">
        <f t="shared" si="12"/>
        <v>7.0000000000000007E-2</v>
      </c>
      <c r="M177" t="s">
        <v>22</v>
      </c>
      <c r="N177" t="s">
        <v>22</v>
      </c>
    </row>
    <row r="178" spans="1:14">
      <c r="A178" s="21" t="s">
        <v>62</v>
      </c>
      <c r="B178" s="8">
        <v>16092019</v>
      </c>
      <c r="C178" s="47">
        <v>1047</v>
      </c>
      <c r="D178" s="39">
        <v>535.99</v>
      </c>
      <c r="E178" s="39">
        <v>40</v>
      </c>
      <c r="F178" s="39">
        <v>535.96</v>
      </c>
      <c r="G178" s="8">
        <v>18</v>
      </c>
      <c r="H178" s="8">
        <f t="shared" ref="H178:H193" si="15">$H$176</f>
        <v>1007.18</v>
      </c>
      <c r="I178" s="8">
        <v>52.5</v>
      </c>
      <c r="J178" s="8">
        <v>52.5</v>
      </c>
      <c r="K178" s="8" t="s">
        <v>91</v>
      </c>
      <c r="L178">
        <f t="shared" si="12"/>
        <v>7.0000000000000007E-2</v>
      </c>
      <c r="M178">
        <f>(1-L178)-(E178/100)*'Water column'!$B$26</f>
        <v>0.90399999999999991</v>
      </c>
      <c r="N178">
        <f t="shared" ref="N178:N193" si="16">H178-(M178-L178)*98</f>
        <v>925.44799999999998</v>
      </c>
    </row>
    <row r="179" spans="1:14">
      <c r="A179" s="21" t="s">
        <v>63</v>
      </c>
      <c r="B179" s="8">
        <v>16092019</v>
      </c>
      <c r="C179" s="47">
        <v>1047</v>
      </c>
      <c r="D179" s="39">
        <v>539.85</v>
      </c>
      <c r="E179" s="39">
        <v>110</v>
      </c>
      <c r="F179" s="39">
        <v>539.75</v>
      </c>
      <c r="G179" s="8">
        <v>18</v>
      </c>
      <c r="H179" s="8">
        <f t="shared" si="15"/>
        <v>1007.18</v>
      </c>
      <c r="I179" s="8">
        <v>52.5</v>
      </c>
      <c r="J179" s="8">
        <v>52.5</v>
      </c>
      <c r="K179" s="8" t="s">
        <v>91</v>
      </c>
      <c r="L179">
        <f t="shared" si="12"/>
        <v>7.0000000000000007E-2</v>
      </c>
      <c r="M179">
        <f>(1-L179)-(E179/100)*'Water column'!$B$26</f>
        <v>0.85849999999999993</v>
      </c>
      <c r="N179">
        <f t="shared" si="16"/>
        <v>929.90699999999993</v>
      </c>
    </row>
    <row r="180" spans="1:14">
      <c r="A180" s="21" t="s">
        <v>64</v>
      </c>
      <c r="B180" s="8">
        <v>16092019</v>
      </c>
      <c r="C180" s="47">
        <v>1047</v>
      </c>
      <c r="D180" s="39">
        <v>534.96</v>
      </c>
      <c r="E180" s="39">
        <v>30</v>
      </c>
      <c r="F180" s="39">
        <v>534.95000000000005</v>
      </c>
      <c r="G180" s="8">
        <v>18</v>
      </c>
      <c r="H180" s="8">
        <f t="shared" si="15"/>
        <v>1007.18</v>
      </c>
      <c r="I180" s="8">
        <v>52.5</v>
      </c>
      <c r="J180" s="8">
        <v>52.5</v>
      </c>
      <c r="K180" s="8" t="s">
        <v>91</v>
      </c>
      <c r="L180">
        <f t="shared" si="12"/>
        <v>7.0000000000000007E-2</v>
      </c>
      <c r="M180">
        <f>(1-L180)-(E180/100)*'Water column'!$B$26</f>
        <v>0.91049999999999998</v>
      </c>
      <c r="N180">
        <f t="shared" si="16"/>
        <v>924.81099999999992</v>
      </c>
    </row>
    <row r="181" spans="1:14">
      <c r="A181" s="21" t="s">
        <v>65</v>
      </c>
      <c r="B181" s="8">
        <v>16092019</v>
      </c>
      <c r="C181" s="47">
        <v>1039</v>
      </c>
      <c r="D181" s="39">
        <v>546.1</v>
      </c>
      <c r="E181" s="39">
        <v>45</v>
      </c>
      <c r="F181" s="39">
        <v>546.04999999999995</v>
      </c>
      <c r="G181" s="8">
        <v>18</v>
      </c>
      <c r="H181" s="8">
        <f t="shared" si="15"/>
        <v>1007.18</v>
      </c>
      <c r="I181" s="8">
        <v>52.5</v>
      </c>
      <c r="J181" s="8">
        <v>52.5</v>
      </c>
      <c r="K181" s="8" t="s">
        <v>91</v>
      </c>
      <c r="L181">
        <f t="shared" si="12"/>
        <v>7.0000000000000007E-2</v>
      </c>
      <c r="M181">
        <f>(1-L181)-(E181/100)*'Water column'!$B$26</f>
        <v>0.90074999999999994</v>
      </c>
      <c r="N181">
        <f t="shared" si="16"/>
        <v>925.76649999999995</v>
      </c>
    </row>
    <row r="182" spans="1:14">
      <c r="A182" s="21" t="s">
        <v>66</v>
      </c>
      <c r="B182" s="8">
        <v>16092019</v>
      </c>
      <c r="C182" s="47">
        <v>1039</v>
      </c>
      <c r="D182" s="39">
        <v>543.29</v>
      </c>
      <c r="E182" s="39">
        <v>100</v>
      </c>
      <c r="F182" s="39">
        <v>543.15</v>
      </c>
      <c r="G182" s="8">
        <v>18</v>
      </c>
      <c r="H182" s="8">
        <f t="shared" si="15"/>
        <v>1007.18</v>
      </c>
      <c r="I182" s="8">
        <v>52.5</v>
      </c>
      <c r="J182" s="8">
        <v>52.5</v>
      </c>
      <c r="K182" s="8" t="s">
        <v>91</v>
      </c>
      <c r="L182">
        <f t="shared" si="12"/>
        <v>7.0000000000000007E-2</v>
      </c>
      <c r="M182">
        <f>(1-L182)-(E182/100)*'Water column'!$B$26</f>
        <v>0.86499999999999999</v>
      </c>
      <c r="N182">
        <f t="shared" si="16"/>
        <v>929.27</v>
      </c>
    </row>
    <row r="183" spans="1:14">
      <c r="A183" s="21" t="s">
        <v>67</v>
      </c>
      <c r="B183" s="8">
        <v>16092019</v>
      </c>
      <c r="C183" s="47">
        <v>1039</v>
      </c>
      <c r="D183" s="39">
        <v>542.20000000000005</v>
      </c>
      <c r="E183" s="39">
        <v>220</v>
      </c>
      <c r="F183" s="39">
        <v>541.99</v>
      </c>
      <c r="G183" s="8">
        <v>18</v>
      </c>
      <c r="H183" s="8">
        <f t="shared" si="15"/>
        <v>1007.18</v>
      </c>
      <c r="I183" s="8">
        <v>52.5</v>
      </c>
      <c r="J183" s="8">
        <v>52.5</v>
      </c>
      <c r="K183" s="8" t="s">
        <v>91</v>
      </c>
      <c r="L183">
        <f t="shared" si="12"/>
        <v>7.0000000000000007E-2</v>
      </c>
      <c r="M183">
        <f>(1-L183)-(E183/100)*'Water column'!$B$26</f>
        <v>0.78699999999999992</v>
      </c>
      <c r="N183">
        <f t="shared" si="16"/>
        <v>936.91399999999999</v>
      </c>
    </row>
    <row r="184" spans="1:14">
      <c r="A184" s="21" t="s">
        <v>40</v>
      </c>
      <c r="B184" s="8">
        <v>16092019</v>
      </c>
      <c r="C184" s="47">
        <v>1103</v>
      </c>
      <c r="D184" s="39">
        <v>526.22</v>
      </c>
      <c r="E184" s="39">
        <v>90</v>
      </c>
      <c r="F184" s="39">
        <v>526.09</v>
      </c>
      <c r="G184" s="8">
        <v>18</v>
      </c>
      <c r="H184" s="8">
        <f t="shared" si="15"/>
        <v>1007.18</v>
      </c>
      <c r="I184" s="8">
        <v>52.5</v>
      </c>
      <c r="J184" s="8">
        <v>52.5</v>
      </c>
      <c r="K184" s="8" t="s">
        <v>91</v>
      </c>
      <c r="L184">
        <f t="shared" si="12"/>
        <v>7.0000000000000007E-2</v>
      </c>
      <c r="M184">
        <f>(1-L184)-(E184/100)*'Water column'!$B$26</f>
        <v>0.87149999999999994</v>
      </c>
      <c r="N184">
        <f t="shared" si="16"/>
        <v>928.63299999999992</v>
      </c>
    </row>
    <row r="185" spans="1:14">
      <c r="A185" s="21" t="s">
        <v>72</v>
      </c>
      <c r="B185" s="8">
        <v>16092019</v>
      </c>
      <c r="C185" s="47">
        <v>1106</v>
      </c>
      <c r="D185" s="39">
        <v>527.88</v>
      </c>
      <c r="E185" s="39">
        <v>110</v>
      </c>
      <c r="F185" s="39">
        <v>527.76</v>
      </c>
      <c r="G185" s="8">
        <v>18</v>
      </c>
      <c r="H185" s="8">
        <f t="shared" si="15"/>
        <v>1007.18</v>
      </c>
      <c r="I185" s="8">
        <v>52.5</v>
      </c>
      <c r="J185" s="8">
        <v>52.5</v>
      </c>
      <c r="K185" s="8" t="s">
        <v>91</v>
      </c>
      <c r="L185">
        <f t="shared" si="12"/>
        <v>7.0000000000000007E-2</v>
      </c>
      <c r="M185">
        <f>(1-L185)-(E185/100)*'Water column'!$B$26</f>
        <v>0.85849999999999993</v>
      </c>
      <c r="N185">
        <f t="shared" si="16"/>
        <v>929.90699999999993</v>
      </c>
    </row>
    <row r="186" spans="1:14">
      <c r="A186" s="21" t="s">
        <v>75</v>
      </c>
      <c r="B186" s="8">
        <v>16092019</v>
      </c>
      <c r="C186" s="47">
        <v>1106</v>
      </c>
      <c r="D186" s="39">
        <v>526.73</v>
      </c>
      <c r="E186" s="39">
        <v>105</v>
      </c>
      <c r="F186" s="39">
        <v>526.61</v>
      </c>
      <c r="G186" s="8">
        <v>18</v>
      </c>
      <c r="H186" s="8">
        <f t="shared" si="15"/>
        <v>1007.18</v>
      </c>
      <c r="I186" s="8">
        <v>52.5</v>
      </c>
      <c r="J186" s="8">
        <v>52.5</v>
      </c>
      <c r="K186" s="8" t="s">
        <v>91</v>
      </c>
      <c r="L186">
        <f t="shared" si="12"/>
        <v>7.0000000000000007E-2</v>
      </c>
      <c r="M186">
        <f>(1-L186)-(E186/100)*'Water column'!$B$26</f>
        <v>0.8617499999999999</v>
      </c>
      <c r="N186">
        <f t="shared" si="16"/>
        <v>929.58849999999995</v>
      </c>
    </row>
    <row r="187" spans="1:14">
      <c r="A187" s="21" t="s">
        <v>76</v>
      </c>
      <c r="B187" s="8">
        <v>16092019</v>
      </c>
      <c r="C187" s="47">
        <v>1106</v>
      </c>
      <c r="D187" s="39">
        <v>524.65</v>
      </c>
      <c r="E187" s="39">
        <v>95</v>
      </c>
      <c r="F187" s="39">
        <v>524.51</v>
      </c>
      <c r="G187" s="8">
        <v>18</v>
      </c>
      <c r="H187" s="8">
        <f t="shared" si="15"/>
        <v>1007.18</v>
      </c>
      <c r="I187" s="8">
        <v>52.5</v>
      </c>
      <c r="J187" s="8">
        <v>52.5</v>
      </c>
      <c r="K187" s="8" t="s">
        <v>91</v>
      </c>
      <c r="L187">
        <f t="shared" si="12"/>
        <v>7.0000000000000007E-2</v>
      </c>
      <c r="M187">
        <f>(1-L187)-(E187/100)*'Water column'!$B$26</f>
        <v>0.86824999999999997</v>
      </c>
      <c r="N187">
        <f t="shared" si="16"/>
        <v>928.9514999999999</v>
      </c>
    </row>
    <row r="188" spans="1:14">
      <c r="A188" s="21" t="s">
        <v>73</v>
      </c>
      <c r="B188" s="8">
        <v>16092019</v>
      </c>
      <c r="C188" s="47">
        <v>1054</v>
      </c>
      <c r="D188" s="39">
        <v>524.14</v>
      </c>
      <c r="E188" s="39">
        <v>100</v>
      </c>
      <c r="F188" s="39">
        <v>524.03</v>
      </c>
      <c r="G188" s="8">
        <v>18</v>
      </c>
      <c r="H188" s="8">
        <f t="shared" si="15"/>
        <v>1007.18</v>
      </c>
      <c r="I188" s="8">
        <v>52.5</v>
      </c>
      <c r="J188" s="8">
        <v>52.5</v>
      </c>
      <c r="K188" s="8" t="s">
        <v>91</v>
      </c>
      <c r="L188">
        <f t="shared" si="12"/>
        <v>7.0000000000000007E-2</v>
      </c>
      <c r="M188">
        <f>(1-L188)-(E188/100)*'Water column'!$B$26</f>
        <v>0.86499999999999999</v>
      </c>
      <c r="N188">
        <f t="shared" si="16"/>
        <v>929.27</v>
      </c>
    </row>
    <row r="189" spans="1:14">
      <c r="A189" s="21" t="s">
        <v>77</v>
      </c>
      <c r="B189" s="8">
        <v>16092019</v>
      </c>
      <c r="C189" s="47">
        <v>1054</v>
      </c>
      <c r="D189" s="39">
        <v>526.66</v>
      </c>
      <c r="E189" s="39">
        <v>100</v>
      </c>
      <c r="F189" s="39">
        <v>526.57000000000005</v>
      </c>
      <c r="G189" s="8">
        <v>18</v>
      </c>
      <c r="H189" s="8">
        <f t="shared" si="15"/>
        <v>1007.18</v>
      </c>
      <c r="I189" s="8">
        <v>52.5</v>
      </c>
      <c r="J189" s="8">
        <v>52.5</v>
      </c>
      <c r="K189" s="8" t="s">
        <v>91</v>
      </c>
      <c r="L189">
        <f t="shared" si="12"/>
        <v>7.0000000000000007E-2</v>
      </c>
      <c r="M189">
        <f>(1-L189)-(E189/100)*'Water column'!$B$26</f>
        <v>0.86499999999999999</v>
      </c>
      <c r="N189">
        <f t="shared" si="16"/>
        <v>929.27</v>
      </c>
    </row>
    <row r="190" spans="1:14">
      <c r="A190" s="21" t="s">
        <v>78</v>
      </c>
      <c r="B190" s="8">
        <v>16092019</v>
      </c>
      <c r="C190" s="47">
        <v>1054</v>
      </c>
      <c r="D190" s="39">
        <v>523.05999999999995</v>
      </c>
      <c r="E190" s="39">
        <v>50</v>
      </c>
      <c r="F190" s="39">
        <v>522.99</v>
      </c>
      <c r="G190" s="8">
        <v>18</v>
      </c>
      <c r="H190" s="8">
        <f t="shared" si="15"/>
        <v>1007.18</v>
      </c>
      <c r="I190" s="8">
        <v>52.5</v>
      </c>
      <c r="J190" s="8">
        <v>52.5</v>
      </c>
      <c r="K190" s="8" t="s">
        <v>91</v>
      </c>
      <c r="L190">
        <f t="shared" si="12"/>
        <v>7.0000000000000007E-2</v>
      </c>
      <c r="M190">
        <f>(1-L190)-(E190/100)*'Water column'!$B$26</f>
        <v>0.89749999999999996</v>
      </c>
      <c r="N190">
        <f t="shared" si="16"/>
        <v>926.08499999999992</v>
      </c>
    </row>
    <row r="191" spans="1:14">
      <c r="A191" s="21" t="s">
        <v>74</v>
      </c>
      <c r="B191" s="8">
        <v>16092019</v>
      </c>
      <c r="C191" s="47">
        <v>1033</v>
      </c>
      <c r="D191" s="39">
        <v>542.94000000000005</v>
      </c>
      <c r="E191" s="39">
        <v>85</v>
      </c>
      <c r="F191" s="39">
        <v>542.84</v>
      </c>
      <c r="G191" s="8">
        <v>18</v>
      </c>
      <c r="H191" s="8">
        <f t="shared" si="15"/>
        <v>1007.18</v>
      </c>
      <c r="I191" s="8">
        <v>52.5</v>
      </c>
      <c r="J191" s="8">
        <v>52.5</v>
      </c>
      <c r="K191" s="8" t="s">
        <v>91</v>
      </c>
      <c r="L191">
        <f t="shared" si="12"/>
        <v>7.0000000000000007E-2</v>
      </c>
      <c r="M191">
        <f>(1-L191)-(E191/100)*'Water column'!$B$26</f>
        <v>0.87474999999999992</v>
      </c>
      <c r="N191">
        <f t="shared" si="16"/>
        <v>928.31449999999995</v>
      </c>
    </row>
    <row r="192" spans="1:14">
      <c r="A192" s="21" t="s">
        <v>79</v>
      </c>
      <c r="B192" s="8">
        <v>16092019</v>
      </c>
      <c r="C192" s="47">
        <v>1033</v>
      </c>
      <c r="D192" s="39">
        <v>536.05999999999995</v>
      </c>
      <c r="E192" s="39">
        <v>30</v>
      </c>
      <c r="F192" s="39">
        <v>536.03</v>
      </c>
      <c r="G192" s="8">
        <v>18</v>
      </c>
      <c r="H192" s="8">
        <f t="shared" si="15"/>
        <v>1007.18</v>
      </c>
      <c r="I192" s="8">
        <v>52.5</v>
      </c>
      <c r="J192" s="8">
        <v>52.5</v>
      </c>
      <c r="K192" s="8" t="s">
        <v>91</v>
      </c>
      <c r="L192">
        <f t="shared" si="12"/>
        <v>7.0000000000000007E-2</v>
      </c>
      <c r="M192">
        <f>(1-L192)-(E192/100)*'Water column'!$B$26</f>
        <v>0.91049999999999998</v>
      </c>
      <c r="N192">
        <f t="shared" si="16"/>
        <v>924.81099999999992</v>
      </c>
    </row>
    <row r="193" spans="1:14">
      <c r="A193" s="6" t="s">
        <v>80</v>
      </c>
      <c r="B193" s="8">
        <v>16092019</v>
      </c>
      <c r="C193" s="31">
        <v>1033</v>
      </c>
      <c r="D193" s="6">
        <v>534.23</v>
      </c>
      <c r="E193" s="6">
        <v>120</v>
      </c>
      <c r="F193" s="6">
        <v>534.1</v>
      </c>
      <c r="G193" s="8">
        <v>18</v>
      </c>
      <c r="H193" s="8">
        <f t="shared" si="15"/>
        <v>1007.18</v>
      </c>
      <c r="I193" s="8">
        <v>52.5</v>
      </c>
      <c r="J193" s="8">
        <v>52.5</v>
      </c>
      <c r="K193" s="8" t="s">
        <v>91</v>
      </c>
      <c r="L193">
        <f t="shared" si="12"/>
        <v>7.0000000000000007E-2</v>
      </c>
      <c r="M193">
        <f>(1-L193)-(E193/100)*'Water column'!$B$26</f>
        <v>0.85199999999999998</v>
      </c>
      <c r="N193">
        <f t="shared" si="16"/>
        <v>930.54399999999998</v>
      </c>
    </row>
    <row r="194" spans="1:14">
      <c r="A194" s="8" t="s">
        <v>93</v>
      </c>
      <c r="B194" s="8">
        <v>26092019</v>
      </c>
      <c r="C194" s="8">
        <v>1032</v>
      </c>
      <c r="D194" s="8">
        <v>527.21</v>
      </c>
      <c r="E194" s="6" t="s">
        <v>22</v>
      </c>
      <c r="F194" s="8">
        <v>527.22</v>
      </c>
      <c r="G194" s="8">
        <v>20</v>
      </c>
      <c r="H194" s="8">
        <v>1001.99</v>
      </c>
      <c r="I194" s="8">
        <v>52.5</v>
      </c>
      <c r="J194" s="8">
        <v>52.5</v>
      </c>
      <c r="K194" s="8" t="s">
        <v>91</v>
      </c>
      <c r="L194">
        <f t="shared" si="12"/>
        <v>7.0000000000000007E-2</v>
      </c>
      <c r="M194" t="s">
        <v>22</v>
      </c>
      <c r="N194" t="s">
        <v>22</v>
      </c>
    </row>
    <row r="195" spans="1:14">
      <c r="A195" s="8" t="s">
        <v>94</v>
      </c>
      <c r="B195" s="8">
        <v>26092019</v>
      </c>
      <c r="C195" s="8">
        <v>1032</v>
      </c>
      <c r="D195" s="8">
        <v>528.11</v>
      </c>
      <c r="E195" s="6" t="s">
        <v>22</v>
      </c>
      <c r="F195" s="8">
        <v>528.12</v>
      </c>
      <c r="G195" s="8">
        <v>20</v>
      </c>
      <c r="H195" s="8">
        <v>1001.99</v>
      </c>
      <c r="I195" s="8">
        <v>52.5</v>
      </c>
      <c r="J195" s="8">
        <v>52.5</v>
      </c>
      <c r="K195" s="8" t="s">
        <v>91</v>
      </c>
      <c r="L195">
        <f t="shared" si="12"/>
        <v>7.0000000000000007E-2</v>
      </c>
      <c r="M195" t="s">
        <v>22</v>
      </c>
      <c r="N195" t="s">
        <v>22</v>
      </c>
    </row>
    <row r="196" spans="1:14">
      <c r="A196" s="21" t="s">
        <v>62</v>
      </c>
      <c r="B196" s="8">
        <f>$B$195</f>
        <v>26092019</v>
      </c>
      <c r="C196" s="47">
        <v>1104</v>
      </c>
      <c r="D196" s="39">
        <v>535.84</v>
      </c>
      <c r="E196" s="39">
        <v>60</v>
      </c>
      <c r="F196" s="39">
        <v>535.80999999999995</v>
      </c>
      <c r="G196" s="8">
        <v>20</v>
      </c>
      <c r="H196" s="8">
        <v>1001.99</v>
      </c>
      <c r="I196" s="8">
        <v>52.5</v>
      </c>
      <c r="J196" s="8">
        <v>52.5</v>
      </c>
      <c r="K196" s="8" t="s">
        <v>91</v>
      </c>
      <c r="L196">
        <f t="shared" si="12"/>
        <v>7.0000000000000007E-2</v>
      </c>
      <c r="M196">
        <f>(1-L196)-(E196/100)*'Water column'!$B$26</f>
        <v>0.8909999999999999</v>
      </c>
      <c r="N196">
        <f t="shared" ref="N196:N211" si="17">H196-(M196-L196)*98</f>
        <v>921.53200000000004</v>
      </c>
    </row>
    <row r="197" spans="1:14">
      <c r="A197" s="21" t="s">
        <v>63</v>
      </c>
      <c r="B197" s="8">
        <f t="shared" ref="B197:B211" si="18">$B$195</f>
        <v>26092019</v>
      </c>
      <c r="C197" s="47">
        <v>1104</v>
      </c>
      <c r="D197" s="39">
        <v>539.64</v>
      </c>
      <c r="E197" s="39">
        <v>60</v>
      </c>
      <c r="F197" s="39">
        <v>539.59</v>
      </c>
      <c r="G197" s="8">
        <f>$G$196</f>
        <v>20</v>
      </c>
      <c r="H197" s="8">
        <f>$H$196</f>
        <v>1001.99</v>
      </c>
      <c r="I197" s="8">
        <v>52.5</v>
      </c>
      <c r="J197" s="8">
        <v>52.5</v>
      </c>
      <c r="K197" s="8" t="s">
        <v>91</v>
      </c>
      <c r="L197">
        <f t="shared" si="12"/>
        <v>7.0000000000000007E-2</v>
      </c>
      <c r="M197">
        <f>(1-L197)-(E197/100)*'Water column'!$B$26</f>
        <v>0.8909999999999999</v>
      </c>
      <c r="N197">
        <f t="shared" si="17"/>
        <v>921.53200000000004</v>
      </c>
    </row>
    <row r="198" spans="1:14">
      <c r="A198" s="21" t="s">
        <v>64</v>
      </c>
      <c r="B198" s="8">
        <f t="shared" si="18"/>
        <v>26092019</v>
      </c>
      <c r="C198" s="47">
        <v>1104</v>
      </c>
      <c r="D198" s="39">
        <v>534.83000000000004</v>
      </c>
      <c r="E198" s="39">
        <v>30</v>
      </c>
      <c r="F198" s="39">
        <v>534.82000000000005</v>
      </c>
      <c r="G198" s="8">
        <f t="shared" ref="G198:G211" si="19">$G$196</f>
        <v>20</v>
      </c>
      <c r="H198" s="8">
        <f t="shared" ref="H198:H211" si="20">$H$196</f>
        <v>1001.99</v>
      </c>
      <c r="I198" s="8">
        <v>52.5</v>
      </c>
      <c r="J198" s="8">
        <v>52.5</v>
      </c>
      <c r="K198" s="8" t="s">
        <v>91</v>
      </c>
      <c r="L198">
        <f t="shared" si="12"/>
        <v>7.0000000000000007E-2</v>
      </c>
      <c r="M198">
        <f>(1-L198)-(E198/100)*'Water column'!$B$26</f>
        <v>0.91049999999999998</v>
      </c>
      <c r="N198">
        <f t="shared" si="17"/>
        <v>919.62099999999998</v>
      </c>
    </row>
    <row r="199" spans="1:14">
      <c r="A199" s="21" t="s">
        <v>65</v>
      </c>
      <c r="B199" s="8">
        <f t="shared" si="18"/>
        <v>26092019</v>
      </c>
      <c r="C199" s="47">
        <v>1032</v>
      </c>
      <c r="D199" s="39">
        <v>545.84</v>
      </c>
      <c r="E199" s="39">
        <v>30</v>
      </c>
      <c r="F199" s="39">
        <v>545.82000000000005</v>
      </c>
      <c r="G199" s="8">
        <f t="shared" si="19"/>
        <v>20</v>
      </c>
      <c r="H199" s="8">
        <f t="shared" si="20"/>
        <v>1001.99</v>
      </c>
      <c r="I199" s="8">
        <v>52.5</v>
      </c>
      <c r="J199" s="8">
        <v>52.5</v>
      </c>
      <c r="K199" s="8" t="s">
        <v>91</v>
      </c>
      <c r="L199">
        <f t="shared" ref="L199:L211" si="21">$L$5</f>
        <v>7.0000000000000007E-2</v>
      </c>
      <c r="M199">
        <f>(1-L199)-(E199/100)*'Water column'!$B$26</f>
        <v>0.91049999999999998</v>
      </c>
      <c r="N199">
        <f t="shared" si="17"/>
        <v>919.62099999999998</v>
      </c>
    </row>
    <row r="200" spans="1:14">
      <c r="A200" s="21" t="s">
        <v>66</v>
      </c>
      <c r="B200" s="8">
        <f t="shared" si="18"/>
        <v>26092019</v>
      </c>
      <c r="C200" s="47">
        <v>1032</v>
      </c>
      <c r="D200" s="39">
        <v>543.15</v>
      </c>
      <c r="E200" s="39">
        <v>160</v>
      </c>
      <c r="F200" s="39">
        <v>542.96</v>
      </c>
      <c r="G200" s="8">
        <f t="shared" si="19"/>
        <v>20</v>
      </c>
      <c r="H200" s="8">
        <f t="shared" si="20"/>
        <v>1001.99</v>
      </c>
      <c r="I200" s="8">
        <v>52.5</v>
      </c>
      <c r="J200" s="8">
        <v>52.5</v>
      </c>
      <c r="K200" s="8" t="s">
        <v>91</v>
      </c>
      <c r="L200">
        <f t="shared" si="21"/>
        <v>7.0000000000000007E-2</v>
      </c>
      <c r="M200">
        <f>(1-L200)-(E200/100)*'Water column'!$B$26</f>
        <v>0.82599999999999996</v>
      </c>
      <c r="N200">
        <f t="shared" si="17"/>
        <v>927.90200000000004</v>
      </c>
    </row>
    <row r="201" spans="1:14">
      <c r="A201" s="21" t="s">
        <v>67</v>
      </c>
      <c r="B201" s="8">
        <f t="shared" si="18"/>
        <v>26092019</v>
      </c>
      <c r="C201" s="47">
        <v>1032</v>
      </c>
      <c r="D201" s="39">
        <v>541.83000000000004</v>
      </c>
      <c r="E201" s="39">
        <v>95</v>
      </c>
      <c r="F201" s="39">
        <v>541.73</v>
      </c>
      <c r="G201" s="8">
        <f t="shared" si="19"/>
        <v>20</v>
      </c>
      <c r="H201" s="8">
        <f t="shared" si="20"/>
        <v>1001.99</v>
      </c>
      <c r="I201" s="8">
        <v>52.5</v>
      </c>
      <c r="J201" s="8">
        <v>52.5</v>
      </c>
      <c r="K201" s="8" t="s">
        <v>91</v>
      </c>
      <c r="L201">
        <f t="shared" si="21"/>
        <v>7.0000000000000007E-2</v>
      </c>
      <c r="M201">
        <f>(1-L201)-(E201/100)*'Water column'!$B$26</f>
        <v>0.86824999999999997</v>
      </c>
      <c r="N201">
        <f t="shared" si="17"/>
        <v>923.76150000000007</v>
      </c>
    </row>
    <row r="202" spans="1:14">
      <c r="A202" s="21" t="s">
        <v>40</v>
      </c>
      <c r="B202" s="8">
        <f t="shared" si="18"/>
        <v>26092019</v>
      </c>
      <c r="C202" s="47">
        <v>1053</v>
      </c>
      <c r="D202" s="39">
        <v>526.1</v>
      </c>
      <c r="E202" s="39">
        <v>110</v>
      </c>
      <c r="F202" s="39">
        <v>525.99</v>
      </c>
      <c r="G202" s="8">
        <f t="shared" si="19"/>
        <v>20</v>
      </c>
      <c r="H202" s="8">
        <f t="shared" si="20"/>
        <v>1001.99</v>
      </c>
      <c r="I202" s="8">
        <v>52.5</v>
      </c>
      <c r="J202" s="8">
        <v>52.5</v>
      </c>
      <c r="K202" s="8" t="s">
        <v>91</v>
      </c>
      <c r="L202">
        <f t="shared" si="21"/>
        <v>7.0000000000000007E-2</v>
      </c>
      <c r="M202">
        <f>(1-L202)-(E202/100)*'Water column'!$B$26</f>
        <v>0.85849999999999993</v>
      </c>
      <c r="N202">
        <f t="shared" si="17"/>
        <v>924.71699999999998</v>
      </c>
    </row>
    <row r="203" spans="1:14">
      <c r="A203" s="21" t="s">
        <v>72</v>
      </c>
      <c r="B203" s="8">
        <f t="shared" si="18"/>
        <v>26092019</v>
      </c>
      <c r="C203" s="47">
        <v>1047</v>
      </c>
      <c r="D203" s="39">
        <v>527.78</v>
      </c>
      <c r="E203" s="39">
        <v>110</v>
      </c>
      <c r="F203" s="39">
        <v>527.72</v>
      </c>
      <c r="G203" s="8">
        <f t="shared" si="19"/>
        <v>20</v>
      </c>
      <c r="H203" s="8">
        <f t="shared" si="20"/>
        <v>1001.99</v>
      </c>
      <c r="I203" s="8">
        <v>52.5</v>
      </c>
      <c r="J203" s="8">
        <v>52.5</v>
      </c>
      <c r="K203" s="8" t="s">
        <v>91</v>
      </c>
      <c r="L203">
        <f t="shared" si="21"/>
        <v>7.0000000000000007E-2</v>
      </c>
      <c r="M203">
        <f>(1-L203)-(E203/100)*'Water column'!$B$26</f>
        <v>0.85849999999999993</v>
      </c>
      <c r="N203">
        <f t="shared" si="17"/>
        <v>924.71699999999998</v>
      </c>
    </row>
    <row r="204" spans="1:14">
      <c r="A204" s="21" t="s">
        <v>75</v>
      </c>
      <c r="B204" s="8">
        <f t="shared" si="18"/>
        <v>26092019</v>
      </c>
      <c r="C204" s="47">
        <v>1047</v>
      </c>
      <c r="D204" s="39">
        <v>526.63</v>
      </c>
      <c r="E204" s="39">
        <v>105</v>
      </c>
      <c r="F204" s="39">
        <v>526.54999999999995</v>
      </c>
      <c r="G204" s="8">
        <f t="shared" si="19"/>
        <v>20</v>
      </c>
      <c r="H204" s="8">
        <f t="shared" si="20"/>
        <v>1001.99</v>
      </c>
      <c r="I204" s="8">
        <v>52.5</v>
      </c>
      <c r="J204" s="8">
        <v>52.5</v>
      </c>
      <c r="K204" s="8" t="s">
        <v>91</v>
      </c>
      <c r="L204">
        <f t="shared" si="21"/>
        <v>7.0000000000000007E-2</v>
      </c>
      <c r="M204">
        <f>(1-L204)-(E204/100)*'Water column'!$B$26</f>
        <v>0.8617499999999999</v>
      </c>
      <c r="N204">
        <f t="shared" si="17"/>
        <v>924.39850000000001</v>
      </c>
    </row>
    <row r="205" spans="1:14">
      <c r="A205" s="21" t="s">
        <v>76</v>
      </c>
      <c r="B205" s="8">
        <f t="shared" si="18"/>
        <v>26092019</v>
      </c>
      <c r="C205" s="47">
        <v>1047</v>
      </c>
      <c r="D205" s="39">
        <v>524.53</v>
      </c>
      <c r="E205" s="39">
        <v>105</v>
      </c>
      <c r="F205" s="39">
        <v>524.44000000000005</v>
      </c>
      <c r="G205" s="8">
        <f t="shared" si="19"/>
        <v>20</v>
      </c>
      <c r="H205" s="8">
        <f t="shared" si="20"/>
        <v>1001.99</v>
      </c>
      <c r="I205" s="8">
        <v>52.5</v>
      </c>
      <c r="J205" s="8">
        <v>52.5</v>
      </c>
      <c r="K205" s="8" t="s">
        <v>91</v>
      </c>
      <c r="L205">
        <f t="shared" si="21"/>
        <v>7.0000000000000007E-2</v>
      </c>
      <c r="M205">
        <f>(1-L205)-(E205/100)*'Water column'!$B$26</f>
        <v>0.8617499999999999</v>
      </c>
      <c r="N205">
        <f t="shared" si="17"/>
        <v>924.39850000000001</v>
      </c>
    </row>
    <row r="206" spans="1:14">
      <c r="A206" s="21" t="s">
        <v>73</v>
      </c>
      <c r="B206" s="8">
        <f t="shared" si="18"/>
        <v>26092019</v>
      </c>
      <c r="C206" s="47">
        <v>1059</v>
      </c>
      <c r="D206" s="39">
        <v>524.04</v>
      </c>
      <c r="E206" s="39">
        <v>110</v>
      </c>
      <c r="F206" s="39">
        <v>523.94000000000005</v>
      </c>
      <c r="G206" s="8">
        <f t="shared" si="19"/>
        <v>20</v>
      </c>
      <c r="H206" s="8">
        <f t="shared" si="20"/>
        <v>1001.99</v>
      </c>
      <c r="I206" s="8">
        <v>52.5</v>
      </c>
      <c r="J206" s="8">
        <v>52.5</v>
      </c>
      <c r="K206" s="8" t="s">
        <v>91</v>
      </c>
      <c r="L206">
        <f t="shared" si="21"/>
        <v>7.0000000000000007E-2</v>
      </c>
      <c r="M206">
        <f>(1-L206)-(E206/100)*'Water column'!$B$26</f>
        <v>0.85849999999999993</v>
      </c>
      <c r="N206">
        <f t="shared" si="17"/>
        <v>924.71699999999998</v>
      </c>
    </row>
    <row r="207" spans="1:14">
      <c r="A207" s="21" t="s">
        <v>77</v>
      </c>
      <c r="B207" s="8">
        <f t="shared" si="18"/>
        <v>26092019</v>
      </c>
      <c r="C207" s="47">
        <v>1059</v>
      </c>
      <c r="D207" s="39">
        <v>526.58000000000004</v>
      </c>
      <c r="E207" s="39">
        <v>110</v>
      </c>
      <c r="F207" s="39">
        <v>526.49</v>
      </c>
      <c r="G207" s="8">
        <f t="shared" si="19"/>
        <v>20</v>
      </c>
      <c r="H207" s="8">
        <f t="shared" si="20"/>
        <v>1001.99</v>
      </c>
      <c r="I207" s="8">
        <v>52.5</v>
      </c>
      <c r="J207" s="8">
        <v>52.5</v>
      </c>
      <c r="K207" s="8" t="s">
        <v>91</v>
      </c>
      <c r="L207">
        <f t="shared" si="21"/>
        <v>7.0000000000000007E-2</v>
      </c>
      <c r="M207">
        <f>(1-L207)-(E207/100)*'Water column'!$B$26</f>
        <v>0.85849999999999993</v>
      </c>
      <c r="N207">
        <f t="shared" si="17"/>
        <v>924.71699999999998</v>
      </c>
    </row>
    <row r="208" spans="1:14">
      <c r="A208" s="21" t="s">
        <v>78</v>
      </c>
      <c r="B208" s="8">
        <f t="shared" si="18"/>
        <v>26092019</v>
      </c>
      <c r="C208" s="47">
        <v>1059</v>
      </c>
      <c r="D208" s="39">
        <v>522.94000000000005</v>
      </c>
      <c r="E208" s="39">
        <v>65</v>
      </c>
      <c r="F208" s="39">
        <v>522.89</v>
      </c>
      <c r="G208" s="8">
        <f t="shared" si="19"/>
        <v>20</v>
      </c>
      <c r="H208" s="8">
        <f t="shared" si="20"/>
        <v>1001.99</v>
      </c>
      <c r="I208" s="8">
        <v>52.5</v>
      </c>
      <c r="J208" s="8">
        <v>52.5</v>
      </c>
      <c r="K208" s="8" t="s">
        <v>91</v>
      </c>
      <c r="L208">
        <f t="shared" si="21"/>
        <v>7.0000000000000007E-2</v>
      </c>
      <c r="M208">
        <f>(1-L208)-(E208/100)*'Water column'!$B$26</f>
        <v>0.88774999999999993</v>
      </c>
      <c r="N208">
        <f t="shared" si="17"/>
        <v>921.85050000000001</v>
      </c>
    </row>
    <row r="209" spans="1:14">
      <c r="A209" s="21" t="s">
        <v>74</v>
      </c>
      <c r="B209" s="8">
        <f t="shared" si="18"/>
        <v>26092019</v>
      </c>
      <c r="C209" s="47">
        <v>1041</v>
      </c>
      <c r="D209" s="39">
        <v>542.78</v>
      </c>
      <c r="E209" s="39">
        <v>110</v>
      </c>
      <c r="F209" s="39">
        <v>542.69000000000005</v>
      </c>
      <c r="G209" s="8">
        <f t="shared" si="19"/>
        <v>20</v>
      </c>
      <c r="H209" s="8">
        <f t="shared" si="20"/>
        <v>1001.99</v>
      </c>
      <c r="I209" s="8">
        <v>52.5</v>
      </c>
      <c r="J209" s="8">
        <v>52.5</v>
      </c>
      <c r="K209" s="8" t="s">
        <v>91</v>
      </c>
      <c r="L209">
        <f t="shared" si="21"/>
        <v>7.0000000000000007E-2</v>
      </c>
      <c r="M209">
        <f>(1-L209)-(E209/100)*'Water column'!$B$26</f>
        <v>0.85849999999999993</v>
      </c>
      <c r="N209">
        <f t="shared" si="17"/>
        <v>924.71699999999998</v>
      </c>
    </row>
    <row r="210" spans="1:14">
      <c r="A210" s="21" t="s">
        <v>79</v>
      </c>
      <c r="B210" s="8">
        <f t="shared" si="18"/>
        <v>26092019</v>
      </c>
      <c r="C210" s="47">
        <v>1041</v>
      </c>
      <c r="D210" s="39">
        <v>535.84</v>
      </c>
      <c r="E210" s="39">
        <v>20</v>
      </c>
      <c r="F210" s="39">
        <v>535.83000000000004</v>
      </c>
      <c r="G210" s="8">
        <f t="shared" si="19"/>
        <v>20</v>
      </c>
      <c r="H210" s="8">
        <f t="shared" si="20"/>
        <v>1001.99</v>
      </c>
      <c r="I210" s="8">
        <v>52.5</v>
      </c>
      <c r="J210" s="8">
        <v>52.5</v>
      </c>
      <c r="K210" s="8" t="s">
        <v>91</v>
      </c>
      <c r="L210">
        <f t="shared" si="21"/>
        <v>7.0000000000000007E-2</v>
      </c>
      <c r="M210">
        <f>(1-L210)-(E210/100)*'Water column'!$B$26</f>
        <v>0.91699999999999993</v>
      </c>
      <c r="N210">
        <f t="shared" si="17"/>
        <v>918.98400000000004</v>
      </c>
    </row>
    <row r="211" spans="1:14">
      <c r="A211" s="6" t="s">
        <v>80</v>
      </c>
      <c r="B211" s="8">
        <f t="shared" si="18"/>
        <v>26092019</v>
      </c>
      <c r="C211" s="31">
        <v>1041</v>
      </c>
      <c r="D211" s="6">
        <v>534.05999999999995</v>
      </c>
      <c r="E211" s="6">
        <v>160</v>
      </c>
      <c r="F211" s="6">
        <v>533.9</v>
      </c>
      <c r="G211" s="8">
        <f t="shared" si="19"/>
        <v>20</v>
      </c>
      <c r="H211" s="8">
        <f t="shared" si="20"/>
        <v>1001.99</v>
      </c>
      <c r="I211" s="8">
        <v>52.5</v>
      </c>
      <c r="J211" s="8">
        <v>52.5</v>
      </c>
      <c r="K211" s="8" t="s">
        <v>91</v>
      </c>
      <c r="L211">
        <f t="shared" si="21"/>
        <v>7.0000000000000007E-2</v>
      </c>
      <c r="M211">
        <f>(1-L211)-(E211/100)*'Water column'!$B$26</f>
        <v>0.82599999999999996</v>
      </c>
      <c r="N211">
        <f t="shared" si="17"/>
        <v>927.90200000000004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U21" sqref="U21"/>
    </sheetView>
  </sheetViews>
  <sheetFormatPr baseColWidth="10" defaultRowHeight="13" x14ac:dyDescent="0"/>
  <cols>
    <col min="4" max="4" width="13.5703125" customWidth="1"/>
    <col min="5" max="5" width="11" customWidth="1"/>
    <col min="6" max="6" width="17" customWidth="1"/>
    <col min="7" max="7" width="31.42578125" bestFit="1" customWidth="1"/>
    <col min="8" max="8" width="22.5703125" bestFit="1" customWidth="1"/>
    <col min="9" max="9" width="12.5703125" bestFit="1" customWidth="1"/>
  </cols>
  <sheetData>
    <row r="1" spans="1:20" ht="14">
      <c r="A1" s="17" t="s">
        <v>41</v>
      </c>
      <c r="F1" t="s">
        <v>149</v>
      </c>
    </row>
    <row r="2" spans="1:20">
      <c r="A2" s="18" t="s">
        <v>1</v>
      </c>
      <c r="B2">
        <v>27082019</v>
      </c>
      <c r="D2" t="s">
        <v>14</v>
      </c>
      <c r="E2" t="s">
        <v>16</v>
      </c>
      <c r="F2">
        <v>0.23499999999999999</v>
      </c>
      <c r="L2">
        <f>AVERAGE(L5:L7)</f>
        <v>2.7566666666666664</v>
      </c>
      <c r="M2">
        <f>AVERAGE(M5:M7)</f>
        <v>43.386666666666663</v>
      </c>
      <c r="N2">
        <f>AVERAGE(N5:N7)</f>
        <v>0.10966666666666668</v>
      </c>
      <c r="Q2">
        <v>100</v>
      </c>
    </row>
    <row r="3" spans="1:20">
      <c r="A3" s="67"/>
      <c r="B3" s="67"/>
      <c r="C3" s="68" t="s">
        <v>191</v>
      </c>
      <c r="D3" s="19" t="s">
        <v>50</v>
      </c>
      <c r="E3" s="67" t="s">
        <v>51</v>
      </c>
      <c r="F3" s="67" t="s">
        <v>52</v>
      </c>
      <c r="G3" s="69" t="s">
        <v>150</v>
      </c>
      <c r="H3" s="68" t="s">
        <v>156</v>
      </c>
      <c r="I3" s="70"/>
      <c r="J3" s="68"/>
      <c r="K3" s="71"/>
      <c r="L3" s="68"/>
      <c r="M3" s="68"/>
      <c r="N3" s="68"/>
    </row>
    <row r="4" spans="1:20">
      <c r="A4" s="62" t="s">
        <v>113</v>
      </c>
      <c r="B4" s="62" t="s">
        <v>103</v>
      </c>
      <c r="C4" s="72" t="s">
        <v>104</v>
      </c>
      <c r="D4" s="63" t="s">
        <v>154</v>
      </c>
      <c r="E4" s="62" t="s">
        <v>153</v>
      </c>
      <c r="F4" s="61" t="s">
        <v>151</v>
      </c>
      <c r="G4" s="61" t="s">
        <v>152</v>
      </c>
      <c r="H4" s="61" t="s">
        <v>155</v>
      </c>
      <c r="I4" s="61" t="s">
        <v>157</v>
      </c>
      <c r="J4" s="23" t="s">
        <v>190</v>
      </c>
      <c r="K4" s="64" t="s">
        <v>9</v>
      </c>
      <c r="L4" s="61" t="s">
        <v>145</v>
      </c>
      <c r="M4" s="61" t="s">
        <v>146</v>
      </c>
      <c r="N4" s="61" t="s">
        <v>148</v>
      </c>
      <c r="O4" s="61" t="s">
        <v>194</v>
      </c>
      <c r="P4" s="61" t="s">
        <v>196</v>
      </c>
      <c r="Q4" s="61" t="s">
        <v>197</v>
      </c>
      <c r="R4" s="61" t="s">
        <v>195</v>
      </c>
      <c r="S4" s="61" t="s">
        <v>214</v>
      </c>
      <c r="T4" s="61" t="s">
        <v>198</v>
      </c>
    </row>
    <row r="5" spans="1:20" ht="15">
      <c r="A5" s="25" t="s">
        <v>110</v>
      </c>
      <c r="B5" s="25">
        <v>27082019</v>
      </c>
      <c r="C5" s="73">
        <v>0</v>
      </c>
      <c r="D5" s="25" t="s">
        <v>22</v>
      </c>
      <c r="E5" s="25" t="s">
        <v>22</v>
      </c>
      <c r="F5" s="25" t="s">
        <v>22</v>
      </c>
      <c r="G5" s="25" t="s">
        <v>22</v>
      </c>
      <c r="H5" s="25" t="s">
        <v>22</v>
      </c>
      <c r="I5" s="25" t="s">
        <v>22</v>
      </c>
      <c r="J5" s="25">
        <v>0</v>
      </c>
      <c r="K5" s="25"/>
      <c r="L5" s="74">
        <v>2.94</v>
      </c>
      <c r="M5" s="74">
        <v>43.76</v>
      </c>
      <c r="N5" s="74">
        <v>0.11600000000000001</v>
      </c>
      <c r="P5" s="65"/>
      <c r="S5" s="65"/>
    </row>
    <row r="6" spans="1:20" ht="15">
      <c r="A6" s="25" t="s">
        <v>110</v>
      </c>
      <c r="B6" s="25">
        <v>27082019</v>
      </c>
      <c r="C6" s="73">
        <v>0</v>
      </c>
      <c r="D6" s="25" t="s">
        <v>22</v>
      </c>
      <c r="E6" s="25" t="s">
        <v>22</v>
      </c>
      <c r="F6" s="25" t="s">
        <v>22</v>
      </c>
      <c r="G6" s="25" t="s">
        <v>22</v>
      </c>
      <c r="H6" s="25" t="s">
        <v>22</v>
      </c>
      <c r="I6" s="25" t="s">
        <v>22</v>
      </c>
      <c r="J6" s="25">
        <v>0</v>
      </c>
      <c r="K6" s="25"/>
      <c r="L6" s="74">
        <v>2.5099999999999998</v>
      </c>
      <c r="M6" s="74">
        <v>42.94</v>
      </c>
      <c r="N6" s="74">
        <v>0.10299999999999999</v>
      </c>
      <c r="P6" s="65"/>
      <c r="S6" s="66"/>
    </row>
    <row r="7" spans="1:20" ht="15">
      <c r="A7" s="25" t="s">
        <v>110</v>
      </c>
      <c r="B7" s="25">
        <v>27082019</v>
      </c>
      <c r="C7" s="73">
        <v>0</v>
      </c>
      <c r="D7" s="25" t="s">
        <v>22</v>
      </c>
      <c r="E7" s="25" t="s">
        <v>22</v>
      </c>
      <c r="F7" s="25" t="s">
        <v>22</v>
      </c>
      <c r="G7" s="25" t="s">
        <v>22</v>
      </c>
      <c r="H7" s="25" t="s">
        <v>22</v>
      </c>
      <c r="I7" s="25" t="s">
        <v>22</v>
      </c>
      <c r="J7" s="25">
        <v>0</v>
      </c>
      <c r="K7" s="25"/>
      <c r="L7" s="74">
        <v>2.82</v>
      </c>
      <c r="M7" s="74">
        <v>43.46</v>
      </c>
      <c r="N7" s="74">
        <v>0.11</v>
      </c>
      <c r="P7" s="65"/>
      <c r="S7" s="66"/>
    </row>
    <row r="8" spans="1:20" ht="14">
      <c r="A8" s="25" t="s">
        <v>204</v>
      </c>
      <c r="B8" s="25">
        <v>27082019</v>
      </c>
      <c r="C8" s="73">
        <v>3</v>
      </c>
      <c r="D8" s="25">
        <v>1.0125999999999999</v>
      </c>
      <c r="E8" s="58">
        <v>12.808199999999999</v>
      </c>
      <c r="F8" s="58">
        <f>E8-D8</f>
        <v>11.7956</v>
      </c>
      <c r="G8" s="25">
        <f>F8*$F$2</f>
        <v>2.7719659999999999</v>
      </c>
      <c r="H8" s="25">
        <v>2.3860000000000001</v>
      </c>
      <c r="I8" s="25">
        <f>H8-D8</f>
        <v>1.3734000000000002</v>
      </c>
      <c r="J8" s="25">
        <f>G8-I8</f>
        <v>1.3985659999999998</v>
      </c>
      <c r="K8" s="25"/>
      <c r="L8" s="74">
        <v>0.93</v>
      </c>
      <c r="M8" s="74">
        <v>42.04</v>
      </c>
      <c r="N8" s="74">
        <v>0.13500000000000001</v>
      </c>
      <c r="O8">
        <f>G8*($L$2/100)</f>
        <v>7.6413862733333324E-2</v>
      </c>
      <c r="P8">
        <f>I8*(L8/$Q$2)</f>
        <v>1.2772620000000004E-2</v>
      </c>
      <c r="Q8">
        <f>O8-P8</f>
        <v>6.3641242733333325E-2</v>
      </c>
      <c r="R8">
        <f>G8*($N$2/100)</f>
        <v>3.0399227133333338E-3</v>
      </c>
      <c r="S8">
        <f>I8*(N8/$Q$2)</f>
        <v>1.8540900000000003E-3</v>
      </c>
      <c r="T8">
        <f>R8-S8</f>
        <v>1.1858327133333335E-3</v>
      </c>
    </row>
    <row r="9" spans="1:20" ht="14">
      <c r="A9" s="25" t="s">
        <v>205</v>
      </c>
      <c r="B9" s="25">
        <v>27082019</v>
      </c>
      <c r="C9" s="73">
        <v>3</v>
      </c>
      <c r="D9" s="25">
        <v>1.0035000000000001</v>
      </c>
      <c r="E9" s="58">
        <v>13.441599999999999</v>
      </c>
      <c r="F9" s="58">
        <f t="shared" ref="F9:F22" si="0">E9-D9</f>
        <v>12.438099999999999</v>
      </c>
      <c r="G9" s="25">
        <f t="shared" ref="G9:G22" si="1">F9*$F$2</f>
        <v>2.9229534999999993</v>
      </c>
      <c r="H9" s="25">
        <v>2.3290000000000002</v>
      </c>
      <c r="I9" s="25">
        <f t="shared" ref="I9:I22" si="2">H9-D9</f>
        <v>1.3255000000000001</v>
      </c>
      <c r="J9" s="25">
        <f t="shared" ref="J9:J22" si="3">G9-I9</f>
        <v>1.5974534999999992</v>
      </c>
      <c r="K9" s="25"/>
      <c r="L9" s="74">
        <v>1.24</v>
      </c>
      <c r="M9" s="74">
        <v>44.91</v>
      </c>
      <c r="N9" s="74">
        <v>0.11799999999999999</v>
      </c>
      <c r="O9">
        <f t="shared" ref="O9:O22" si="4">G9*($L$2/100)</f>
        <v>8.0576084816666643E-2</v>
      </c>
      <c r="P9">
        <f t="shared" ref="P9:P22" si="5">I9*(L9/$Q$2)</f>
        <v>1.6436200000000002E-2</v>
      </c>
      <c r="Q9">
        <f t="shared" ref="Q9:Q22" si="6">O9-P9</f>
        <v>6.4139884816666645E-2</v>
      </c>
      <c r="R9">
        <f t="shared" ref="R9:R22" si="7">G9*($N$2/100)</f>
        <v>3.2055056716666663E-3</v>
      </c>
      <c r="S9">
        <f t="shared" ref="S9:S22" si="8">I9*(N9/$Q$2)</f>
        <v>1.56409E-3</v>
      </c>
      <c r="T9">
        <f t="shared" ref="T9:T22" si="9">R9-S9</f>
        <v>1.6414156716666663E-3</v>
      </c>
    </row>
    <row r="10" spans="1:20" ht="14">
      <c r="A10" s="25" t="s">
        <v>206</v>
      </c>
      <c r="B10" s="25">
        <v>27082019</v>
      </c>
      <c r="C10" s="73">
        <v>3</v>
      </c>
      <c r="D10" s="25">
        <v>1.0044999999999999</v>
      </c>
      <c r="E10" s="58">
        <v>13.0189</v>
      </c>
      <c r="F10" s="58">
        <f t="shared" si="0"/>
        <v>12.0144</v>
      </c>
      <c r="G10" s="25">
        <f t="shared" si="1"/>
        <v>2.8233839999999999</v>
      </c>
      <c r="H10" s="25">
        <v>2.1909999999999998</v>
      </c>
      <c r="I10" s="25">
        <f t="shared" si="2"/>
        <v>1.1864999999999999</v>
      </c>
      <c r="J10" s="25">
        <f t="shared" si="3"/>
        <v>1.636884</v>
      </c>
      <c r="K10" s="25"/>
      <c r="L10" s="74">
        <v>1.03</v>
      </c>
      <c r="M10" s="74">
        <v>42.39</v>
      </c>
      <c r="N10" s="74">
        <v>0.121</v>
      </c>
      <c r="O10">
        <f t="shared" si="4"/>
        <v>7.783128559999998E-2</v>
      </c>
      <c r="P10">
        <f t="shared" si="5"/>
        <v>1.222095E-2</v>
      </c>
      <c r="Q10">
        <f t="shared" si="6"/>
        <v>6.5610335599999986E-2</v>
      </c>
      <c r="R10">
        <f t="shared" si="7"/>
        <v>3.0963111200000004E-3</v>
      </c>
      <c r="S10">
        <f t="shared" si="8"/>
        <v>1.4356649999999998E-3</v>
      </c>
      <c r="T10">
        <f t="shared" si="9"/>
        <v>1.6606461200000006E-3</v>
      </c>
    </row>
    <row r="11" spans="1:20" ht="14">
      <c r="A11" s="25" t="s">
        <v>207</v>
      </c>
      <c r="B11" s="25">
        <v>27082019</v>
      </c>
      <c r="C11" s="73">
        <v>7</v>
      </c>
      <c r="D11" s="25">
        <v>1.0039</v>
      </c>
      <c r="E11" s="58">
        <v>12.8971</v>
      </c>
      <c r="F11" s="58">
        <f t="shared" si="0"/>
        <v>11.8932</v>
      </c>
      <c r="G11" s="25">
        <f t="shared" si="1"/>
        <v>2.794902</v>
      </c>
      <c r="H11" s="25">
        <v>2.117</v>
      </c>
      <c r="I11" s="25">
        <f t="shared" si="2"/>
        <v>1.1131</v>
      </c>
      <c r="J11" s="25">
        <f t="shared" si="3"/>
        <v>1.681802</v>
      </c>
      <c r="K11" s="25"/>
      <c r="L11" s="74">
        <v>1.32</v>
      </c>
      <c r="M11" s="74">
        <v>45.26</v>
      </c>
      <c r="N11" s="74">
        <v>0.14499999999999999</v>
      </c>
      <c r="O11">
        <f t="shared" si="4"/>
        <v>7.7046131799999987E-2</v>
      </c>
      <c r="P11">
        <f t="shared" si="5"/>
        <v>1.469292E-2</v>
      </c>
      <c r="Q11">
        <f t="shared" si="6"/>
        <v>6.2353211799999989E-2</v>
      </c>
      <c r="R11">
        <f t="shared" si="7"/>
        <v>3.0650758600000005E-3</v>
      </c>
      <c r="S11">
        <f t="shared" si="8"/>
        <v>1.6139949999999998E-3</v>
      </c>
      <c r="T11">
        <f t="shared" si="9"/>
        <v>1.4510808600000007E-3</v>
      </c>
    </row>
    <row r="12" spans="1:20" ht="14">
      <c r="A12" s="25" t="s">
        <v>208</v>
      </c>
      <c r="B12" s="25">
        <v>27082019</v>
      </c>
      <c r="C12" s="73">
        <v>7</v>
      </c>
      <c r="D12" s="25">
        <v>0.99850000000000005</v>
      </c>
      <c r="E12" s="58">
        <v>13.2668</v>
      </c>
      <c r="F12" s="58">
        <f t="shared" si="0"/>
        <v>12.2683</v>
      </c>
      <c r="G12" s="25">
        <f t="shared" si="1"/>
        <v>2.8830505</v>
      </c>
      <c r="H12" s="25">
        <v>2.1179999999999999</v>
      </c>
      <c r="I12" s="25">
        <f t="shared" si="2"/>
        <v>1.1194999999999999</v>
      </c>
      <c r="J12" s="25">
        <f t="shared" si="3"/>
        <v>1.7635505</v>
      </c>
      <c r="K12" s="25"/>
      <c r="L12" s="74">
        <v>1.56</v>
      </c>
      <c r="M12" s="74">
        <v>46.18</v>
      </c>
      <c r="N12" s="74">
        <v>0.17799999999999999</v>
      </c>
      <c r="O12">
        <f t="shared" si="4"/>
        <v>7.9476092116666661E-2</v>
      </c>
      <c r="P12">
        <f t="shared" si="5"/>
        <v>1.7464199999999999E-2</v>
      </c>
      <c r="Q12">
        <f t="shared" si="6"/>
        <v>6.2011892116666661E-2</v>
      </c>
      <c r="R12">
        <f t="shared" si="7"/>
        <v>3.1617453816666671E-3</v>
      </c>
      <c r="S12">
        <f t="shared" si="8"/>
        <v>1.99271E-3</v>
      </c>
      <c r="T12">
        <f t="shared" si="9"/>
        <v>1.1690353816666671E-3</v>
      </c>
    </row>
    <row r="13" spans="1:20" ht="14">
      <c r="A13" s="25" t="s">
        <v>209</v>
      </c>
      <c r="B13" s="25">
        <v>27082019</v>
      </c>
      <c r="C13" s="73">
        <v>7</v>
      </c>
      <c r="D13" s="25">
        <v>1.0059</v>
      </c>
      <c r="E13" s="58">
        <v>13.0151</v>
      </c>
      <c r="F13" s="58">
        <f t="shared" si="0"/>
        <v>12.0092</v>
      </c>
      <c r="G13" s="25">
        <f t="shared" si="1"/>
        <v>2.8221619999999996</v>
      </c>
      <c r="H13" s="25">
        <v>2.036</v>
      </c>
      <c r="I13" s="25">
        <f t="shared" si="2"/>
        <v>1.0301</v>
      </c>
      <c r="J13" s="25">
        <f t="shared" si="3"/>
        <v>1.7920619999999996</v>
      </c>
      <c r="K13" s="25"/>
      <c r="L13" s="74">
        <v>1.37</v>
      </c>
      <c r="M13" s="74">
        <v>46.29</v>
      </c>
      <c r="N13" s="74">
        <v>0.154</v>
      </c>
      <c r="O13">
        <f t="shared" si="4"/>
        <v>7.7797599133333312E-2</v>
      </c>
      <c r="P13">
        <f t="shared" si="5"/>
        <v>1.4112370000000001E-2</v>
      </c>
      <c r="Q13">
        <f t="shared" si="6"/>
        <v>6.3685229133333313E-2</v>
      </c>
      <c r="R13">
        <f t="shared" si="7"/>
        <v>3.0949709933333334E-3</v>
      </c>
      <c r="S13">
        <f t="shared" si="8"/>
        <v>1.5863539999999999E-3</v>
      </c>
      <c r="T13">
        <f t="shared" si="9"/>
        <v>1.5086169933333335E-3</v>
      </c>
    </row>
    <row r="14" spans="1:20" ht="14">
      <c r="A14" s="25" t="s">
        <v>59</v>
      </c>
      <c r="B14" s="25">
        <v>27082019</v>
      </c>
      <c r="C14" s="73">
        <v>14</v>
      </c>
      <c r="D14" s="25">
        <v>0.99739999999999995</v>
      </c>
      <c r="E14" s="58">
        <v>13.456799999999999</v>
      </c>
      <c r="F14" s="58">
        <f t="shared" si="0"/>
        <v>12.459399999999999</v>
      </c>
      <c r="G14" s="25">
        <f t="shared" si="1"/>
        <v>2.9279589999999995</v>
      </c>
      <c r="H14" s="25">
        <v>2.0270000000000001</v>
      </c>
      <c r="I14" s="25">
        <f t="shared" si="2"/>
        <v>1.0296000000000003</v>
      </c>
      <c r="J14" s="25">
        <f t="shared" si="3"/>
        <v>1.8983589999999992</v>
      </c>
      <c r="K14" s="25"/>
      <c r="L14" s="74">
        <v>1.73</v>
      </c>
      <c r="M14" s="74">
        <v>46.8</v>
      </c>
      <c r="N14" s="74">
        <v>0.247</v>
      </c>
      <c r="O14">
        <f t="shared" si="4"/>
        <v>8.0714069766666646E-2</v>
      </c>
      <c r="P14">
        <f t="shared" si="5"/>
        <v>1.7812080000000004E-2</v>
      </c>
      <c r="Q14">
        <f t="shared" si="6"/>
        <v>6.2901989766666638E-2</v>
      </c>
      <c r="R14">
        <f t="shared" si="7"/>
        <v>3.2109950366666666E-3</v>
      </c>
      <c r="S14">
        <f t="shared" si="8"/>
        <v>2.5431120000000006E-3</v>
      </c>
      <c r="T14">
        <f t="shared" si="9"/>
        <v>6.6788303666666599E-4</v>
      </c>
    </row>
    <row r="15" spans="1:20" ht="14">
      <c r="A15" s="25" t="s">
        <v>60</v>
      </c>
      <c r="B15" s="25">
        <v>27082019</v>
      </c>
      <c r="C15" s="73">
        <v>14</v>
      </c>
      <c r="D15" s="25">
        <v>0.99409999999999998</v>
      </c>
      <c r="E15" s="58">
        <v>12.6067</v>
      </c>
      <c r="F15" s="58">
        <f t="shared" si="0"/>
        <v>11.6126</v>
      </c>
      <c r="G15" s="25">
        <f t="shared" si="1"/>
        <v>2.728961</v>
      </c>
      <c r="H15" s="25">
        <v>1.9159999999999999</v>
      </c>
      <c r="I15" s="25">
        <f t="shared" si="2"/>
        <v>0.92189999999999994</v>
      </c>
      <c r="J15" s="25">
        <f t="shared" si="3"/>
        <v>1.807061</v>
      </c>
      <c r="K15" s="25"/>
      <c r="L15" s="74">
        <v>1.44</v>
      </c>
      <c r="M15" s="74">
        <v>45.1</v>
      </c>
      <c r="N15" s="74">
        <v>0.2</v>
      </c>
      <c r="O15">
        <f t="shared" si="4"/>
        <v>7.522835823333332E-2</v>
      </c>
      <c r="P15">
        <f t="shared" si="5"/>
        <v>1.3275359999999998E-2</v>
      </c>
      <c r="Q15">
        <f t="shared" si="6"/>
        <v>6.195299823333332E-2</v>
      </c>
      <c r="R15">
        <f t="shared" si="7"/>
        <v>2.9927605633333337E-3</v>
      </c>
      <c r="S15">
        <f t="shared" si="8"/>
        <v>1.8437999999999998E-3</v>
      </c>
      <c r="T15">
        <f t="shared" si="9"/>
        <v>1.1489605633333338E-3</v>
      </c>
    </row>
    <row r="16" spans="1:20" ht="14">
      <c r="A16" s="25" t="s">
        <v>61</v>
      </c>
      <c r="B16" s="25">
        <v>27082019</v>
      </c>
      <c r="C16" s="73">
        <v>14</v>
      </c>
      <c r="D16" s="25">
        <v>0.99370000000000003</v>
      </c>
      <c r="E16" s="58">
        <v>13.286099999999999</v>
      </c>
      <c r="F16" s="58">
        <f t="shared" si="0"/>
        <v>12.292399999999999</v>
      </c>
      <c r="G16" s="25">
        <f t="shared" si="1"/>
        <v>2.8887139999999998</v>
      </c>
      <c r="H16" s="25">
        <v>1.889</v>
      </c>
      <c r="I16" s="25">
        <f t="shared" si="2"/>
        <v>0.89529999999999998</v>
      </c>
      <c r="J16" s="25">
        <f t="shared" si="3"/>
        <v>1.9934139999999998</v>
      </c>
      <c r="K16" s="25"/>
      <c r="L16" s="74">
        <v>1.32</v>
      </c>
      <c r="M16" s="74">
        <v>46.91</v>
      </c>
      <c r="N16" s="74">
        <v>0.192</v>
      </c>
      <c r="O16">
        <f t="shared" si="4"/>
        <v>7.963221593333332E-2</v>
      </c>
      <c r="P16">
        <f t="shared" si="5"/>
        <v>1.1817959999999999E-2</v>
      </c>
      <c r="Q16">
        <f t="shared" si="6"/>
        <v>6.7814255933333317E-2</v>
      </c>
      <c r="R16">
        <f t="shared" si="7"/>
        <v>3.1679563533333335E-3</v>
      </c>
      <c r="S16">
        <f t="shared" si="8"/>
        <v>1.7189760000000001E-3</v>
      </c>
      <c r="T16">
        <f t="shared" si="9"/>
        <v>1.4489803533333334E-3</v>
      </c>
    </row>
    <row r="17" spans="1:20" ht="14">
      <c r="A17" s="25" t="s">
        <v>62</v>
      </c>
      <c r="B17" s="25">
        <v>27082019</v>
      </c>
      <c r="C17" s="73">
        <v>30</v>
      </c>
      <c r="D17" s="25">
        <v>0.99950000000000006</v>
      </c>
      <c r="E17" s="58">
        <v>12.9551</v>
      </c>
      <c r="F17" s="58">
        <f t="shared" si="0"/>
        <v>11.9556</v>
      </c>
      <c r="G17" s="25">
        <f t="shared" si="1"/>
        <v>2.8095659999999998</v>
      </c>
      <c r="H17" s="25">
        <v>1.907</v>
      </c>
      <c r="I17" s="25">
        <f t="shared" si="2"/>
        <v>0.90749999999999997</v>
      </c>
      <c r="J17" s="25">
        <f t="shared" si="3"/>
        <v>1.9020659999999998</v>
      </c>
      <c r="K17" s="25"/>
      <c r="L17" s="74">
        <v>1.29</v>
      </c>
      <c r="M17" s="74">
        <v>45.91</v>
      </c>
      <c r="N17" s="74">
        <v>0.21199999999999999</v>
      </c>
      <c r="O17">
        <f t="shared" si="4"/>
        <v>7.7450369399999983E-2</v>
      </c>
      <c r="P17">
        <f t="shared" si="5"/>
        <v>1.170675E-2</v>
      </c>
      <c r="Q17">
        <f t="shared" si="6"/>
        <v>6.5743619399999981E-2</v>
      </c>
      <c r="R17">
        <f t="shared" si="7"/>
        <v>3.0811573799999999E-3</v>
      </c>
      <c r="S17">
        <f t="shared" si="8"/>
        <v>1.9238999999999999E-3</v>
      </c>
      <c r="T17">
        <f t="shared" si="9"/>
        <v>1.1572573800000001E-3</v>
      </c>
    </row>
    <row r="18" spans="1:20" ht="14">
      <c r="A18" s="25" t="s">
        <v>63</v>
      </c>
      <c r="B18" s="25">
        <v>27082019</v>
      </c>
      <c r="C18" s="73">
        <v>30</v>
      </c>
      <c r="D18" s="25">
        <v>1.0088999999999999</v>
      </c>
      <c r="E18" s="58">
        <v>12.907</v>
      </c>
      <c r="F18" s="58">
        <f t="shared" si="0"/>
        <v>11.898099999999999</v>
      </c>
      <c r="G18" s="25">
        <f t="shared" si="1"/>
        <v>2.7960534999999997</v>
      </c>
      <c r="H18" s="25">
        <v>1.845</v>
      </c>
      <c r="I18" s="25">
        <f t="shared" si="2"/>
        <v>0.83610000000000007</v>
      </c>
      <c r="J18" s="25">
        <f t="shared" si="3"/>
        <v>1.9599534999999997</v>
      </c>
      <c r="K18" s="25"/>
      <c r="L18" s="74">
        <v>1.08</v>
      </c>
      <c r="M18" s="74">
        <v>45.9</v>
      </c>
      <c r="N18" s="74">
        <v>0.186</v>
      </c>
      <c r="O18">
        <f t="shared" si="4"/>
        <v>7.7077874816666656E-2</v>
      </c>
      <c r="P18">
        <f t="shared" si="5"/>
        <v>9.0298800000000005E-3</v>
      </c>
      <c r="Q18">
        <f t="shared" si="6"/>
        <v>6.8047994816666652E-2</v>
      </c>
      <c r="R18">
        <f t="shared" si="7"/>
        <v>3.0663386716666668E-3</v>
      </c>
      <c r="S18">
        <f t="shared" si="8"/>
        <v>1.5551460000000001E-3</v>
      </c>
      <c r="T18">
        <f t="shared" si="9"/>
        <v>1.5111926716666667E-3</v>
      </c>
    </row>
    <row r="19" spans="1:20" ht="14">
      <c r="A19" s="25" t="s">
        <v>64</v>
      </c>
      <c r="B19" s="25">
        <v>27082019</v>
      </c>
      <c r="C19" s="73">
        <v>30</v>
      </c>
      <c r="D19" s="25">
        <v>1.0078</v>
      </c>
      <c r="E19" s="58">
        <v>12.6807</v>
      </c>
      <c r="F19" s="58">
        <f t="shared" si="0"/>
        <v>11.6729</v>
      </c>
      <c r="G19" s="25">
        <f t="shared" si="1"/>
        <v>2.7431315000000001</v>
      </c>
      <c r="H19" s="25">
        <v>1.7769999999999999</v>
      </c>
      <c r="I19" s="25">
        <f t="shared" si="2"/>
        <v>0.76919999999999988</v>
      </c>
      <c r="J19" s="25">
        <f t="shared" si="3"/>
        <v>1.9739315000000002</v>
      </c>
      <c r="K19" s="25"/>
      <c r="L19" s="74">
        <v>1.1499999999999999</v>
      </c>
      <c r="M19" s="74">
        <v>45.3</v>
      </c>
      <c r="N19" s="74">
        <v>0.20200000000000001</v>
      </c>
      <c r="O19">
        <f t="shared" si="4"/>
        <v>7.5618991683333331E-2</v>
      </c>
      <c r="P19">
        <f t="shared" si="5"/>
        <v>8.8457999999999991E-3</v>
      </c>
      <c r="Q19">
        <f t="shared" si="6"/>
        <v>6.677319168333333E-2</v>
      </c>
      <c r="R19">
        <f t="shared" si="7"/>
        <v>3.0083008783333338E-3</v>
      </c>
      <c r="S19">
        <f t="shared" si="8"/>
        <v>1.5537839999999999E-3</v>
      </c>
      <c r="T19">
        <f t="shared" si="9"/>
        <v>1.4545168783333339E-3</v>
      </c>
    </row>
    <row r="20" spans="1:20" ht="14">
      <c r="A20" s="25" t="s">
        <v>65</v>
      </c>
      <c r="B20" s="25">
        <v>27082019</v>
      </c>
      <c r="C20" s="73">
        <v>30</v>
      </c>
      <c r="D20" s="25">
        <v>1.3452999999999999</v>
      </c>
      <c r="E20" s="58">
        <v>25.459499999999998</v>
      </c>
      <c r="F20" s="58">
        <f t="shared" si="0"/>
        <v>24.114199999999997</v>
      </c>
      <c r="G20" s="25">
        <f t="shared" si="1"/>
        <v>5.6668369999999992</v>
      </c>
      <c r="H20" s="25">
        <v>3.0129999999999999</v>
      </c>
      <c r="I20" s="25">
        <f t="shared" si="2"/>
        <v>1.6677</v>
      </c>
      <c r="J20" s="25">
        <f t="shared" si="3"/>
        <v>3.9991369999999993</v>
      </c>
      <c r="K20" s="25"/>
      <c r="L20" s="74">
        <v>1.1200000000000001</v>
      </c>
      <c r="M20" s="74">
        <v>45.56</v>
      </c>
      <c r="N20" s="74">
        <v>0.187</v>
      </c>
      <c r="O20">
        <f t="shared" si="4"/>
        <v>0.15621580663333329</v>
      </c>
      <c r="P20">
        <f t="shared" si="5"/>
        <v>1.8678240000000002E-2</v>
      </c>
      <c r="Q20">
        <f t="shared" si="6"/>
        <v>0.13753756663333327</v>
      </c>
      <c r="R20">
        <f t="shared" si="7"/>
        <v>6.2146312433333335E-3</v>
      </c>
      <c r="S20">
        <f t="shared" si="8"/>
        <v>3.1185989999999997E-3</v>
      </c>
      <c r="T20">
        <f t="shared" si="9"/>
        <v>3.0960322433333338E-3</v>
      </c>
    </row>
    <row r="21" spans="1:20" ht="14">
      <c r="A21" s="25" t="s">
        <v>66</v>
      </c>
      <c r="B21" s="25">
        <v>27082019</v>
      </c>
      <c r="C21" s="73">
        <v>30</v>
      </c>
      <c r="D21" s="25">
        <v>1.3544</v>
      </c>
      <c r="E21" s="58">
        <v>24.8581</v>
      </c>
      <c r="F21" s="58">
        <f t="shared" si="0"/>
        <v>23.503700000000002</v>
      </c>
      <c r="G21" s="25">
        <f t="shared" si="1"/>
        <v>5.5233695000000003</v>
      </c>
      <c r="H21" s="25">
        <v>3.081</v>
      </c>
      <c r="I21" s="25">
        <f t="shared" si="2"/>
        <v>1.7265999999999999</v>
      </c>
      <c r="J21" s="25">
        <f t="shared" si="3"/>
        <v>3.7967695000000004</v>
      </c>
      <c r="K21" s="25"/>
      <c r="L21" s="74">
        <v>1.38</v>
      </c>
      <c r="M21" s="74">
        <v>46.74</v>
      </c>
      <c r="N21" s="74">
        <v>0.22700000000000001</v>
      </c>
      <c r="O21">
        <f t="shared" si="4"/>
        <v>0.15226088588333331</v>
      </c>
      <c r="P21">
        <f t="shared" si="5"/>
        <v>2.3827079999999997E-2</v>
      </c>
      <c r="Q21">
        <f t="shared" si="6"/>
        <v>0.12843380588333331</v>
      </c>
      <c r="R21">
        <f t="shared" si="7"/>
        <v>6.0572952183333339E-3</v>
      </c>
      <c r="S21">
        <f t="shared" si="8"/>
        <v>3.9193819999999999E-3</v>
      </c>
      <c r="T21">
        <f t="shared" si="9"/>
        <v>2.137913218333334E-3</v>
      </c>
    </row>
    <row r="22" spans="1:20" ht="14">
      <c r="A22" s="25" t="s">
        <v>67</v>
      </c>
      <c r="B22" s="25">
        <v>27082019</v>
      </c>
      <c r="C22" s="73">
        <v>30</v>
      </c>
      <c r="D22" s="25">
        <v>1.3548</v>
      </c>
      <c r="E22" s="58">
        <v>24.940999999999999</v>
      </c>
      <c r="F22" s="58">
        <f t="shared" si="0"/>
        <v>23.586199999999998</v>
      </c>
      <c r="G22" s="25">
        <f t="shared" si="1"/>
        <v>5.542756999999999</v>
      </c>
      <c r="H22" s="25">
        <v>3.0339999999999998</v>
      </c>
      <c r="I22" s="25">
        <f t="shared" si="2"/>
        <v>1.6791999999999998</v>
      </c>
      <c r="J22" s="25">
        <f t="shared" si="3"/>
        <v>3.8635569999999992</v>
      </c>
      <c r="K22" s="25"/>
      <c r="L22" s="74">
        <v>1.38</v>
      </c>
      <c r="M22" s="74">
        <v>46.16</v>
      </c>
      <c r="N22" s="74">
        <v>0.20100000000000001</v>
      </c>
      <c r="O22">
        <f t="shared" si="4"/>
        <v>0.15279533463333328</v>
      </c>
      <c r="P22">
        <f t="shared" si="5"/>
        <v>2.3172959999999996E-2</v>
      </c>
      <c r="Q22">
        <f t="shared" si="6"/>
        <v>0.12962237463333329</v>
      </c>
      <c r="R22">
        <f t="shared" si="7"/>
        <v>6.0785568433333334E-3</v>
      </c>
      <c r="S22">
        <f t="shared" si="8"/>
        <v>3.3751919999999995E-3</v>
      </c>
      <c r="T22">
        <f t="shared" si="9"/>
        <v>2.7033648433333339E-3</v>
      </c>
    </row>
    <row r="23" spans="1:20">
      <c r="A23" s="59"/>
      <c r="B23" s="40"/>
      <c r="C23" s="40"/>
      <c r="D23" s="40"/>
      <c r="E23" s="40"/>
      <c r="F23" s="40"/>
      <c r="G23" s="40"/>
      <c r="H23" s="40"/>
    </row>
    <row r="24" spans="1:20">
      <c r="A24" s="59"/>
      <c r="B24" s="40"/>
      <c r="C24" s="40"/>
      <c r="D24" s="40"/>
      <c r="E24" s="40"/>
      <c r="F24" s="40"/>
      <c r="G24" s="40"/>
      <c r="H24" s="40"/>
    </row>
    <row r="25" spans="1:20">
      <c r="A25" s="59"/>
      <c r="B25" s="40"/>
      <c r="C25" s="40"/>
      <c r="D25" s="40"/>
      <c r="E25" s="40"/>
      <c r="F25" s="40"/>
      <c r="G25" s="40"/>
      <c r="H25" s="40"/>
    </row>
    <row r="26" spans="1:20">
      <c r="A26" s="59"/>
      <c r="B26" s="40"/>
      <c r="C26" s="40"/>
      <c r="D26" s="40"/>
      <c r="E26" s="40"/>
      <c r="F26" s="40"/>
      <c r="G26" s="40"/>
      <c r="H26" s="40"/>
    </row>
    <row r="27" spans="1:20">
      <c r="A27" s="59"/>
      <c r="B27" s="40"/>
      <c r="C27" s="40"/>
      <c r="D27" s="40"/>
      <c r="E27" s="40"/>
      <c r="F27" s="40"/>
      <c r="G27" s="40"/>
      <c r="H27" s="40"/>
    </row>
    <row r="28" spans="1:20">
      <c r="A28" s="59"/>
      <c r="B28" s="40"/>
      <c r="C28" s="40"/>
      <c r="D28" s="40"/>
      <c r="E28" s="40"/>
      <c r="F28" s="40"/>
      <c r="G28" s="40"/>
      <c r="H28" s="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B61" sqref="B61"/>
    </sheetView>
  </sheetViews>
  <sheetFormatPr baseColWidth="10" defaultRowHeight="13" x14ac:dyDescent="0"/>
  <sheetData>
    <row r="1" spans="1:5" ht="14">
      <c r="A1" s="17" t="s">
        <v>81</v>
      </c>
      <c r="E1" s="40"/>
    </row>
    <row r="2" spans="1:5">
      <c r="A2" s="27" t="s">
        <v>45</v>
      </c>
      <c r="B2" s="32" t="s">
        <v>49</v>
      </c>
      <c r="C2" s="32" t="s">
        <v>70</v>
      </c>
      <c r="D2" s="6" t="s">
        <v>71</v>
      </c>
      <c r="E2" s="8" t="s">
        <v>119</v>
      </c>
    </row>
    <row r="3" spans="1:5">
      <c r="A3" s="6" t="s">
        <v>53</v>
      </c>
      <c r="B3" s="6">
        <v>29082019</v>
      </c>
      <c r="C3" s="50">
        <v>0.26695000000000002</v>
      </c>
      <c r="D3" s="11">
        <v>0.29425000000000001</v>
      </c>
      <c r="E3" s="11">
        <f>C3/(C3+D3)</f>
        <v>0.47567712045616539</v>
      </c>
    </row>
    <row r="4" spans="1:5">
      <c r="A4" s="6" t="s">
        <v>56</v>
      </c>
      <c r="B4" s="6">
        <v>29082019</v>
      </c>
      <c r="C4" s="50">
        <v>0.29481000000000002</v>
      </c>
      <c r="D4" s="11">
        <v>0.27986</v>
      </c>
      <c r="E4" s="11">
        <f t="shared" ref="E4:E43" si="0">C4/(C4+D4)</f>
        <v>0.51300746515391449</v>
      </c>
    </row>
    <row r="5" spans="1:5">
      <c r="A5" s="6" t="s">
        <v>59</v>
      </c>
      <c r="B5" s="6">
        <v>29082019</v>
      </c>
      <c r="C5" s="50">
        <v>0.30737999999999999</v>
      </c>
      <c r="D5" s="11">
        <v>0.29486000000000001</v>
      </c>
      <c r="E5" s="11">
        <f t="shared" si="0"/>
        <v>0.51039452709883104</v>
      </c>
    </row>
    <row r="6" spans="1:5">
      <c r="A6" s="6" t="s">
        <v>62</v>
      </c>
      <c r="B6" s="6">
        <v>29082019</v>
      </c>
      <c r="C6" s="50">
        <v>0.31442999999999999</v>
      </c>
      <c r="D6" s="11">
        <v>0.29154000000000002</v>
      </c>
      <c r="E6" s="11">
        <f t="shared" si="0"/>
        <v>0.51888707361750575</v>
      </c>
    </row>
    <row r="7" spans="1:5">
      <c r="A7" s="6" t="s">
        <v>40</v>
      </c>
      <c r="B7" s="6">
        <v>29082019</v>
      </c>
      <c r="C7" s="50">
        <v>0.27427000000000001</v>
      </c>
      <c r="D7" s="11">
        <v>0.4965</v>
      </c>
      <c r="E7" s="11">
        <f t="shared" si="0"/>
        <v>0.35583896622857664</v>
      </c>
    </row>
    <row r="8" spans="1:5">
      <c r="A8" s="6" t="s">
        <v>72</v>
      </c>
      <c r="B8" s="6">
        <v>29082019</v>
      </c>
      <c r="C8" s="50">
        <v>4.5990000000000003E-2</v>
      </c>
      <c r="D8" s="11">
        <v>6.4756999999999995E-2</v>
      </c>
      <c r="E8" s="11">
        <f t="shared" si="0"/>
        <v>0.4152708425510398</v>
      </c>
    </row>
    <row r="9" spans="1:5">
      <c r="A9" s="6" t="s">
        <v>73</v>
      </c>
      <c r="B9" s="6">
        <v>29082019</v>
      </c>
      <c r="C9" s="50">
        <v>0.14213999999999999</v>
      </c>
      <c r="D9" s="11">
        <v>0.28473999999999999</v>
      </c>
      <c r="E9" s="11">
        <f t="shared" si="0"/>
        <v>0.33297413793103448</v>
      </c>
    </row>
    <row r="10" spans="1:5">
      <c r="A10" s="6" t="s">
        <v>65</v>
      </c>
      <c r="B10" s="6">
        <v>29082019</v>
      </c>
      <c r="C10" s="50">
        <v>0.30828</v>
      </c>
      <c r="D10" s="11">
        <v>0.38002999999999998</v>
      </c>
      <c r="E10" s="11">
        <f t="shared" si="0"/>
        <v>0.44787958913861486</v>
      </c>
    </row>
    <row r="11" spans="1:5">
      <c r="A11" s="6" t="s">
        <v>74</v>
      </c>
      <c r="B11" s="6">
        <v>29082019</v>
      </c>
      <c r="C11" s="50">
        <v>0.33007999999999998</v>
      </c>
      <c r="D11" s="11">
        <v>0.26441999999999999</v>
      </c>
      <c r="E11" s="11">
        <f t="shared" si="0"/>
        <v>0.55522287636669465</v>
      </c>
    </row>
    <row r="12" spans="1:5">
      <c r="A12" s="6" t="s">
        <v>53</v>
      </c>
      <c r="B12" s="6">
        <v>30082019</v>
      </c>
      <c r="C12" s="51">
        <v>0.38303999999999999</v>
      </c>
      <c r="D12" s="49">
        <v>0.34150000000000003</v>
      </c>
      <c r="E12" s="11">
        <f t="shared" si="0"/>
        <v>0.52866646423937946</v>
      </c>
    </row>
    <row r="13" spans="1:5">
      <c r="A13" s="6" t="s">
        <v>56</v>
      </c>
      <c r="B13" s="6">
        <v>30082019</v>
      </c>
      <c r="C13" s="51">
        <v>0.40577999999999997</v>
      </c>
      <c r="D13" s="49">
        <v>0.33095999999999998</v>
      </c>
      <c r="E13" s="11">
        <f t="shared" si="0"/>
        <v>0.55077775063115886</v>
      </c>
    </row>
    <row r="14" spans="1:5">
      <c r="A14" s="6" t="s">
        <v>59</v>
      </c>
      <c r="B14" s="6">
        <v>30082019</v>
      </c>
      <c r="C14" s="51">
        <v>0.30458000000000002</v>
      </c>
      <c r="D14" s="49">
        <v>0.25024999999999997</v>
      </c>
      <c r="E14" s="11">
        <f t="shared" si="0"/>
        <v>0.54896094299154707</v>
      </c>
    </row>
    <row r="15" spans="1:5">
      <c r="A15" s="6" t="s">
        <v>62</v>
      </c>
      <c r="B15" s="6">
        <v>30082019</v>
      </c>
      <c r="C15" s="51">
        <v>0.42257</v>
      </c>
      <c r="D15" s="49">
        <v>0.34300999999999998</v>
      </c>
      <c r="E15" s="11">
        <f t="shared" si="0"/>
        <v>0.55196060503147948</v>
      </c>
    </row>
    <row r="16" spans="1:5">
      <c r="A16" s="6" t="s">
        <v>40</v>
      </c>
      <c r="B16" s="6">
        <v>30082019</v>
      </c>
      <c r="C16" s="51">
        <v>4.9369999999999997E-2</v>
      </c>
      <c r="D16" s="49">
        <v>6.4259999999999998E-2</v>
      </c>
      <c r="E16" s="11">
        <f t="shared" si="0"/>
        <v>0.43448033089853033</v>
      </c>
    </row>
    <row r="17" spans="1:5">
      <c r="A17" s="6" t="s">
        <v>72</v>
      </c>
      <c r="B17" s="6">
        <v>30082019</v>
      </c>
      <c r="C17" s="51">
        <v>0.10403</v>
      </c>
      <c r="D17" s="49">
        <v>0.13067000000000001</v>
      </c>
      <c r="E17" s="11">
        <f t="shared" si="0"/>
        <v>0.44324669791222832</v>
      </c>
    </row>
    <row r="18" spans="1:5">
      <c r="A18" s="6" t="s">
        <v>73</v>
      </c>
      <c r="B18" s="6">
        <v>30082019</v>
      </c>
      <c r="C18" s="51">
        <v>0.30163000000000001</v>
      </c>
      <c r="D18" s="49">
        <v>0.38568999999999998</v>
      </c>
      <c r="E18" s="11">
        <f t="shared" si="0"/>
        <v>0.43884944421812261</v>
      </c>
    </row>
    <row r="19" spans="1:5">
      <c r="A19" s="6" t="s">
        <v>65</v>
      </c>
      <c r="B19" s="6">
        <v>30082019</v>
      </c>
      <c r="C19" s="51">
        <v>0.39683000000000002</v>
      </c>
      <c r="D19" s="49">
        <v>0.42526999999999998</v>
      </c>
      <c r="E19" s="11">
        <f t="shared" si="0"/>
        <v>0.48270283420508453</v>
      </c>
    </row>
    <row r="20" spans="1:5">
      <c r="A20" s="6" t="s">
        <v>74</v>
      </c>
      <c r="B20" s="6">
        <v>30082019</v>
      </c>
      <c r="C20" s="51">
        <v>0.42243999999999998</v>
      </c>
      <c r="D20" s="49">
        <v>0.33654000000000001</v>
      </c>
      <c r="E20" s="11">
        <f t="shared" si="0"/>
        <v>0.55658910643231707</v>
      </c>
    </row>
    <row r="21" spans="1:5">
      <c r="A21" s="6" t="s">
        <v>56</v>
      </c>
      <c r="B21" s="6">
        <v>1092019</v>
      </c>
      <c r="C21" s="51">
        <v>0.45865</v>
      </c>
      <c r="D21" s="49">
        <v>0.33737</v>
      </c>
      <c r="E21" s="11">
        <f t="shared" si="0"/>
        <v>0.57617899047762622</v>
      </c>
    </row>
    <row r="22" spans="1:5">
      <c r="A22" s="6" t="s">
        <v>59</v>
      </c>
      <c r="B22" s="12">
        <v>1092019</v>
      </c>
      <c r="C22" s="51">
        <v>0.48626999999999998</v>
      </c>
      <c r="D22" s="49">
        <v>0.35693000000000003</v>
      </c>
      <c r="E22" s="11">
        <f t="shared" si="0"/>
        <v>0.57669592030360528</v>
      </c>
    </row>
    <row r="23" spans="1:5">
      <c r="A23" s="6" t="s">
        <v>62</v>
      </c>
      <c r="B23" s="6">
        <v>1092019</v>
      </c>
      <c r="C23" s="51">
        <v>0.47852</v>
      </c>
      <c r="D23" s="49">
        <v>0.35447000000000001</v>
      </c>
      <c r="E23" s="11">
        <f t="shared" si="0"/>
        <v>0.57446067779925325</v>
      </c>
    </row>
    <row r="24" spans="1:5">
      <c r="A24" s="6" t="s">
        <v>40</v>
      </c>
      <c r="B24" s="12">
        <v>1092019</v>
      </c>
      <c r="C24" s="51">
        <v>0.10578</v>
      </c>
      <c r="D24" s="49">
        <v>9.2395000000000005E-2</v>
      </c>
      <c r="E24" s="11">
        <f t="shared" si="0"/>
        <v>0.53377065724738237</v>
      </c>
    </row>
    <row r="25" spans="1:5">
      <c r="A25" s="6" t="s">
        <v>72</v>
      </c>
      <c r="B25" s="6">
        <v>1092019</v>
      </c>
      <c r="C25" s="51">
        <v>0.16456999999999999</v>
      </c>
      <c r="D25" s="49">
        <v>0.12554000000000001</v>
      </c>
      <c r="E25" s="11">
        <f t="shared" si="0"/>
        <v>0.56726758815621658</v>
      </c>
    </row>
    <row r="26" spans="1:5">
      <c r="A26" s="6" t="s">
        <v>73</v>
      </c>
      <c r="B26" s="12">
        <v>1092019</v>
      </c>
      <c r="C26" s="51">
        <v>0.47588999999999998</v>
      </c>
      <c r="D26" s="49">
        <v>0.33754000000000001</v>
      </c>
      <c r="E26" s="11">
        <f t="shared" si="0"/>
        <v>0.58504112216171023</v>
      </c>
    </row>
    <row r="27" spans="1:5">
      <c r="A27" s="6" t="s">
        <v>65</v>
      </c>
      <c r="B27" s="6">
        <v>1092019</v>
      </c>
      <c r="C27" s="51">
        <v>0.48049999999999998</v>
      </c>
      <c r="D27" s="49">
        <v>0.36485000000000001</v>
      </c>
      <c r="E27" s="11">
        <f t="shared" si="0"/>
        <v>0.56840361980244869</v>
      </c>
    </row>
    <row r="28" spans="1:5">
      <c r="A28" s="6" t="s">
        <v>74</v>
      </c>
      <c r="B28" s="12">
        <v>1092019</v>
      </c>
      <c r="C28" s="51">
        <v>0.47659000000000001</v>
      </c>
      <c r="D28" s="49">
        <v>0.36112</v>
      </c>
      <c r="E28" s="11">
        <f t="shared" si="0"/>
        <v>0.56892003199197816</v>
      </c>
    </row>
    <row r="29" spans="1:5">
      <c r="A29" s="6" t="s">
        <v>56</v>
      </c>
      <c r="B29" s="6">
        <v>3092019</v>
      </c>
      <c r="C29" s="51">
        <v>0.48150999999999999</v>
      </c>
      <c r="D29" s="49">
        <v>0.33655000000000002</v>
      </c>
      <c r="E29" s="11">
        <f t="shared" si="0"/>
        <v>0.58859985820110994</v>
      </c>
    </row>
    <row r="30" spans="1:5">
      <c r="A30" s="6" t="s">
        <v>59</v>
      </c>
      <c r="B30" s="12">
        <v>3092019</v>
      </c>
      <c r="C30" s="51">
        <v>0.47450999999999999</v>
      </c>
      <c r="D30" s="49">
        <v>0.35815000000000002</v>
      </c>
      <c r="E30" s="11">
        <f t="shared" si="0"/>
        <v>0.56987245694521171</v>
      </c>
    </row>
    <row r="31" spans="1:5">
      <c r="A31" s="6" t="s">
        <v>62</v>
      </c>
      <c r="B31" s="6">
        <v>3092019</v>
      </c>
      <c r="C31" s="51">
        <v>0.47182000000000002</v>
      </c>
      <c r="D31" s="49">
        <v>0.36223</v>
      </c>
      <c r="E31" s="11">
        <f t="shared" si="0"/>
        <v>0.56569750014987119</v>
      </c>
    </row>
    <row r="32" spans="1:5">
      <c r="A32" s="6" t="s">
        <v>40</v>
      </c>
      <c r="B32" s="12">
        <v>3092019</v>
      </c>
      <c r="C32" s="51">
        <v>0.16062000000000001</v>
      </c>
      <c r="D32" s="49">
        <v>9.9510000000000001E-2</v>
      </c>
      <c r="E32" s="11">
        <f t="shared" si="0"/>
        <v>0.61746050051897128</v>
      </c>
    </row>
    <row r="33" spans="1:5">
      <c r="A33" s="6" t="s">
        <v>72</v>
      </c>
      <c r="B33" s="6">
        <v>3092019</v>
      </c>
      <c r="C33" s="51">
        <v>0.20093</v>
      </c>
      <c r="D33" s="49">
        <v>0.12631999999999999</v>
      </c>
      <c r="E33" s="11">
        <f t="shared" si="0"/>
        <v>0.61399541634835753</v>
      </c>
    </row>
    <row r="34" spans="1:5">
      <c r="A34" s="6" t="s">
        <v>73</v>
      </c>
      <c r="B34" s="12">
        <v>3092019</v>
      </c>
      <c r="C34" s="51">
        <v>0.48719000000000001</v>
      </c>
      <c r="D34" s="49">
        <v>0.32766000000000001</v>
      </c>
      <c r="E34" s="11">
        <f t="shared" si="0"/>
        <v>0.59788918205804742</v>
      </c>
    </row>
    <row r="35" spans="1:5">
      <c r="A35" s="6" t="s">
        <v>65</v>
      </c>
      <c r="B35" s="6">
        <v>3092019</v>
      </c>
      <c r="C35" s="51">
        <v>0.55123999999999995</v>
      </c>
      <c r="D35" s="49">
        <v>0.32890000000000003</v>
      </c>
      <c r="E35" s="11">
        <f t="shared" si="0"/>
        <v>0.62630945076919586</v>
      </c>
    </row>
    <row r="36" spans="1:5">
      <c r="A36" s="6" t="s">
        <v>74</v>
      </c>
      <c r="B36" s="12">
        <v>3092019</v>
      </c>
      <c r="C36" s="51">
        <v>0.46760000000000002</v>
      </c>
      <c r="D36" s="49">
        <v>0.35255999999999998</v>
      </c>
      <c r="E36" s="11">
        <f t="shared" si="0"/>
        <v>0.57013265704252836</v>
      </c>
    </row>
    <row r="37" spans="1:5">
      <c r="A37" s="6" t="s">
        <v>59</v>
      </c>
      <c r="B37" s="12">
        <v>5092019</v>
      </c>
      <c r="C37" s="51">
        <v>0.43952999999999998</v>
      </c>
      <c r="D37" s="49">
        <v>0.36864999999999998</v>
      </c>
      <c r="E37" s="11">
        <f t="shared" si="0"/>
        <v>0.543851617213987</v>
      </c>
    </row>
    <row r="38" spans="1:5">
      <c r="A38" s="6" t="s">
        <v>62</v>
      </c>
      <c r="B38" s="6">
        <v>5092019</v>
      </c>
      <c r="C38" s="51">
        <v>0.45801999999999998</v>
      </c>
      <c r="D38" s="49">
        <v>0.37</v>
      </c>
      <c r="E38" s="11">
        <f t="shared" si="0"/>
        <v>0.55315089007511897</v>
      </c>
    </row>
    <row r="39" spans="1:5">
      <c r="A39" s="6" t="s">
        <v>40</v>
      </c>
      <c r="B39" s="12">
        <v>5092019</v>
      </c>
      <c r="C39" s="51">
        <v>0.25591999999999998</v>
      </c>
      <c r="D39" s="49">
        <v>0.1429</v>
      </c>
      <c r="E39" s="11">
        <f t="shared" si="0"/>
        <v>0.6416929943332832</v>
      </c>
    </row>
    <row r="40" spans="1:5">
      <c r="A40" s="6" t="s">
        <v>72</v>
      </c>
      <c r="B40" s="6">
        <v>5092019</v>
      </c>
      <c r="C40" s="51">
        <v>0.22388</v>
      </c>
      <c r="D40" s="49">
        <v>0.11416</v>
      </c>
      <c r="E40" s="11">
        <f t="shared" si="0"/>
        <v>0.66228848656963668</v>
      </c>
    </row>
    <row r="41" spans="1:5">
      <c r="A41" s="6" t="s">
        <v>73</v>
      </c>
      <c r="B41" s="12">
        <v>5092019</v>
      </c>
      <c r="C41" s="51">
        <v>0.45568999999999998</v>
      </c>
      <c r="D41" s="49">
        <v>0.33839999999999998</v>
      </c>
      <c r="E41" s="11">
        <f t="shared" si="0"/>
        <v>0.57385183039705823</v>
      </c>
    </row>
    <row r="42" spans="1:5">
      <c r="A42" s="6" t="s">
        <v>65</v>
      </c>
      <c r="B42" s="6">
        <v>5092019</v>
      </c>
      <c r="C42" s="51">
        <v>0.22844999999999999</v>
      </c>
      <c r="D42" s="49">
        <v>0.17122999999999999</v>
      </c>
      <c r="E42" s="11">
        <f t="shared" si="0"/>
        <v>0.57158226581265015</v>
      </c>
    </row>
    <row r="43" spans="1:5">
      <c r="A43" s="6" t="s">
        <v>74</v>
      </c>
      <c r="B43" s="12">
        <v>5092019</v>
      </c>
      <c r="C43" s="51">
        <v>0.46260000000000001</v>
      </c>
      <c r="D43" s="49">
        <v>0.37013000000000001</v>
      </c>
      <c r="E43" s="11">
        <f t="shared" si="0"/>
        <v>0.55552219807140368</v>
      </c>
    </row>
    <row r="44" spans="1:5">
      <c r="A44" s="6" t="s">
        <v>59</v>
      </c>
      <c r="B44" s="12">
        <v>10092019</v>
      </c>
      <c r="C44" s="51">
        <v>0.44849</v>
      </c>
      <c r="D44" s="49">
        <v>0.37047999999999998</v>
      </c>
      <c r="E44" s="11">
        <f t="shared" ref="E44:E56" si="1">C44/(C44+D44)</f>
        <v>0.54762689720014168</v>
      </c>
    </row>
    <row r="45" spans="1:5">
      <c r="A45" s="6" t="s">
        <v>62</v>
      </c>
      <c r="B45" s="6">
        <v>10092019</v>
      </c>
      <c r="C45" s="51">
        <v>0.45992</v>
      </c>
      <c r="D45" s="49">
        <v>0.35760999999999998</v>
      </c>
      <c r="E45" s="11">
        <f t="shared" si="1"/>
        <v>0.56257262730419677</v>
      </c>
    </row>
    <row r="46" spans="1:5">
      <c r="A46" s="6" t="s">
        <v>40</v>
      </c>
      <c r="B46" s="12">
        <v>10092019</v>
      </c>
      <c r="C46" s="51">
        <v>0.36132999999999998</v>
      </c>
      <c r="D46" s="49">
        <v>0.14549999999999999</v>
      </c>
      <c r="E46" s="11">
        <f t="shared" si="1"/>
        <v>0.71292149241362979</v>
      </c>
    </row>
    <row r="47" spans="1:5">
      <c r="A47" s="6" t="s">
        <v>72</v>
      </c>
      <c r="B47" s="6">
        <v>10092019</v>
      </c>
      <c r="C47" s="51">
        <v>0.33123000000000002</v>
      </c>
      <c r="D47" s="49">
        <v>0.14199000000000001</v>
      </c>
      <c r="E47" s="11">
        <f t="shared" si="1"/>
        <v>0.69994928363129205</v>
      </c>
    </row>
    <row r="48" spans="1:5">
      <c r="A48" s="6" t="s">
        <v>73</v>
      </c>
      <c r="B48" s="12">
        <v>10092019</v>
      </c>
      <c r="C48" s="51">
        <v>0.45017000000000001</v>
      </c>
      <c r="D48" s="49">
        <v>0.32246000000000002</v>
      </c>
      <c r="E48" s="11">
        <f t="shared" si="1"/>
        <v>0.5826462860618925</v>
      </c>
    </row>
    <row r="49" spans="1:5">
      <c r="A49" s="6" t="s">
        <v>65</v>
      </c>
      <c r="B49" s="6">
        <v>10092019</v>
      </c>
      <c r="C49" s="51">
        <v>0.22844999999999999</v>
      </c>
      <c r="D49" s="49">
        <v>0.17122999999999999</v>
      </c>
      <c r="E49" s="11">
        <f t="shared" si="1"/>
        <v>0.57158226581265015</v>
      </c>
    </row>
    <row r="50" spans="1:5">
      <c r="A50" s="6" t="s">
        <v>74</v>
      </c>
      <c r="B50" s="12">
        <v>10092019</v>
      </c>
      <c r="C50" s="51">
        <v>0.46039999999999998</v>
      </c>
      <c r="D50" s="49">
        <v>0.34183000000000002</v>
      </c>
      <c r="E50" s="11">
        <f t="shared" si="1"/>
        <v>0.57390025304463799</v>
      </c>
    </row>
    <row r="51" spans="1:5">
      <c r="A51" s="6" t="s">
        <v>62</v>
      </c>
      <c r="B51" s="6">
        <v>16092019</v>
      </c>
      <c r="C51" s="51">
        <v>0.41711999999999999</v>
      </c>
      <c r="D51" s="49">
        <v>0.34688000000000002</v>
      </c>
      <c r="E51" s="11">
        <f t="shared" si="1"/>
        <v>0.54596858638743451</v>
      </c>
    </row>
    <row r="52" spans="1:5">
      <c r="A52" s="6" t="s">
        <v>40</v>
      </c>
      <c r="B52" s="12">
        <v>16092019</v>
      </c>
      <c r="C52" s="51">
        <v>0.42343999999999998</v>
      </c>
      <c r="D52" s="49">
        <v>0.19309000000000001</v>
      </c>
      <c r="E52" s="11">
        <f t="shared" si="1"/>
        <v>0.68681167177590707</v>
      </c>
    </row>
    <row r="53" spans="1:5">
      <c r="A53" s="6" t="s">
        <v>72</v>
      </c>
      <c r="B53" s="6">
        <v>16092019</v>
      </c>
      <c r="C53" s="51">
        <v>0.42177999999999999</v>
      </c>
      <c r="D53" s="49">
        <v>0.17735000000000001</v>
      </c>
      <c r="E53" s="11">
        <f t="shared" si="1"/>
        <v>0.70398744846694383</v>
      </c>
    </row>
    <row r="54" spans="1:5">
      <c r="A54" s="6" t="s">
        <v>73</v>
      </c>
      <c r="B54" s="12">
        <v>16092019</v>
      </c>
      <c r="C54" s="51">
        <v>0.50297999999999998</v>
      </c>
      <c r="D54" s="49">
        <v>0.36765999999999999</v>
      </c>
      <c r="E54" s="11">
        <f t="shared" si="1"/>
        <v>0.57771294679775798</v>
      </c>
    </row>
    <row r="55" spans="1:5">
      <c r="A55" s="6" t="s">
        <v>65</v>
      </c>
      <c r="B55" s="6">
        <v>16092019</v>
      </c>
      <c r="C55" s="51">
        <v>0.41704999999999998</v>
      </c>
      <c r="D55" s="49">
        <v>0.33884999999999998</v>
      </c>
      <c r="E55" s="11">
        <f t="shared" si="1"/>
        <v>0.55172641883847062</v>
      </c>
    </row>
    <row r="56" spans="1:5">
      <c r="A56" s="6" t="s">
        <v>74</v>
      </c>
      <c r="B56" s="12">
        <v>16092019</v>
      </c>
      <c r="C56" s="51">
        <v>0.49418000000000001</v>
      </c>
      <c r="D56" s="49">
        <v>0.37291000000000002</v>
      </c>
      <c r="E56" s="11">
        <f t="shared" si="1"/>
        <v>0.56992930376316187</v>
      </c>
    </row>
    <row r="57" spans="1:5">
      <c r="A57" s="6" t="s">
        <v>62</v>
      </c>
      <c r="B57" s="6">
        <v>26092019</v>
      </c>
      <c r="C57" s="51">
        <v>0.46689999999999998</v>
      </c>
      <c r="D57" s="49">
        <v>0.38861000000000001</v>
      </c>
      <c r="E57" s="11">
        <f t="shared" ref="E57:E62" si="2">C57/(C57+D57)</f>
        <v>0.54575633248004107</v>
      </c>
    </row>
    <row r="58" spans="1:5">
      <c r="A58" s="6" t="s">
        <v>40</v>
      </c>
      <c r="B58" s="12">
        <f>$B$57</f>
        <v>26092019</v>
      </c>
      <c r="C58" s="51">
        <v>0.49209000000000003</v>
      </c>
      <c r="D58" s="49">
        <v>0.23113</v>
      </c>
      <c r="E58" s="11">
        <f t="shared" si="2"/>
        <v>0.68041536461934138</v>
      </c>
    </row>
    <row r="59" spans="1:5">
      <c r="A59" s="6" t="s">
        <v>72</v>
      </c>
      <c r="B59" s="12">
        <f t="shared" ref="B59:B62" si="3">$B$57</f>
        <v>26092019</v>
      </c>
      <c r="C59" s="51">
        <v>0.46927000000000002</v>
      </c>
      <c r="D59" s="49">
        <v>0.22083</v>
      </c>
      <c r="E59" s="11">
        <f t="shared" si="2"/>
        <v>0.68000289813070569</v>
      </c>
    </row>
    <row r="60" spans="1:5">
      <c r="A60" s="6" t="s">
        <v>73</v>
      </c>
      <c r="B60" s="12">
        <f t="shared" si="3"/>
        <v>26092019</v>
      </c>
      <c r="C60" s="51">
        <v>0.52607000000000004</v>
      </c>
      <c r="D60" s="49">
        <v>0.38607999999999998</v>
      </c>
      <c r="E60" s="11">
        <f t="shared" si="2"/>
        <v>0.57673628240969144</v>
      </c>
    </row>
    <row r="61" spans="1:5">
      <c r="A61" s="6" t="s">
        <v>65</v>
      </c>
      <c r="B61" s="12">
        <f t="shared" si="3"/>
        <v>26092019</v>
      </c>
      <c r="C61" s="51">
        <v>0.33711999999999998</v>
      </c>
      <c r="D61" s="49">
        <v>0.27612999999999999</v>
      </c>
      <c r="E61" s="11">
        <f t="shared" si="2"/>
        <v>0.54972686506318791</v>
      </c>
    </row>
    <row r="62" spans="1:5">
      <c r="A62" s="6" t="s">
        <v>74</v>
      </c>
      <c r="B62" s="12">
        <f t="shared" si="3"/>
        <v>26092019</v>
      </c>
      <c r="C62" s="51">
        <v>0.52161999999999997</v>
      </c>
      <c r="D62" s="49">
        <v>0.39700000000000002</v>
      </c>
      <c r="E62" s="11">
        <f t="shared" si="2"/>
        <v>0.56783000587838273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" sqref="A2:K28"/>
    </sheetView>
  </sheetViews>
  <sheetFormatPr baseColWidth="10" defaultRowHeight="13" x14ac:dyDescent="0"/>
  <sheetData>
    <row r="1" spans="1:11">
      <c r="A1" t="s">
        <v>110</v>
      </c>
    </row>
    <row r="2" spans="1:11">
      <c r="A2" s="6" t="s">
        <v>93</v>
      </c>
      <c r="B2" s="33">
        <v>27082019</v>
      </c>
      <c r="C2" s="33">
        <v>1500</v>
      </c>
      <c r="D2" s="33">
        <v>533.39</v>
      </c>
      <c r="E2" s="33" t="s">
        <v>22</v>
      </c>
      <c r="F2" s="33">
        <v>533.39</v>
      </c>
      <c r="G2" s="33">
        <v>26</v>
      </c>
      <c r="H2" s="33">
        <v>1012.5</v>
      </c>
      <c r="I2" s="33">
        <v>52.5</v>
      </c>
      <c r="J2" s="33">
        <v>52.5</v>
      </c>
      <c r="K2" s="33" t="s">
        <v>91</v>
      </c>
    </row>
    <row r="3" spans="1:11">
      <c r="A3" s="7" t="s">
        <v>94</v>
      </c>
      <c r="B3" s="39">
        <v>27082019</v>
      </c>
      <c r="C3" s="39">
        <v>1500</v>
      </c>
      <c r="D3" s="39">
        <v>537.54999999999995</v>
      </c>
      <c r="E3" s="39" t="s">
        <v>22</v>
      </c>
      <c r="F3" s="39">
        <v>537.54999999999995</v>
      </c>
      <c r="G3" s="39">
        <v>26</v>
      </c>
      <c r="H3" s="39">
        <v>1012.5</v>
      </c>
      <c r="I3" s="39">
        <v>52.5</v>
      </c>
      <c r="J3" s="39">
        <v>52.5</v>
      </c>
      <c r="K3" s="39" t="s">
        <v>91</v>
      </c>
    </row>
    <row r="4" spans="1:11">
      <c r="A4" s="7" t="s">
        <v>53</v>
      </c>
      <c r="B4" s="39">
        <v>27082019</v>
      </c>
      <c r="C4" s="39">
        <v>1500</v>
      </c>
      <c r="D4" s="39">
        <v>545.53</v>
      </c>
      <c r="E4" s="39">
        <v>0</v>
      </c>
      <c r="F4" s="39">
        <v>545.53</v>
      </c>
      <c r="G4" s="39">
        <v>26</v>
      </c>
      <c r="H4" s="39">
        <v>1012.5</v>
      </c>
      <c r="I4" s="39">
        <v>52.5</v>
      </c>
      <c r="J4" s="39">
        <v>52.5</v>
      </c>
      <c r="K4" s="39" t="s">
        <v>91</v>
      </c>
    </row>
    <row r="5" spans="1:11">
      <c r="A5" s="7" t="s">
        <v>54</v>
      </c>
      <c r="B5" s="39">
        <v>27082019</v>
      </c>
      <c r="C5" s="39">
        <v>1500</v>
      </c>
      <c r="D5" s="39">
        <v>537.66999999999996</v>
      </c>
      <c r="E5" s="39">
        <v>0</v>
      </c>
      <c r="F5" s="39">
        <v>537.66999999999996</v>
      </c>
      <c r="G5" s="39">
        <v>26</v>
      </c>
      <c r="H5" s="39">
        <v>1012.5</v>
      </c>
      <c r="I5" s="39">
        <v>52.5</v>
      </c>
      <c r="J5" s="39">
        <v>52.5</v>
      </c>
      <c r="K5" s="39" t="s">
        <v>91</v>
      </c>
    </row>
    <row r="6" spans="1:11">
      <c r="A6" s="7" t="s">
        <v>55</v>
      </c>
      <c r="B6" s="39">
        <v>27082019</v>
      </c>
      <c r="C6" s="39">
        <v>1500</v>
      </c>
      <c r="D6" s="39">
        <v>537.15</v>
      </c>
      <c r="E6" s="39">
        <v>0</v>
      </c>
      <c r="F6" s="39">
        <v>537.15</v>
      </c>
      <c r="G6" s="39">
        <v>26</v>
      </c>
      <c r="H6" s="39">
        <v>1012.5</v>
      </c>
      <c r="I6" s="39">
        <v>52.5</v>
      </c>
      <c r="J6" s="39">
        <v>52.5</v>
      </c>
      <c r="K6" s="39" t="s">
        <v>91</v>
      </c>
    </row>
    <row r="7" spans="1:11">
      <c r="A7" s="7" t="s">
        <v>56</v>
      </c>
      <c r="B7" s="39">
        <v>27082019</v>
      </c>
      <c r="C7" s="39">
        <v>1500</v>
      </c>
      <c r="D7" s="39">
        <v>537.16</v>
      </c>
      <c r="E7" s="39">
        <v>0</v>
      </c>
      <c r="F7" s="39">
        <v>537.16</v>
      </c>
      <c r="G7" s="39">
        <v>26</v>
      </c>
      <c r="H7" s="39">
        <v>1012.5</v>
      </c>
      <c r="I7" s="39">
        <v>52.5</v>
      </c>
      <c r="J7" s="39">
        <v>52.5</v>
      </c>
      <c r="K7" s="39" t="s">
        <v>91</v>
      </c>
    </row>
    <row r="8" spans="1:11">
      <c r="A8" s="7" t="s">
        <v>57</v>
      </c>
      <c r="B8" s="39">
        <v>27082019</v>
      </c>
      <c r="C8" s="39">
        <v>1500</v>
      </c>
      <c r="D8" s="39">
        <v>537.01</v>
      </c>
      <c r="E8" s="39">
        <v>0</v>
      </c>
      <c r="F8" s="39">
        <v>537.01</v>
      </c>
      <c r="G8" s="39">
        <v>26</v>
      </c>
      <c r="H8" s="39">
        <v>1012.5</v>
      </c>
      <c r="I8" s="39">
        <v>52.5</v>
      </c>
      <c r="J8" s="39">
        <v>52.5</v>
      </c>
      <c r="K8" s="39" t="s">
        <v>91</v>
      </c>
    </row>
    <row r="9" spans="1:11">
      <c r="A9" s="7" t="s">
        <v>58</v>
      </c>
      <c r="B9" s="39">
        <v>27082019</v>
      </c>
      <c r="C9" s="39">
        <v>1500</v>
      </c>
      <c r="D9" s="39">
        <v>534.65</v>
      </c>
      <c r="E9" s="39">
        <v>0</v>
      </c>
      <c r="F9" s="39">
        <v>534.65</v>
      </c>
      <c r="G9" s="39">
        <v>26</v>
      </c>
      <c r="H9" s="39">
        <v>1012.5</v>
      </c>
      <c r="I9" s="39">
        <v>52.5</v>
      </c>
      <c r="J9" s="39">
        <v>52.5</v>
      </c>
      <c r="K9" s="39" t="s">
        <v>91</v>
      </c>
    </row>
    <row r="10" spans="1:11">
      <c r="A10" s="7" t="s">
        <v>59</v>
      </c>
      <c r="B10" s="39">
        <v>27082019</v>
      </c>
      <c r="C10" s="39">
        <v>1500</v>
      </c>
      <c r="D10" s="39">
        <v>537.38</v>
      </c>
      <c r="E10" s="39">
        <v>0</v>
      </c>
      <c r="F10" s="39">
        <v>537.38</v>
      </c>
      <c r="G10" s="39">
        <v>26</v>
      </c>
      <c r="H10" s="39">
        <v>1012.5</v>
      </c>
      <c r="I10" s="39">
        <v>52.5</v>
      </c>
      <c r="J10" s="39">
        <v>52.5</v>
      </c>
      <c r="K10" s="39" t="s">
        <v>91</v>
      </c>
    </row>
    <row r="11" spans="1:11">
      <c r="A11" s="7" t="s">
        <v>60</v>
      </c>
      <c r="B11" s="39">
        <v>27082019</v>
      </c>
      <c r="C11" s="39">
        <v>1500</v>
      </c>
      <c r="D11" s="39">
        <v>538.30999999999995</v>
      </c>
      <c r="E11" s="39">
        <v>0</v>
      </c>
      <c r="F11" s="39">
        <v>538.30999999999995</v>
      </c>
      <c r="G11" s="39">
        <v>26</v>
      </c>
      <c r="H11" s="39">
        <v>1012.5</v>
      </c>
      <c r="I11" s="39">
        <v>52.5</v>
      </c>
      <c r="J11" s="39">
        <v>52.5</v>
      </c>
      <c r="K11" s="39" t="s">
        <v>91</v>
      </c>
    </row>
    <row r="12" spans="1:11">
      <c r="A12" s="7" t="s">
        <v>61</v>
      </c>
      <c r="B12" s="39">
        <v>27082019</v>
      </c>
      <c r="C12" s="39">
        <v>1500</v>
      </c>
      <c r="D12" s="39">
        <v>541.91</v>
      </c>
      <c r="E12" s="39">
        <v>0</v>
      </c>
      <c r="F12" s="39">
        <v>541.91</v>
      </c>
      <c r="G12" s="39">
        <v>26</v>
      </c>
      <c r="H12" s="39">
        <v>1012.5</v>
      </c>
      <c r="I12" s="39">
        <v>52.5</v>
      </c>
      <c r="J12" s="39">
        <v>52.5</v>
      </c>
      <c r="K12" s="39" t="s">
        <v>91</v>
      </c>
    </row>
    <row r="13" spans="1:11">
      <c r="A13" s="7" t="s">
        <v>62</v>
      </c>
      <c r="B13" s="39">
        <v>27082019</v>
      </c>
      <c r="C13" s="39">
        <v>1500</v>
      </c>
      <c r="D13" s="39">
        <v>537.08000000000004</v>
      </c>
      <c r="E13" s="39">
        <v>0</v>
      </c>
      <c r="F13" s="39">
        <v>537.08000000000004</v>
      </c>
      <c r="G13" s="39">
        <v>26</v>
      </c>
      <c r="H13" s="39">
        <v>1012.5</v>
      </c>
      <c r="I13" s="39">
        <v>52.5</v>
      </c>
      <c r="J13" s="39">
        <v>52.5</v>
      </c>
      <c r="K13" s="39" t="s">
        <v>91</v>
      </c>
    </row>
    <row r="14" spans="1:11">
      <c r="A14" s="7" t="s">
        <v>63</v>
      </c>
      <c r="B14" s="39">
        <v>27082019</v>
      </c>
      <c r="C14" s="39">
        <v>1500</v>
      </c>
      <c r="D14" s="39">
        <v>549.99</v>
      </c>
      <c r="E14" s="39">
        <v>0</v>
      </c>
      <c r="F14" s="39">
        <v>549.99</v>
      </c>
      <c r="G14" s="39">
        <v>26</v>
      </c>
      <c r="H14" s="39">
        <v>1012.5</v>
      </c>
      <c r="I14" s="39">
        <v>52.5</v>
      </c>
      <c r="J14" s="39">
        <v>52.5</v>
      </c>
      <c r="K14" s="39" t="s">
        <v>91</v>
      </c>
    </row>
    <row r="15" spans="1:11">
      <c r="A15" s="7" t="s">
        <v>64</v>
      </c>
      <c r="B15" s="39">
        <v>27082019</v>
      </c>
      <c r="C15" s="39">
        <v>1500</v>
      </c>
      <c r="D15" s="39">
        <v>547.02</v>
      </c>
      <c r="E15" s="39">
        <v>0</v>
      </c>
      <c r="F15" s="39">
        <v>547.02</v>
      </c>
      <c r="G15" s="39">
        <v>26</v>
      </c>
      <c r="H15" s="39">
        <v>1012.5</v>
      </c>
      <c r="I15" s="39">
        <v>52.5</v>
      </c>
      <c r="J15" s="39">
        <v>52.5</v>
      </c>
      <c r="K15" s="39" t="s">
        <v>91</v>
      </c>
    </row>
    <row r="16" spans="1:11">
      <c r="A16" s="7" t="s">
        <v>65</v>
      </c>
      <c r="B16" s="39">
        <v>27082019</v>
      </c>
      <c r="C16" s="39">
        <v>1500</v>
      </c>
      <c r="D16" s="39">
        <v>545.92999999999995</v>
      </c>
      <c r="E16" s="39">
        <v>0</v>
      </c>
      <c r="F16" s="39">
        <v>545.92999999999995</v>
      </c>
      <c r="G16" s="39">
        <v>26</v>
      </c>
      <c r="H16" s="39">
        <v>1012.5</v>
      </c>
      <c r="I16" s="39">
        <v>52.5</v>
      </c>
      <c r="J16" s="39">
        <v>52.5</v>
      </c>
      <c r="K16" s="39" t="s">
        <v>91</v>
      </c>
    </row>
    <row r="17" spans="1:11">
      <c r="A17" s="7" t="s">
        <v>66</v>
      </c>
      <c r="B17" s="39">
        <v>27082019</v>
      </c>
      <c r="C17" s="39">
        <v>1500</v>
      </c>
      <c r="D17" s="39">
        <v>526.66</v>
      </c>
      <c r="E17" s="39">
        <v>0</v>
      </c>
      <c r="F17" s="39">
        <v>526.66</v>
      </c>
      <c r="G17" s="39">
        <v>26</v>
      </c>
      <c r="H17" s="39">
        <v>1012.5</v>
      </c>
      <c r="I17" s="39">
        <v>52.5</v>
      </c>
      <c r="J17" s="39">
        <v>52.5</v>
      </c>
      <c r="K17" s="39" t="s">
        <v>91</v>
      </c>
    </row>
    <row r="18" spans="1:11">
      <c r="A18" s="7" t="s">
        <v>67</v>
      </c>
      <c r="B18" s="39">
        <v>27082019</v>
      </c>
      <c r="C18" s="39">
        <v>1500</v>
      </c>
      <c r="D18" s="39">
        <v>528.36</v>
      </c>
      <c r="E18" s="39">
        <v>0</v>
      </c>
      <c r="F18" s="39">
        <v>528.36</v>
      </c>
      <c r="G18" s="39">
        <v>26</v>
      </c>
      <c r="H18" s="39">
        <v>1012.5</v>
      </c>
      <c r="I18" s="39">
        <v>52.5</v>
      </c>
      <c r="J18" s="39">
        <v>52.5</v>
      </c>
      <c r="K18" s="39" t="s">
        <v>91</v>
      </c>
    </row>
    <row r="19" spans="1:11">
      <c r="A19" s="7" t="s">
        <v>40</v>
      </c>
      <c r="B19" s="39">
        <v>27082019</v>
      </c>
      <c r="C19" s="39">
        <v>1500</v>
      </c>
      <c r="D19" s="39">
        <v>527.21</v>
      </c>
      <c r="E19" s="39">
        <v>0</v>
      </c>
      <c r="F19" s="39">
        <v>527.21</v>
      </c>
      <c r="G19" s="39">
        <v>26</v>
      </c>
      <c r="H19" s="39">
        <v>1012.5</v>
      </c>
      <c r="I19" s="39">
        <v>52.5</v>
      </c>
      <c r="J19" s="39">
        <v>52.5</v>
      </c>
      <c r="K19" s="39" t="s">
        <v>91</v>
      </c>
    </row>
    <row r="20" spans="1:11">
      <c r="A20" s="7" t="s">
        <v>72</v>
      </c>
      <c r="B20" s="39">
        <v>27082019</v>
      </c>
      <c r="C20" s="39">
        <v>1500</v>
      </c>
      <c r="D20" s="39">
        <v>525.15</v>
      </c>
      <c r="E20" s="39">
        <v>0</v>
      </c>
      <c r="F20" s="39">
        <v>525.15</v>
      </c>
      <c r="G20" s="39">
        <v>26</v>
      </c>
      <c r="H20" s="39">
        <v>1012.5</v>
      </c>
      <c r="I20" s="39">
        <v>52.5</v>
      </c>
      <c r="J20" s="39">
        <v>52.5</v>
      </c>
      <c r="K20" s="39" t="s">
        <v>91</v>
      </c>
    </row>
    <row r="21" spans="1:11">
      <c r="A21" s="7" t="s">
        <v>75</v>
      </c>
      <c r="B21" s="39">
        <v>27082019</v>
      </c>
      <c r="C21" s="39">
        <v>1500</v>
      </c>
      <c r="D21" s="39">
        <v>525.98</v>
      </c>
      <c r="E21" s="39">
        <v>0</v>
      </c>
      <c r="F21" s="39">
        <v>525.98</v>
      </c>
      <c r="G21" s="39">
        <v>26</v>
      </c>
      <c r="H21" s="39">
        <v>1012.5</v>
      </c>
      <c r="I21" s="39">
        <v>52.5</v>
      </c>
      <c r="J21" s="39">
        <v>52.5</v>
      </c>
      <c r="K21" s="39" t="s">
        <v>91</v>
      </c>
    </row>
    <row r="22" spans="1:11">
      <c r="A22" s="7" t="s">
        <v>76</v>
      </c>
      <c r="B22" s="39">
        <v>27082019</v>
      </c>
      <c r="C22" s="39">
        <v>1500</v>
      </c>
      <c r="D22" s="39">
        <v>528.5</v>
      </c>
      <c r="E22" s="39">
        <v>0</v>
      </c>
      <c r="F22" s="39">
        <v>528.5</v>
      </c>
      <c r="G22" s="39">
        <v>26</v>
      </c>
      <c r="H22" s="39">
        <v>1012.5</v>
      </c>
      <c r="I22" s="39">
        <v>52.5</v>
      </c>
      <c r="J22" s="39">
        <v>52.5</v>
      </c>
      <c r="K22" s="39" t="s">
        <v>91</v>
      </c>
    </row>
    <row r="23" spans="1:11">
      <c r="A23" s="7" t="s">
        <v>73</v>
      </c>
      <c r="B23" s="39">
        <v>27082019</v>
      </c>
      <c r="C23" s="39">
        <v>1500</v>
      </c>
      <c r="D23" s="39">
        <v>524.94000000000005</v>
      </c>
      <c r="E23" s="39">
        <v>0</v>
      </c>
      <c r="F23" s="39">
        <v>524.94000000000005</v>
      </c>
      <c r="G23" s="39">
        <v>26</v>
      </c>
      <c r="H23" s="39">
        <v>1012.5</v>
      </c>
      <c r="I23" s="39">
        <v>52.5</v>
      </c>
      <c r="J23" s="39">
        <v>52.5</v>
      </c>
      <c r="K23" s="39" t="s">
        <v>91</v>
      </c>
    </row>
    <row r="24" spans="1:11">
      <c r="A24" s="7" t="s">
        <v>77</v>
      </c>
      <c r="B24" s="39">
        <v>27082019</v>
      </c>
      <c r="C24" s="39">
        <v>1500</v>
      </c>
      <c r="D24" s="39">
        <v>544.99</v>
      </c>
      <c r="E24" s="39">
        <v>0</v>
      </c>
      <c r="F24" s="39">
        <v>544.99</v>
      </c>
      <c r="G24" s="39">
        <v>26</v>
      </c>
      <c r="H24" s="39">
        <v>1012.5</v>
      </c>
      <c r="I24" s="39">
        <v>52.5</v>
      </c>
      <c r="J24" s="39">
        <v>52.5</v>
      </c>
      <c r="K24" s="39" t="s">
        <v>91</v>
      </c>
    </row>
    <row r="25" spans="1:11">
      <c r="A25" s="7" t="s">
        <v>78</v>
      </c>
      <c r="B25" s="39">
        <v>27082019</v>
      </c>
      <c r="C25" s="39">
        <v>1500</v>
      </c>
      <c r="D25" s="39">
        <v>538.46</v>
      </c>
      <c r="E25" s="39">
        <v>0</v>
      </c>
      <c r="F25" s="39">
        <v>538.46</v>
      </c>
      <c r="G25" s="39">
        <v>26</v>
      </c>
      <c r="H25" s="39">
        <v>1012.5</v>
      </c>
      <c r="I25" s="39">
        <v>52.5</v>
      </c>
      <c r="J25" s="39">
        <v>52.5</v>
      </c>
      <c r="K25" s="39" t="s">
        <v>91</v>
      </c>
    </row>
    <row r="26" spans="1:11">
      <c r="A26" s="7" t="s">
        <v>74</v>
      </c>
      <c r="B26" s="39">
        <v>27082019</v>
      </c>
      <c r="C26" s="39">
        <v>1500</v>
      </c>
      <c r="D26" s="39">
        <v>536.42999999999995</v>
      </c>
      <c r="E26" s="39">
        <v>0</v>
      </c>
      <c r="F26" s="39">
        <v>536.42999999999995</v>
      </c>
      <c r="G26" s="39">
        <v>26</v>
      </c>
      <c r="H26" s="39">
        <v>1012.5</v>
      </c>
      <c r="I26" s="39">
        <v>52.5</v>
      </c>
      <c r="J26" s="39">
        <v>52.5</v>
      </c>
      <c r="K26" s="39" t="s">
        <v>91</v>
      </c>
    </row>
    <row r="27" spans="1:11">
      <c r="A27" s="7" t="s">
        <v>79</v>
      </c>
      <c r="B27" s="39">
        <v>27082019</v>
      </c>
      <c r="C27" s="39">
        <v>1500</v>
      </c>
      <c r="D27" s="39">
        <v>527.22</v>
      </c>
      <c r="E27" s="39">
        <v>0</v>
      </c>
      <c r="F27" s="39">
        <v>527.22</v>
      </c>
      <c r="G27" s="39">
        <v>26</v>
      </c>
      <c r="H27" s="39">
        <v>1012.5</v>
      </c>
      <c r="I27" s="39">
        <v>52.5</v>
      </c>
      <c r="J27" s="39">
        <v>52.5</v>
      </c>
      <c r="K27" s="39" t="s">
        <v>91</v>
      </c>
    </row>
    <row r="28" spans="1:11">
      <c r="A28" s="7" t="s">
        <v>80</v>
      </c>
      <c r="B28" s="39">
        <v>27082019</v>
      </c>
      <c r="C28" s="39">
        <v>1500</v>
      </c>
      <c r="D28" s="39">
        <v>528.15</v>
      </c>
      <c r="E28" s="39">
        <v>0</v>
      </c>
      <c r="F28" s="39">
        <v>528.15</v>
      </c>
      <c r="G28" s="39">
        <v>26</v>
      </c>
      <c r="H28" s="39">
        <v>1012.5</v>
      </c>
      <c r="I28" s="39">
        <v>52.5</v>
      </c>
      <c r="J28" s="39">
        <v>52.5</v>
      </c>
      <c r="K28" s="39" t="s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workbookViewId="0">
      <selection sqref="A1:J21"/>
    </sheetView>
  </sheetViews>
  <sheetFormatPr baseColWidth="10" defaultRowHeight="13" x14ac:dyDescent="0"/>
  <cols>
    <col min="1" max="1" width="13.140625" bestFit="1" customWidth="1"/>
    <col min="4" max="4" width="15" bestFit="1" customWidth="1"/>
    <col min="6" max="6" width="14.85546875" bestFit="1" customWidth="1"/>
    <col min="7" max="7" width="12.7109375" bestFit="1" customWidth="1"/>
    <col min="8" max="8" width="17.5703125" bestFit="1" customWidth="1"/>
    <col min="10" max="10" width="12.7109375" bestFit="1" customWidth="1"/>
  </cols>
  <sheetData>
    <row r="1" spans="1:11" ht="16">
      <c r="A1" s="53" t="s">
        <v>120</v>
      </c>
      <c r="B1" s="53" t="s">
        <v>46</v>
      </c>
      <c r="C1" s="53" t="s">
        <v>121</v>
      </c>
      <c r="D1" s="53" t="s">
        <v>122</v>
      </c>
      <c r="E1" s="53" t="s">
        <v>86</v>
      </c>
      <c r="F1" s="53" t="s">
        <v>123</v>
      </c>
      <c r="G1" s="53" t="s">
        <v>124</v>
      </c>
      <c r="H1" s="53" t="s">
        <v>125</v>
      </c>
      <c r="I1" s="53" t="s">
        <v>126</v>
      </c>
      <c r="J1" s="53" t="s">
        <v>127</v>
      </c>
    </row>
    <row r="2" spans="1:11">
      <c r="A2" s="35" t="s">
        <v>128</v>
      </c>
      <c r="B2" s="35">
        <v>0.5</v>
      </c>
      <c r="C2" s="35">
        <v>100</v>
      </c>
      <c r="D2" s="35">
        <v>22</v>
      </c>
      <c r="E2" s="35">
        <f>G2-(H2-I2)*9.8</f>
        <v>91.5</v>
      </c>
      <c r="F2" s="35"/>
      <c r="G2" s="35">
        <v>101.3</v>
      </c>
      <c r="H2" s="35">
        <v>1.5</v>
      </c>
      <c r="I2" s="35">
        <v>0.5</v>
      </c>
      <c r="J2" s="35"/>
    </row>
    <row r="3" spans="1:11">
      <c r="A3" s="35" t="s">
        <v>128</v>
      </c>
      <c r="B3" s="35">
        <v>1</v>
      </c>
      <c r="C3" s="35">
        <v>250</v>
      </c>
      <c r="D3" s="35">
        <v>22</v>
      </c>
      <c r="E3" s="35">
        <f>G3-(H3-I3)*9.8</f>
        <v>93.46</v>
      </c>
      <c r="F3" s="35"/>
      <c r="G3" s="35">
        <v>101.3</v>
      </c>
      <c r="H3" s="35">
        <v>1.3</v>
      </c>
      <c r="I3" s="35">
        <v>0.5</v>
      </c>
      <c r="J3" s="35"/>
    </row>
    <row r="4" spans="1:11">
      <c r="A4" s="35" t="s">
        <v>128</v>
      </c>
      <c r="B4" s="35">
        <v>5</v>
      </c>
      <c r="C4" s="35">
        <v>450</v>
      </c>
      <c r="D4" s="35">
        <v>22</v>
      </c>
      <c r="E4" s="35">
        <f t="shared" ref="E4" si="0">G4-(H4-I4)*9.8</f>
        <v>94.820000000000007</v>
      </c>
      <c r="F4" s="35">
        <v>0.5</v>
      </c>
      <c r="G4" s="35">
        <v>100.7</v>
      </c>
      <c r="H4" s="35">
        <v>1.1000000000000001</v>
      </c>
      <c r="I4" s="35">
        <v>0.5</v>
      </c>
      <c r="J4" s="35">
        <v>1</v>
      </c>
    </row>
    <row r="5" spans="1:11">
      <c r="A5" s="35" t="s">
        <v>128</v>
      </c>
      <c r="B5" s="35">
        <v>10</v>
      </c>
      <c r="C5" s="35">
        <v>400</v>
      </c>
      <c r="D5" s="35">
        <v>21</v>
      </c>
      <c r="E5" s="35">
        <f>G5-(H5-I5)*9.8</f>
        <v>91.5</v>
      </c>
      <c r="F5" s="35"/>
      <c r="G5" s="35">
        <v>101.3</v>
      </c>
      <c r="H5" s="35">
        <v>1.5</v>
      </c>
      <c r="I5" s="35">
        <v>0.5</v>
      </c>
      <c r="J5" s="35"/>
    </row>
    <row r="6" spans="1:11">
      <c r="A6" s="35" t="s">
        <v>128</v>
      </c>
      <c r="B6" s="35">
        <v>30</v>
      </c>
      <c r="C6" s="35">
        <v>1000</v>
      </c>
      <c r="D6" s="35">
        <v>21</v>
      </c>
      <c r="E6" s="35">
        <f>G6-(H6-I6)*9.8</f>
        <v>101.3</v>
      </c>
      <c r="F6" s="35">
        <v>0.55000000000000004</v>
      </c>
      <c r="G6" s="35">
        <v>101.3</v>
      </c>
      <c r="H6" s="35">
        <v>0.5</v>
      </c>
      <c r="I6" s="35">
        <v>0.5</v>
      </c>
      <c r="J6" s="35"/>
    </row>
    <row r="10" spans="1:11">
      <c r="A10" t="s">
        <v>129</v>
      </c>
    </row>
    <row r="11" spans="1:11" ht="16">
      <c r="A11" s="54" t="s">
        <v>120</v>
      </c>
      <c r="B11" s="54" t="s">
        <v>46</v>
      </c>
      <c r="C11" s="54" t="s">
        <v>121</v>
      </c>
      <c r="D11" s="54" t="s">
        <v>122</v>
      </c>
      <c r="E11" s="54" t="s">
        <v>86</v>
      </c>
      <c r="F11" s="54" t="s">
        <v>130</v>
      </c>
      <c r="G11" s="54" t="s">
        <v>124</v>
      </c>
      <c r="H11" s="54" t="s">
        <v>125</v>
      </c>
      <c r="I11" s="54" t="s">
        <v>126</v>
      </c>
      <c r="J11" s="54" t="s">
        <v>127</v>
      </c>
    </row>
    <row r="12" spans="1:11" ht="14">
      <c r="A12" s="55" t="s">
        <v>128</v>
      </c>
      <c r="B12" s="55">
        <v>0.5</v>
      </c>
      <c r="C12" s="55">
        <v>100</v>
      </c>
      <c r="D12" s="55">
        <v>22</v>
      </c>
      <c r="E12" s="55">
        <f>G12-(H12-I12)*98</f>
        <v>928.72</v>
      </c>
      <c r="F12" s="55"/>
      <c r="G12" s="55">
        <v>1013</v>
      </c>
      <c r="H12" s="55">
        <v>0.93</v>
      </c>
      <c r="I12" s="55">
        <v>7.0000000000000007E-2</v>
      </c>
      <c r="J12" s="55"/>
      <c r="K12">
        <f>SLOPE(E12:E21,H12:H21)</f>
        <v>-97.999999999999957</v>
      </c>
    </row>
    <row r="13" spans="1:11" ht="14">
      <c r="A13" s="55" t="s">
        <v>128</v>
      </c>
      <c r="B13" s="55">
        <v>1</v>
      </c>
      <c r="C13" s="55">
        <v>250</v>
      </c>
      <c r="D13" s="55">
        <v>22</v>
      </c>
      <c r="E13" s="55">
        <f t="shared" ref="E13:E21" si="1">G13-(H13-I13)*98</f>
        <v>938.52</v>
      </c>
      <c r="F13" s="55"/>
      <c r="G13" s="55">
        <v>1013</v>
      </c>
      <c r="H13" s="55">
        <v>0.83</v>
      </c>
      <c r="I13" s="55">
        <v>7.0000000000000007E-2</v>
      </c>
      <c r="J13" s="55"/>
    </row>
    <row r="14" spans="1:11" ht="14">
      <c r="A14" s="55" t="s">
        <v>128</v>
      </c>
      <c r="B14" s="55">
        <v>5</v>
      </c>
      <c r="C14" s="55">
        <v>450</v>
      </c>
      <c r="D14" s="55">
        <v>22</v>
      </c>
      <c r="E14" s="55">
        <f t="shared" si="1"/>
        <v>948.32</v>
      </c>
      <c r="F14" s="55">
        <v>0.5</v>
      </c>
      <c r="G14" s="55">
        <v>1013</v>
      </c>
      <c r="H14" s="55">
        <v>0.73</v>
      </c>
      <c r="I14" s="55">
        <v>7.0000000000000007E-2</v>
      </c>
      <c r="J14" s="55">
        <v>1</v>
      </c>
    </row>
    <row r="15" spans="1:11" ht="14">
      <c r="A15" s="55" t="s">
        <v>128</v>
      </c>
      <c r="B15" s="55">
        <v>10</v>
      </c>
      <c r="C15" s="55">
        <v>400</v>
      </c>
      <c r="D15" s="55">
        <v>22</v>
      </c>
      <c r="E15" s="55">
        <f t="shared" si="1"/>
        <v>958.12</v>
      </c>
      <c r="F15" s="55"/>
      <c r="G15" s="55">
        <v>1013</v>
      </c>
      <c r="H15" s="55">
        <v>0.63</v>
      </c>
      <c r="I15" s="55">
        <v>7.0000000000000007E-2</v>
      </c>
      <c r="J15" s="55"/>
    </row>
    <row r="16" spans="1:11" ht="14">
      <c r="A16" s="55" t="s">
        <v>128</v>
      </c>
      <c r="B16" s="55">
        <v>30</v>
      </c>
      <c r="C16" s="55">
        <v>1000</v>
      </c>
      <c r="D16" s="55">
        <v>22</v>
      </c>
      <c r="E16" s="55">
        <f t="shared" si="1"/>
        <v>967.92</v>
      </c>
      <c r="F16" s="55">
        <v>0.55000000000000004</v>
      </c>
      <c r="G16" s="55">
        <v>1013</v>
      </c>
      <c r="H16" s="55">
        <v>0.53</v>
      </c>
      <c r="I16" s="55">
        <v>7.0000000000000007E-2</v>
      </c>
      <c r="J16" s="55"/>
    </row>
    <row r="17" spans="1:9" ht="14">
      <c r="D17" s="55">
        <v>22</v>
      </c>
      <c r="E17" s="55">
        <f t="shared" si="1"/>
        <v>977.72</v>
      </c>
      <c r="G17" s="55">
        <v>1013</v>
      </c>
      <c r="H17" s="55">
        <v>0.43</v>
      </c>
      <c r="I17" s="55">
        <v>7.0000000000000007E-2</v>
      </c>
    </row>
    <row r="18" spans="1:9" ht="14">
      <c r="D18" s="55">
        <v>22</v>
      </c>
      <c r="E18" s="55">
        <f t="shared" si="1"/>
        <v>987.52</v>
      </c>
      <c r="G18" s="55">
        <v>1013</v>
      </c>
      <c r="H18" s="55">
        <v>0.33</v>
      </c>
      <c r="I18" s="55">
        <v>7.0000000000000007E-2</v>
      </c>
    </row>
    <row r="19" spans="1:9" ht="14">
      <c r="D19" s="55">
        <v>22</v>
      </c>
      <c r="E19" s="55">
        <f t="shared" si="1"/>
        <v>997.32</v>
      </c>
      <c r="G19" s="55">
        <v>1013</v>
      </c>
      <c r="H19" s="55">
        <v>0.23</v>
      </c>
      <c r="I19" s="55">
        <v>7.0000000000000007E-2</v>
      </c>
    </row>
    <row r="20" spans="1:9" ht="14">
      <c r="D20" s="55">
        <v>22</v>
      </c>
      <c r="E20" s="55">
        <f t="shared" si="1"/>
        <v>1007.12</v>
      </c>
      <c r="G20" s="55">
        <v>1013</v>
      </c>
      <c r="H20" s="55">
        <v>0.13</v>
      </c>
      <c r="I20" s="55">
        <v>7.0000000000000007E-2</v>
      </c>
    </row>
    <row r="21" spans="1:9" ht="14">
      <c r="D21" s="55">
        <v>22</v>
      </c>
      <c r="E21" s="55">
        <f t="shared" si="1"/>
        <v>1010.06</v>
      </c>
      <c r="G21" s="55">
        <v>1013</v>
      </c>
      <c r="H21" s="55">
        <v>0.1</v>
      </c>
      <c r="I21" s="55">
        <v>7.0000000000000007E-2</v>
      </c>
    </row>
    <row r="23" spans="1:9">
      <c r="A23" t="s">
        <v>131</v>
      </c>
      <c r="B23">
        <f>SLOPE(E12:E21,I12:I21)</f>
        <v>819.2</v>
      </c>
    </row>
    <row r="24" spans="1:9">
      <c r="A24" t="s">
        <v>132</v>
      </c>
      <c r="B24">
        <f>E12-B23*I12</f>
        <v>871.37599999999998</v>
      </c>
    </row>
    <row r="26" spans="1:9">
      <c r="A26" t="s">
        <v>137</v>
      </c>
      <c r="B26">
        <v>6.5000000000000002E-2</v>
      </c>
      <c r="C26" t="s">
        <v>134</v>
      </c>
    </row>
    <row r="27" spans="1:9">
      <c r="A27" t="s">
        <v>136</v>
      </c>
      <c r="B27">
        <v>7.0000000000000007E-2</v>
      </c>
      <c r="C27" t="s">
        <v>134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14" sqref="J14"/>
    </sheetView>
  </sheetViews>
  <sheetFormatPr baseColWidth="10" defaultRowHeight="13" x14ac:dyDescent="0"/>
  <cols>
    <col min="2" max="2" width="12.42578125" bestFit="1" customWidth="1"/>
    <col min="3" max="3" width="17" bestFit="1" customWidth="1"/>
    <col min="4" max="4" width="28.28515625" bestFit="1" customWidth="1"/>
    <col min="5" max="5" width="13.140625" bestFit="1" customWidth="1"/>
    <col min="6" max="6" width="14.42578125" bestFit="1" customWidth="1"/>
  </cols>
  <sheetData>
    <row r="1" spans="1:10" ht="14">
      <c r="A1" s="17" t="s">
        <v>41</v>
      </c>
    </row>
    <row r="2" spans="1:10">
      <c r="A2" s="18" t="s">
        <v>1</v>
      </c>
    </row>
    <row r="3" spans="1:10">
      <c r="A3" s="2"/>
      <c r="B3" s="41"/>
      <c r="C3" s="42"/>
      <c r="D3" s="42"/>
      <c r="E3" s="41"/>
      <c r="F3" s="43"/>
      <c r="G3" s="42"/>
      <c r="H3" s="42"/>
      <c r="I3" s="42"/>
      <c r="J3" s="43"/>
    </row>
    <row r="4" spans="1:10">
      <c r="A4" s="3" t="s">
        <v>113</v>
      </c>
      <c r="B4" s="37" t="s">
        <v>162</v>
      </c>
      <c r="C4" s="44" t="s">
        <v>161</v>
      </c>
      <c r="D4" s="44" t="s">
        <v>160</v>
      </c>
      <c r="E4" s="56" t="s">
        <v>158</v>
      </c>
      <c r="F4" s="57" t="s">
        <v>159</v>
      </c>
      <c r="G4" s="44" t="s">
        <v>145</v>
      </c>
      <c r="H4" s="44" t="s">
        <v>146</v>
      </c>
      <c r="I4" s="44" t="s">
        <v>147</v>
      </c>
      <c r="J4" s="38" t="s">
        <v>148</v>
      </c>
    </row>
    <row r="5" spans="1:10" ht="15">
      <c r="A5" s="8" t="s">
        <v>165</v>
      </c>
      <c r="B5" s="22">
        <v>7.17E-2</v>
      </c>
      <c r="C5" s="22">
        <v>0.12529999999999999</v>
      </c>
      <c r="D5" s="22">
        <v>0.183</v>
      </c>
      <c r="E5" s="22">
        <f t="shared" ref="E5:E22" si="0">C5-B5</f>
        <v>5.3599999999999995E-2</v>
      </c>
      <c r="F5" s="22">
        <f t="shared" ref="F5:F22" si="1">D5-C5</f>
        <v>5.7700000000000001E-2</v>
      </c>
      <c r="G5" s="60">
        <v>2.94</v>
      </c>
      <c r="H5" s="60">
        <v>43.76</v>
      </c>
      <c r="I5" s="60">
        <v>6.09</v>
      </c>
      <c r="J5" s="60">
        <v>0.11600000000000001</v>
      </c>
    </row>
    <row r="6" spans="1:10" ht="15">
      <c r="A6" s="8" t="s">
        <v>164</v>
      </c>
      <c r="B6" s="22">
        <v>6.9199999999999998E-2</v>
      </c>
      <c r="C6" s="22">
        <v>0.1236</v>
      </c>
      <c r="D6" s="22">
        <v>0.20849999999999999</v>
      </c>
      <c r="E6" s="22">
        <f t="shared" si="0"/>
        <v>5.4400000000000004E-2</v>
      </c>
      <c r="F6" s="22">
        <f t="shared" si="1"/>
        <v>8.4899999999999989E-2</v>
      </c>
      <c r="G6" s="60">
        <v>2.5099999999999998</v>
      </c>
      <c r="H6" s="60">
        <v>42.94</v>
      </c>
      <c r="I6" s="60">
        <v>6.0629999999999997</v>
      </c>
      <c r="J6" s="60">
        <v>0.10299999999999999</v>
      </c>
    </row>
    <row r="7" spans="1:10" ht="15">
      <c r="A7" s="8" t="s">
        <v>163</v>
      </c>
      <c r="B7" s="22">
        <v>7.1300000000000002E-2</v>
      </c>
      <c r="C7" s="22">
        <v>0.12709999999999999</v>
      </c>
      <c r="D7" s="22">
        <v>0.2069</v>
      </c>
      <c r="E7" s="22">
        <f t="shared" si="0"/>
        <v>5.5799999999999988E-2</v>
      </c>
      <c r="F7" s="22">
        <f t="shared" si="1"/>
        <v>7.980000000000001E-2</v>
      </c>
      <c r="G7" s="60">
        <v>2.82</v>
      </c>
      <c r="H7" s="60">
        <v>43.46</v>
      </c>
      <c r="I7" s="60">
        <v>6.1440000000000001</v>
      </c>
      <c r="J7" s="60">
        <v>0.11</v>
      </c>
    </row>
    <row r="8" spans="1:10" ht="15">
      <c r="A8" s="25" t="s">
        <v>53</v>
      </c>
      <c r="B8" s="22">
        <v>7.1300000000000002E-2</v>
      </c>
      <c r="C8" s="22">
        <v>0.1225</v>
      </c>
      <c r="D8" s="22">
        <v>0.21190000000000001</v>
      </c>
      <c r="E8" s="22">
        <f t="shared" si="0"/>
        <v>5.1199999999999996E-2</v>
      </c>
      <c r="F8" s="22">
        <f t="shared" si="1"/>
        <v>8.9400000000000007E-2</v>
      </c>
      <c r="G8" s="60">
        <v>0.93</v>
      </c>
      <c r="H8" s="60">
        <v>42.04</v>
      </c>
      <c r="I8" s="60">
        <v>5.6829999999999998</v>
      </c>
      <c r="J8" s="60">
        <v>0.13500000000000001</v>
      </c>
    </row>
    <row r="9" spans="1:10" ht="15">
      <c r="A9" s="25" t="s">
        <v>54</v>
      </c>
      <c r="B9" s="22">
        <v>7.22E-2</v>
      </c>
      <c r="C9" s="22">
        <v>0.1229</v>
      </c>
      <c r="D9" s="22">
        <v>0.19420000000000001</v>
      </c>
      <c r="E9" s="22">
        <f t="shared" si="0"/>
        <v>5.0699999999999995E-2</v>
      </c>
      <c r="F9" s="22">
        <f t="shared" si="1"/>
        <v>7.1300000000000016E-2</v>
      </c>
      <c r="G9" s="60">
        <v>1.24</v>
      </c>
      <c r="H9" s="60">
        <v>44.91</v>
      </c>
      <c r="I9" s="60">
        <v>6.08</v>
      </c>
      <c r="J9" s="60">
        <v>0.11799999999999999</v>
      </c>
    </row>
    <row r="10" spans="1:10" ht="15">
      <c r="A10" s="25" t="s">
        <v>55</v>
      </c>
      <c r="B10" s="22">
        <v>7.2099999999999997E-2</v>
      </c>
      <c r="C10" s="22">
        <v>0.125</v>
      </c>
      <c r="D10" s="22">
        <v>0.1938</v>
      </c>
      <c r="E10" s="22">
        <f t="shared" si="0"/>
        <v>5.2900000000000003E-2</v>
      </c>
      <c r="F10" s="22">
        <f t="shared" si="1"/>
        <v>6.88E-2</v>
      </c>
      <c r="G10" s="60">
        <v>1.03</v>
      </c>
      <c r="H10" s="60">
        <v>42.39</v>
      </c>
      <c r="I10" s="60">
        <v>5.7089999999999996</v>
      </c>
      <c r="J10" s="60">
        <v>0.121</v>
      </c>
    </row>
    <row r="11" spans="1:10" ht="15">
      <c r="A11" s="25" t="s">
        <v>56</v>
      </c>
      <c r="B11" s="22">
        <v>7.1400000000000005E-2</v>
      </c>
      <c r="C11" s="22">
        <v>0.1255</v>
      </c>
      <c r="D11" s="22">
        <v>0.1847</v>
      </c>
      <c r="E11" s="22">
        <f t="shared" si="0"/>
        <v>5.4099999999999995E-2</v>
      </c>
      <c r="F11" s="22">
        <f t="shared" si="1"/>
        <v>5.9200000000000003E-2</v>
      </c>
      <c r="G11" s="60">
        <v>1.32</v>
      </c>
      <c r="H11" s="60">
        <v>45.26</v>
      </c>
      <c r="I11" s="60">
        <v>6.0220000000000002</v>
      </c>
      <c r="J11" s="60">
        <v>0.14499999999999999</v>
      </c>
    </row>
    <row r="12" spans="1:10" ht="15">
      <c r="A12" s="25" t="s">
        <v>57</v>
      </c>
      <c r="B12" s="22">
        <v>7.0099999999999996E-2</v>
      </c>
      <c r="C12" s="22">
        <v>0.1275</v>
      </c>
      <c r="D12" s="22">
        <v>0.20569999999999999</v>
      </c>
      <c r="E12" s="22">
        <f t="shared" si="0"/>
        <v>5.7400000000000007E-2</v>
      </c>
      <c r="F12" s="22">
        <f t="shared" si="1"/>
        <v>7.8199999999999992E-2</v>
      </c>
      <c r="G12" s="60">
        <v>1.56</v>
      </c>
      <c r="H12" s="60">
        <v>46.18</v>
      </c>
      <c r="I12" s="60">
        <v>6.1779999999999999</v>
      </c>
      <c r="J12" s="60">
        <v>0.17799999999999999</v>
      </c>
    </row>
    <row r="13" spans="1:10" ht="15">
      <c r="A13" s="25" t="s">
        <v>58</v>
      </c>
      <c r="B13" s="22">
        <v>7.0900000000000005E-2</v>
      </c>
      <c r="C13" s="22">
        <v>0.1235</v>
      </c>
      <c r="D13" s="22">
        <v>0.2044</v>
      </c>
      <c r="E13" s="22">
        <f t="shared" si="0"/>
        <v>5.2599999999999994E-2</v>
      </c>
      <c r="F13" s="22">
        <f t="shared" si="1"/>
        <v>8.09E-2</v>
      </c>
      <c r="G13" s="60">
        <v>1.37</v>
      </c>
      <c r="H13" s="60">
        <v>46.29</v>
      </c>
      <c r="I13" s="60">
        <v>6.1660000000000004</v>
      </c>
      <c r="J13" s="60">
        <v>0.154</v>
      </c>
    </row>
    <row r="14" spans="1:10" ht="15">
      <c r="A14" s="25" t="s">
        <v>59</v>
      </c>
      <c r="B14" s="22">
        <v>7.0699999999999999E-2</v>
      </c>
      <c r="C14" s="22">
        <v>0.12709999999999999</v>
      </c>
      <c r="D14" s="22">
        <v>0.2467</v>
      </c>
      <c r="E14" s="22">
        <f t="shared" si="0"/>
        <v>5.6399999999999992E-2</v>
      </c>
      <c r="F14" s="22">
        <f t="shared" si="1"/>
        <v>0.11960000000000001</v>
      </c>
      <c r="G14" s="60">
        <v>1.73</v>
      </c>
      <c r="H14" s="60">
        <v>46.8</v>
      </c>
      <c r="I14" s="60">
        <v>6.2670000000000003</v>
      </c>
      <c r="J14" s="60">
        <v>0.247</v>
      </c>
    </row>
    <row r="15" spans="1:10" ht="15">
      <c r="A15" s="25" t="s">
        <v>60</v>
      </c>
      <c r="B15" s="22">
        <v>7.1800000000000003E-2</v>
      </c>
      <c r="C15" s="22">
        <v>0.126</v>
      </c>
      <c r="D15" s="22">
        <v>0.21110000000000001</v>
      </c>
      <c r="E15" s="22">
        <f t="shared" si="0"/>
        <v>5.4199999999999998E-2</v>
      </c>
      <c r="F15" s="22">
        <f t="shared" si="1"/>
        <v>8.5100000000000009E-2</v>
      </c>
      <c r="G15" s="60">
        <v>1.44</v>
      </c>
      <c r="H15" s="60">
        <v>45.1</v>
      </c>
      <c r="I15" s="60">
        <v>5.9820000000000002</v>
      </c>
      <c r="J15" s="60">
        <v>0.2</v>
      </c>
    </row>
    <row r="16" spans="1:10" ht="15">
      <c r="A16" s="25" t="s">
        <v>61</v>
      </c>
      <c r="B16" s="22">
        <v>7.1999999999999995E-2</v>
      </c>
      <c r="C16" s="22">
        <v>0.1245</v>
      </c>
      <c r="D16" s="22">
        <v>0.2329</v>
      </c>
      <c r="E16" s="22">
        <f t="shared" si="0"/>
        <v>5.2500000000000005E-2</v>
      </c>
      <c r="F16" s="22">
        <f t="shared" si="1"/>
        <v>0.1084</v>
      </c>
      <c r="G16" s="60">
        <v>1.32</v>
      </c>
      <c r="H16" s="60">
        <v>46.91</v>
      </c>
      <c r="I16" s="60">
        <v>6.1829999999999998</v>
      </c>
      <c r="J16" s="60">
        <v>0.192</v>
      </c>
    </row>
    <row r="17" spans="1:10" ht="15">
      <c r="A17" s="25" t="s">
        <v>62</v>
      </c>
      <c r="B17" s="22">
        <v>7.0999999999999994E-2</v>
      </c>
      <c r="C17" s="22">
        <v>0.1255</v>
      </c>
      <c r="D17" s="22">
        <v>0.18729999999999999</v>
      </c>
      <c r="E17" s="22">
        <f t="shared" si="0"/>
        <v>5.4500000000000007E-2</v>
      </c>
      <c r="F17" s="22">
        <f t="shared" si="1"/>
        <v>6.1799999999999994E-2</v>
      </c>
      <c r="G17" s="60">
        <v>1.29</v>
      </c>
      <c r="H17" s="60">
        <v>45.91</v>
      </c>
      <c r="I17" s="60">
        <v>6.0860000000000003</v>
      </c>
      <c r="J17" s="60">
        <v>0.21199999999999999</v>
      </c>
    </row>
    <row r="18" spans="1:10" ht="15">
      <c r="A18" s="25" t="s">
        <v>63</v>
      </c>
      <c r="B18" s="22">
        <v>7.2300000000000003E-2</v>
      </c>
      <c r="C18" s="22">
        <v>0.12520000000000001</v>
      </c>
      <c r="D18" s="22">
        <v>0.1991</v>
      </c>
      <c r="E18" s="22">
        <f t="shared" si="0"/>
        <v>5.2900000000000003E-2</v>
      </c>
      <c r="F18" s="22">
        <f t="shared" si="1"/>
        <v>7.3899999999999993E-2</v>
      </c>
      <c r="G18" s="60">
        <v>1.08</v>
      </c>
      <c r="H18" s="60">
        <v>45.9</v>
      </c>
      <c r="I18" s="60">
        <v>6.12</v>
      </c>
      <c r="J18" s="60">
        <v>0.186</v>
      </c>
    </row>
    <row r="19" spans="1:10" ht="15">
      <c r="A19" s="25" t="s">
        <v>64</v>
      </c>
      <c r="B19" s="22">
        <v>7.3099999999999998E-2</v>
      </c>
      <c r="C19" s="22">
        <v>0.12690000000000001</v>
      </c>
      <c r="D19" s="22">
        <v>0.19339999999999999</v>
      </c>
      <c r="E19" s="22">
        <f t="shared" si="0"/>
        <v>5.3800000000000014E-2</v>
      </c>
      <c r="F19" s="22">
        <f t="shared" si="1"/>
        <v>6.6499999999999976E-2</v>
      </c>
      <c r="G19" s="60">
        <v>1.1499999999999999</v>
      </c>
      <c r="H19" s="60">
        <v>45.3</v>
      </c>
      <c r="I19" s="60">
        <v>5.984</v>
      </c>
      <c r="J19" s="60">
        <v>0.20200000000000001</v>
      </c>
    </row>
    <row r="20" spans="1:10" ht="15">
      <c r="A20" s="6" t="s">
        <v>65</v>
      </c>
      <c r="B20" s="22">
        <v>0.14280000000000001</v>
      </c>
      <c r="C20" s="22">
        <v>0.19409999999999999</v>
      </c>
      <c r="D20" s="22">
        <v>0.29399999999999998</v>
      </c>
      <c r="E20" s="22">
        <f t="shared" si="0"/>
        <v>5.1299999999999985E-2</v>
      </c>
      <c r="F20" s="22">
        <f t="shared" si="1"/>
        <v>9.9899999999999989E-2</v>
      </c>
      <c r="G20" s="60">
        <v>1.1200000000000001</v>
      </c>
      <c r="H20" s="60">
        <v>45.56</v>
      </c>
      <c r="I20" s="60">
        <v>6.0190000000000001</v>
      </c>
      <c r="J20" s="60">
        <v>0.187</v>
      </c>
    </row>
    <row r="21" spans="1:10" ht="15">
      <c r="A21" s="6" t="s">
        <v>66</v>
      </c>
      <c r="B21" s="22">
        <v>0.14269999999999999</v>
      </c>
      <c r="C21" s="22">
        <v>0.19600000000000001</v>
      </c>
      <c r="D21" s="22">
        <v>0.29139999999999999</v>
      </c>
      <c r="E21" s="22">
        <f t="shared" si="0"/>
        <v>5.3300000000000014E-2</v>
      </c>
      <c r="F21" s="22">
        <f t="shared" si="1"/>
        <v>9.5399999999999985E-2</v>
      </c>
      <c r="G21" s="60">
        <v>1.38</v>
      </c>
      <c r="H21" s="60">
        <v>46.74</v>
      </c>
      <c r="I21" s="60">
        <v>6.1980000000000004</v>
      </c>
      <c r="J21" s="60">
        <v>0.22700000000000001</v>
      </c>
    </row>
    <row r="22" spans="1:10" ht="15">
      <c r="A22" s="6" t="s">
        <v>67</v>
      </c>
      <c r="B22" s="22">
        <v>0.14330000000000001</v>
      </c>
      <c r="C22" s="22">
        <v>0.1951</v>
      </c>
      <c r="D22" s="22">
        <v>0.30530000000000002</v>
      </c>
      <c r="E22" s="22">
        <f t="shared" si="0"/>
        <v>5.1799999999999985E-2</v>
      </c>
      <c r="F22" s="22">
        <f t="shared" si="1"/>
        <v>0.11020000000000002</v>
      </c>
      <c r="G22" s="60">
        <v>1.38</v>
      </c>
      <c r="H22" s="60">
        <v>46.16</v>
      </c>
      <c r="I22" s="60">
        <v>6.1310000000000002</v>
      </c>
      <c r="J22" s="60">
        <v>0.20100000000000001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8" sqref="F18"/>
    </sheetView>
  </sheetViews>
  <sheetFormatPr baseColWidth="10" defaultRowHeight="13" x14ac:dyDescent="0"/>
  <cols>
    <col min="1" max="1" width="16.5703125" customWidth="1"/>
    <col min="7" max="7" width="12" bestFit="1" customWidth="1"/>
  </cols>
  <sheetData>
    <row r="1" spans="1:9">
      <c r="A1" t="s">
        <v>166</v>
      </c>
    </row>
    <row r="3" spans="1:9">
      <c r="D3" t="s">
        <v>167</v>
      </c>
      <c r="E3" t="s">
        <v>169</v>
      </c>
      <c r="F3" t="s">
        <v>168</v>
      </c>
      <c r="G3" t="s">
        <v>170</v>
      </c>
      <c r="H3" t="s">
        <v>171</v>
      </c>
      <c r="I3" t="s">
        <v>172</v>
      </c>
    </row>
    <row r="4" spans="1:9">
      <c r="C4" t="s">
        <v>184</v>
      </c>
      <c r="D4">
        <f>AVERAGE(macrocube!E5:E7)*AVERAGE(macrocube!H5:H7)/100</f>
        <v>2.3689119999999998E-2</v>
      </c>
      <c r="E4">
        <f>AVERAGE(macrocube!E5:E7)*AVERAGE(macrocube!I5:I7)/100</f>
        <v>3.3300539999999994E-3</v>
      </c>
      <c r="F4">
        <f>AVERAGE(macrocube!E5:E7)*AVERAGE(macrocube!G5:G7)/100</f>
        <v>1.5051399999999999E-3</v>
      </c>
      <c r="G4">
        <f>AVERAGE(macrocube!E5:E7)*AVERAGE(macrocube!J5:J7)/100</f>
        <v>5.9878000000000005E-5</v>
      </c>
      <c r="H4">
        <f>(100-AVERAGE(macrocube!H5:H7)-AVERAGE(macrocube!I5:I7)-AVERAGE(macrocube!G5:G7)-AVERAGE(macrocube!J5:J7)-I4)*AVERAGE(macrocube!E5:E7)/100</f>
        <v>2.5153128000000004E-2</v>
      </c>
      <c r="I4">
        <v>1.58</v>
      </c>
    </row>
    <row r="5" spans="1:9">
      <c r="C5" t="s">
        <v>185</v>
      </c>
      <c r="D5">
        <v>12</v>
      </c>
      <c r="E5">
        <v>1</v>
      </c>
      <c r="F5">
        <v>14</v>
      </c>
      <c r="G5">
        <v>32</v>
      </c>
      <c r="H5">
        <v>16</v>
      </c>
    </row>
    <row r="6" spans="1:9">
      <c r="C6" t="s">
        <v>186</v>
      </c>
      <c r="D6" t="s">
        <v>131</v>
      </c>
      <c r="E6" t="s">
        <v>132</v>
      </c>
      <c r="F6" t="s">
        <v>188</v>
      </c>
      <c r="G6" t="s">
        <v>189</v>
      </c>
      <c r="H6" t="s">
        <v>187</v>
      </c>
    </row>
    <row r="7" spans="1:9">
      <c r="D7">
        <f>D4/D5</f>
        <v>1.9740933333333333E-3</v>
      </c>
      <c r="E7">
        <f>E4/E5</f>
        <v>3.3300539999999994E-3</v>
      </c>
      <c r="F7">
        <f>F4/F5</f>
        <v>1.0750999999999999E-4</v>
      </c>
      <c r="G7">
        <f>G4/G5</f>
        <v>1.8711875000000002E-6</v>
      </c>
      <c r="H7">
        <f>H4/H5</f>
        <v>1.5720705000000002E-3</v>
      </c>
    </row>
    <row r="9" spans="1:9">
      <c r="B9" t="s">
        <v>183</v>
      </c>
      <c r="C9" t="s">
        <v>178</v>
      </c>
    </row>
    <row r="10" spans="1:9">
      <c r="A10" t="s">
        <v>174</v>
      </c>
      <c r="B10">
        <f>(D7/2)+(E7/8)-(H7/4)-(3*F7/8)-(G7/4)</f>
        <v>9.6950174479166638E-4</v>
      </c>
      <c r="C10" t="s">
        <v>179</v>
      </c>
    </row>
    <row r="11" spans="1:9">
      <c r="A11" t="s">
        <v>175</v>
      </c>
      <c r="B11">
        <f>(D7/2)-(E7/8)+(H7/4)+(3*F7/8)+(G7/4)</f>
        <v>1.004591588541667E-3</v>
      </c>
      <c r="C11" t="s">
        <v>179</v>
      </c>
    </row>
    <row r="12" spans="1:9">
      <c r="A12" t="s">
        <v>176</v>
      </c>
      <c r="B12">
        <f>12.017*D7+1.0079*E7+15.999*H7+14.007*F7+32.065*G7</f>
        <v>5.3796489139954169E-2</v>
      </c>
      <c r="C12" t="s">
        <v>180</v>
      </c>
    </row>
    <row r="13" spans="1:9">
      <c r="A13" t="s">
        <v>177</v>
      </c>
      <c r="B13">
        <v>22400</v>
      </c>
      <c r="C13" t="s">
        <v>181</v>
      </c>
    </row>
    <row r="15" spans="1:9">
      <c r="A15" t="s">
        <v>173</v>
      </c>
      <c r="B15">
        <f>B13*((B10+B11)/B12)</f>
        <v>821.9809763352215</v>
      </c>
    </row>
    <row r="16" spans="1:9">
      <c r="A16" t="s">
        <v>182</v>
      </c>
      <c r="B16">
        <f>B13*(B10/B12)</f>
        <v>403.685062548151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J37" sqref="J37"/>
    </sheetView>
  </sheetViews>
  <sheetFormatPr baseColWidth="10" defaultRowHeight="13" x14ac:dyDescent="0"/>
  <cols>
    <col min="9" max="9" width="14.28515625" bestFit="1" customWidth="1"/>
    <col min="10" max="10" width="12.28515625" bestFit="1" customWidth="1"/>
  </cols>
  <sheetData>
    <row r="1" spans="1:20" ht="14">
      <c r="A1" s="17" t="s">
        <v>41</v>
      </c>
      <c r="F1" t="s">
        <v>149</v>
      </c>
    </row>
    <row r="2" spans="1:20">
      <c r="A2" s="18" t="s">
        <v>1</v>
      </c>
      <c r="B2">
        <v>27082019</v>
      </c>
      <c r="D2" t="s">
        <v>14</v>
      </c>
      <c r="E2" t="s">
        <v>16</v>
      </c>
      <c r="F2">
        <v>0.23499999999999999</v>
      </c>
      <c r="L2">
        <f>AVERAGE(L5:L7)</f>
        <v>2.7566666666666664</v>
      </c>
      <c r="M2">
        <f>AVERAGE(M5:M7)</f>
        <v>43.386666666666663</v>
      </c>
      <c r="N2">
        <f>AVERAGE(N5:N7)</f>
        <v>0.10966666666666668</v>
      </c>
      <c r="Q2">
        <v>100</v>
      </c>
    </row>
    <row r="3" spans="1:20">
      <c r="A3" s="67"/>
      <c r="B3" s="67"/>
      <c r="C3" s="68" t="s">
        <v>191</v>
      </c>
      <c r="D3" s="19" t="s">
        <v>50</v>
      </c>
      <c r="E3" s="67" t="s">
        <v>51</v>
      </c>
      <c r="F3" s="67" t="s">
        <v>52</v>
      </c>
      <c r="G3" s="69" t="s">
        <v>150</v>
      </c>
      <c r="H3" s="68" t="s">
        <v>156</v>
      </c>
      <c r="I3" s="70"/>
      <c r="J3" s="68"/>
      <c r="K3" s="71"/>
      <c r="L3" s="68"/>
      <c r="M3" s="68"/>
      <c r="N3" s="68"/>
    </row>
    <row r="4" spans="1:20">
      <c r="A4" s="62" t="s">
        <v>45</v>
      </c>
      <c r="B4" s="62" t="s">
        <v>49</v>
      </c>
      <c r="C4" s="72" t="s">
        <v>46</v>
      </c>
      <c r="D4" s="63" t="s">
        <v>154</v>
      </c>
      <c r="E4" s="62" t="s">
        <v>153</v>
      </c>
      <c r="F4" s="61" t="s">
        <v>151</v>
      </c>
      <c r="G4" s="61" t="s">
        <v>152</v>
      </c>
      <c r="H4" s="61" t="s">
        <v>155</v>
      </c>
      <c r="I4" s="61" t="s">
        <v>157</v>
      </c>
      <c r="J4" s="23" t="s">
        <v>215</v>
      </c>
      <c r="K4" s="64" t="s">
        <v>9</v>
      </c>
      <c r="L4" s="61" t="s">
        <v>145</v>
      </c>
      <c r="M4" s="61" t="s">
        <v>146</v>
      </c>
      <c r="N4" s="61" t="s">
        <v>148</v>
      </c>
      <c r="O4" s="61" t="s">
        <v>194</v>
      </c>
      <c r="P4" s="61" t="s">
        <v>196</v>
      </c>
      <c r="Q4" s="61" t="s">
        <v>197</v>
      </c>
      <c r="R4" s="61" t="s">
        <v>195</v>
      </c>
      <c r="S4" s="61" t="s">
        <v>192</v>
      </c>
      <c r="T4" s="61" t="s">
        <v>198</v>
      </c>
    </row>
    <row r="5" spans="1:20" ht="15">
      <c r="A5" s="25" t="s">
        <v>110</v>
      </c>
      <c r="B5" s="25">
        <v>27082019</v>
      </c>
      <c r="C5" s="73">
        <v>0</v>
      </c>
      <c r="D5" s="25" t="s">
        <v>22</v>
      </c>
      <c r="E5" s="25" t="s">
        <v>22</v>
      </c>
      <c r="F5" s="25" t="s">
        <v>22</v>
      </c>
      <c r="G5" s="25" t="s">
        <v>22</v>
      </c>
      <c r="H5" s="25" t="s">
        <v>22</v>
      </c>
      <c r="I5" s="25" t="s">
        <v>22</v>
      </c>
      <c r="J5" s="25">
        <v>100</v>
      </c>
      <c r="K5" s="25"/>
      <c r="L5" s="74">
        <v>2.94</v>
      </c>
      <c r="M5" s="74">
        <v>43.76</v>
      </c>
      <c r="N5" s="74">
        <v>0.11600000000000001</v>
      </c>
      <c r="P5" s="65"/>
      <c r="S5" s="65"/>
    </row>
    <row r="6" spans="1:20" ht="15">
      <c r="A6" s="25" t="s">
        <v>110</v>
      </c>
      <c r="B6" s="25">
        <v>27082019</v>
      </c>
      <c r="C6" s="73">
        <v>0</v>
      </c>
      <c r="D6" s="25" t="s">
        <v>22</v>
      </c>
      <c r="E6" s="25" t="s">
        <v>22</v>
      </c>
      <c r="F6" s="25" t="s">
        <v>22</v>
      </c>
      <c r="G6" s="25" t="s">
        <v>22</v>
      </c>
      <c r="H6" s="25" t="s">
        <v>22</v>
      </c>
      <c r="I6" s="25" t="s">
        <v>22</v>
      </c>
      <c r="J6" s="25">
        <v>100</v>
      </c>
      <c r="K6" s="25"/>
      <c r="L6" s="74">
        <v>2.5099999999999998</v>
      </c>
      <c r="M6" s="74">
        <v>42.94</v>
      </c>
      <c r="N6" s="74">
        <v>0.10299999999999999</v>
      </c>
      <c r="P6" s="65"/>
      <c r="S6" s="66"/>
    </row>
    <row r="7" spans="1:20" ht="15">
      <c r="A7" s="25" t="s">
        <v>110</v>
      </c>
      <c r="B7" s="25">
        <v>27082019</v>
      </c>
      <c r="C7" s="73">
        <v>0</v>
      </c>
      <c r="D7" s="25" t="s">
        <v>22</v>
      </c>
      <c r="E7" s="25" t="s">
        <v>22</v>
      </c>
      <c r="F7" s="25" t="s">
        <v>22</v>
      </c>
      <c r="G7" s="25" t="s">
        <v>22</v>
      </c>
      <c r="H7" s="25" t="s">
        <v>22</v>
      </c>
      <c r="I7" s="25" t="s">
        <v>22</v>
      </c>
      <c r="J7" s="25">
        <v>100</v>
      </c>
      <c r="K7" s="25"/>
      <c r="L7" s="74">
        <v>2.82</v>
      </c>
      <c r="M7" s="74">
        <v>43.46</v>
      </c>
      <c r="N7" s="74">
        <v>0.11</v>
      </c>
      <c r="P7" s="65"/>
      <c r="S7" s="66"/>
    </row>
    <row r="8" spans="1:20" ht="14">
      <c r="A8" s="25" t="s">
        <v>53</v>
      </c>
      <c r="B8" s="25">
        <v>27082019</v>
      </c>
      <c r="C8" s="73">
        <v>3</v>
      </c>
      <c r="D8" s="25">
        <v>1.0125999999999999</v>
      </c>
      <c r="E8" s="58">
        <v>12.808199999999999</v>
      </c>
      <c r="F8" s="58">
        <f>E8-D8</f>
        <v>11.7956</v>
      </c>
      <c r="G8" s="25">
        <f>F8*$F$2</f>
        <v>2.7719659999999999</v>
      </c>
      <c r="H8" s="25">
        <v>2.3860000000000001</v>
      </c>
      <c r="I8" s="25">
        <f>H8-D8</f>
        <v>1.3734000000000002</v>
      </c>
      <c r="J8" s="25">
        <f>I8/G8*100</f>
        <v>49.546062253288831</v>
      </c>
      <c r="K8" s="25"/>
      <c r="L8" s="74">
        <v>0.93</v>
      </c>
      <c r="M8" s="74">
        <v>42.04</v>
      </c>
      <c r="N8" s="74">
        <v>0.13500000000000001</v>
      </c>
      <c r="O8">
        <f>G8*($L$2/100)</f>
        <v>7.6413862733333324E-2</v>
      </c>
      <c r="P8">
        <f>I8*(L8/$Q$2)</f>
        <v>1.2772620000000004E-2</v>
      </c>
      <c r="Q8">
        <f>O8-P8</f>
        <v>6.3641242733333325E-2</v>
      </c>
      <c r="R8">
        <f t="shared" ref="R8:R22" si="0">G8*($N$2/100)</f>
        <v>3.0399227133333338E-3</v>
      </c>
      <c r="S8">
        <f t="shared" ref="S8:S22" si="1">J8*(N8/$Q$2)</f>
        <v>6.6887184041939926E-2</v>
      </c>
      <c r="T8">
        <f>R8-S8</f>
        <v>-6.3847261328606589E-2</v>
      </c>
    </row>
    <row r="9" spans="1:20" ht="14">
      <c r="A9" s="25" t="s">
        <v>54</v>
      </c>
      <c r="B9" s="25">
        <v>27082019</v>
      </c>
      <c r="C9" s="73">
        <v>3</v>
      </c>
      <c r="D9" s="25">
        <v>1.0035000000000001</v>
      </c>
      <c r="E9" s="58">
        <v>13.441599999999999</v>
      </c>
      <c r="F9" s="58">
        <f t="shared" ref="F9:F22" si="2">E9-D9</f>
        <v>12.438099999999999</v>
      </c>
      <c r="G9" s="25">
        <f t="shared" ref="G9:G22" si="3">F9*$F$2</f>
        <v>2.9229534999999993</v>
      </c>
      <c r="H9" s="25">
        <v>2.3290000000000002</v>
      </c>
      <c r="I9" s="25">
        <f t="shared" ref="I9:I22" si="4">H9-D9</f>
        <v>1.3255000000000001</v>
      </c>
      <c r="J9" s="25">
        <f t="shared" ref="J9:J19" si="5">I9/G9*100</f>
        <v>45.34796738983362</v>
      </c>
      <c r="K9" s="25"/>
      <c r="L9" s="74">
        <v>1.24</v>
      </c>
      <c r="M9" s="74">
        <v>44.91</v>
      </c>
      <c r="N9" s="74">
        <v>0.11799999999999999</v>
      </c>
      <c r="O9">
        <f t="shared" ref="O9:O22" si="6">G9*($L$2/100)</f>
        <v>8.0576084816666643E-2</v>
      </c>
      <c r="P9">
        <f t="shared" ref="P9:P22" si="7">I9*(L9/$Q$2)</f>
        <v>1.6436200000000002E-2</v>
      </c>
      <c r="Q9">
        <f t="shared" ref="Q9:Q22" si="8">O9-P9</f>
        <v>6.4139884816666645E-2</v>
      </c>
      <c r="R9">
        <f t="shared" si="0"/>
        <v>3.2055056716666663E-3</v>
      </c>
      <c r="S9">
        <f t="shared" si="1"/>
        <v>5.3510601520003663E-2</v>
      </c>
    </row>
    <row r="10" spans="1:20" ht="14">
      <c r="A10" s="25" t="s">
        <v>55</v>
      </c>
      <c r="B10" s="25">
        <v>27082019</v>
      </c>
      <c r="C10" s="73">
        <v>3</v>
      </c>
      <c r="D10" s="25">
        <v>1.0044999999999999</v>
      </c>
      <c r="E10" s="58">
        <v>13.0189</v>
      </c>
      <c r="F10" s="58">
        <f t="shared" si="2"/>
        <v>12.0144</v>
      </c>
      <c r="G10" s="25">
        <f t="shared" si="3"/>
        <v>2.8233839999999999</v>
      </c>
      <c r="H10" s="25">
        <v>2.1909999999999998</v>
      </c>
      <c r="I10" s="25">
        <f t="shared" si="4"/>
        <v>1.1864999999999999</v>
      </c>
      <c r="J10" s="25">
        <f t="shared" si="5"/>
        <v>42.024039238020755</v>
      </c>
      <c r="K10" s="25"/>
      <c r="L10" s="74">
        <v>1.03</v>
      </c>
      <c r="M10" s="74">
        <v>42.39</v>
      </c>
      <c r="N10" s="74">
        <v>0.121</v>
      </c>
      <c r="O10">
        <f t="shared" si="6"/>
        <v>7.783128559999998E-2</v>
      </c>
      <c r="P10">
        <f t="shared" si="7"/>
        <v>1.222095E-2</v>
      </c>
      <c r="Q10">
        <f t="shared" si="8"/>
        <v>6.5610335599999986E-2</v>
      </c>
      <c r="R10">
        <f t="shared" si="0"/>
        <v>3.0963111200000004E-3</v>
      </c>
      <c r="S10">
        <f t="shared" si="1"/>
        <v>5.0849087478005109E-2</v>
      </c>
    </row>
    <row r="11" spans="1:20" ht="14">
      <c r="A11" s="25" t="s">
        <v>56</v>
      </c>
      <c r="B11" s="25">
        <v>27082019</v>
      </c>
      <c r="C11" s="73">
        <v>7</v>
      </c>
      <c r="D11" s="25">
        <v>1.0039</v>
      </c>
      <c r="E11" s="58">
        <v>12.8971</v>
      </c>
      <c r="F11" s="58">
        <f t="shared" si="2"/>
        <v>11.8932</v>
      </c>
      <c r="G11" s="25">
        <f t="shared" si="3"/>
        <v>2.794902</v>
      </c>
      <c r="H11" s="25">
        <v>2.117</v>
      </c>
      <c r="I11" s="25">
        <f t="shared" si="4"/>
        <v>1.1131</v>
      </c>
      <c r="J11" s="25">
        <f t="shared" si="5"/>
        <v>39.826083347466209</v>
      </c>
      <c r="K11" s="25"/>
      <c r="L11" s="74">
        <v>1.32</v>
      </c>
      <c r="M11" s="74">
        <v>45.26</v>
      </c>
      <c r="N11" s="74">
        <v>0.14499999999999999</v>
      </c>
      <c r="O11">
        <f t="shared" si="6"/>
        <v>7.7046131799999987E-2</v>
      </c>
      <c r="P11">
        <f t="shared" si="7"/>
        <v>1.469292E-2</v>
      </c>
      <c r="Q11">
        <f t="shared" si="8"/>
        <v>6.2353211799999989E-2</v>
      </c>
      <c r="R11">
        <f t="shared" si="0"/>
        <v>3.0650758600000005E-3</v>
      </c>
      <c r="S11">
        <f t="shared" si="1"/>
        <v>5.7747820853826001E-2</v>
      </c>
    </row>
    <row r="12" spans="1:20" ht="14">
      <c r="A12" s="25" t="s">
        <v>57</v>
      </c>
      <c r="B12" s="25">
        <v>27082019</v>
      </c>
      <c r="C12" s="73">
        <v>7</v>
      </c>
      <c r="D12" s="25">
        <v>0.99850000000000005</v>
      </c>
      <c r="E12" s="58">
        <v>13.2668</v>
      </c>
      <c r="F12" s="58">
        <f t="shared" si="2"/>
        <v>12.2683</v>
      </c>
      <c r="G12" s="25">
        <f t="shared" si="3"/>
        <v>2.8830505</v>
      </c>
      <c r="H12" s="25">
        <v>2.1179999999999999</v>
      </c>
      <c r="I12" s="25">
        <f t="shared" si="4"/>
        <v>1.1194999999999999</v>
      </c>
      <c r="J12" s="25">
        <f t="shared" si="5"/>
        <v>38.83039856568589</v>
      </c>
      <c r="K12" s="25"/>
      <c r="L12" s="74">
        <v>1.56</v>
      </c>
      <c r="M12" s="74">
        <v>46.18</v>
      </c>
      <c r="N12" s="74">
        <v>0.17799999999999999</v>
      </c>
      <c r="O12">
        <f t="shared" si="6"/>
        <v>7.9476092116666661E-2</v>
      </c>
      <c r="P12">
        <f t="shared" si="7"/>
        <v>1.7464199999999999E-2</v>
      </c>
      <c r="Q12">
        <f t="shared" si="8"/>
        <v>6.2011892116666661E-2</v>
      </c>
      <c r="R12">
        <f t="shared" si="0"/>
        <v>3.1617453816666671E-3</v>
      </c>
      <c r="S12">
        <f t="shared" si="1"/>
        <v>6.9118109446920886E-2</v>
      </c>
    </row>
    <row r="13" spans="1:20" ht="14">
      <c r="A13" s="25" t="s">
        <v>58</v>
      </c>
      <c r="B13" s="25">
        <v>27082019</v>
      </c>
      <c r="C13" s="73">
        <v>7</v>
      </c>
      <c r="D13" s="25">
        <v>1.0059</v>
      </c>
      <c r="E13" s="58">
        <v>13.0151</v>
      </c>
      <c r="F13" s="58">
        <f t="shared" si="2"/>
        <v>12.0092</v>
      </c>
      <c r="G13" s="25">
        <f t="shared" si="3"/>
        <v>2.8221619999999996</v>
      </c>
      <c r="H13" s="25">
        <v>2.036</v>
      </c>
      <c r="I13" s="25">
        <f t="shared" si="4"/>
        <v>1.0301</v>
      </c>
      <c r="J13" s="25">
        <f t="shared" si="5"/>
        <v>36.500385165699214</v>
      </c>
      <c r="K13" s="25"/>
      <c r="L13" s="74">
        <v>1.37</v>
      </c>
      <c r="M13" s="74">
        <v>46.29</v>
      </c>
      <c r="N13" s="74">
        <v>0.154</v>
      </c>
      <c r="O13">
        <f t="shared" si="6"/>
        <v>7.7797599133333312E-2</v>
      </c>
      <c r="P13">
        <f t="shared" si="7"/>
        <v>1.4112370000000001E-2</v>
      </c>
      <c r="Q13">
        <f t="shared" si="8"/>
        <v>6.3685229133333313E-2</v>
      </c>
      <c r="R13">
        <f t="shared" si="0"/>
        <v>3.0949709933333334E-3</v>
      </c>
      <c r="S13">
        <f t="shared" si="1"/>
        <v>5.6210593155176784E-2</v>
      </c>
    </row>
    <row r="14" spans="1:20" ht="14">
      <c r="A14" s="25" t="s">
        <v>59</v>
      </c>
      <c r="B14" s="25">
        <v>27082019</v>
      </c>
      <c r="C14" s="73">
        <v>14</v>
      </c>
      <c r="D14" s="25">
        <v>0.99739999999999995</v>
      </c>
      <c r="E14" s="58">
        <v>13.456799999999999</v>
      </c>
      <c r="F14" s="58">
        <f t="shared" si="2"/>
        <v>12.459399999999999</v>
      </c>
      <c r="G14" s="25">
        <f t="shared" si="3"/>
        <v>2.9279589999999995</v>
      </c>
      <c r="H14" s="25">
        <v>2.0270000000000001</v>
      </c>
      <c r="I14" s="25">
        <f t="shared" si="4"/>
        <v>1.0296000000000003</v>
      </c>
      <c r="J14" s="25">
        <f t="shared" si="5"/>
        <v>35.164426824282735</v>
      </c>
      <c r="K14" s="25"/>
      <c r="L14" s="74">
        <v>1.73</v>
      </c>
      <c r="M14" s="74">
        <v>46.8</v>
      </c>
      <c r="N14" s="74">
        <v>0.247</v>
      </c>
      <c r="O14">
        <f t="shared" si="6"/>
        <v>8.0714069766666646E-2</v>
      </c>
      <c r="P14">
        <f t="shared" si="7"/>
        <v>1.7812080000000004E-2</v>
      </c>
      <c r="Q14">
        <f t="shared" si="8"/>
        <v>6.2901989766666638E-2</v>
      </c>
      <c r="R14">
        <f t="shared" si="0"/>
        <v>3.2109950366666666E-3</v>
      </c>
      <c r="S14">
        <f t="shared" si="1"/>
        <v>8.6856134255978351E-2</v>
      </c>
    </row>
    <row r="15" spans="1:20" ht="14">
      <c r="A15" s="25" t="s">
        <v>60</v>
      </c>
      <c r="B15" s="25">
        <v>27082019</v>
      </c>
      <c r="C15" s="73">
        <v>14</v>
      </c>
      <c r="D15" s="25">
        <v>0.99409999999999998</v>
      </c>
      <c r="E15" s="58">
        <v>12.6067</v>
      </c>
      <c r="F15" s="58">
        <f t="shared" si="2"/>
        <v>11.6126</v>
      </c>
      <c r="G15" s="25">
        <f t="shared" si="3"/>
        <v>2.728961</v>
      </c>
      <c r="H15" s="25">
        <v>1.9159999999999999</v>
      </c>
      <c r="I15" s="25">
        <f t="shared" si="4"/>
        <v>0.92189999999999994</v>
      </c>
      <c r="J15" s="25">
        <f t="shared" si="5"/>
        <v>33.782087761605972</v>
      </c>
      <c r="K15" s="25"/>
      <c r="L15" s="74">
        <v>1.44</v>
      </c>
      <c r="M15" s="74">
        <v>45.1</v>
      </c>
      <c r="N15" s="74">
        <v>0.2</v>
      </c>
      <c r="O15">
        <f t="shared" si="6"/>
        <v>7.522835823333332E-2</v>
      </c>
      <c r="P15">
        <f t="shared" si="7"/>
        <v>1.3275359999999998E-2</v>
      </c>
      <c r="Q15">
        <f t="shared" si="8"/>
        <v>6.195299823333332E-2</v>
      </c>
      <c r="R15">
        <f t="shared" si="0"/>
        <v>2.9927605633333337E-3</v>
      </c>
      <c r="S15">
        <f t="shared" si="1"/>
        <v>6.756417552321195E-2</v>
      </c>
    </row>
    <row r="16" spans="1:20" ht="14">
      <c r="A16" s="25" t="s">
        <v>61</v>
      </c>
      <c r="B16" s="25">
        <v>27082019</v>
      </c>
      <c r="C16" s="73">
        <v>14</v>
      </c>
      <c r="D16" s="25">
        <v>0.99370000000000003</v>
      </c>
      <c r="E16" s="58">
        <v>13.286099999999999</v>
      </c>
      <c r="F16" s="58">
        <f t="shared" si="2"/>
        <v>12.292399999999999</v>
      </c>
      <c r="G16" s="25">
        <f t="shared" si="3"/>
        <v>2.8887139999999998</v>
      </c>
      <c r="H16" s="25">
        <v>1.889</v>
      </c>
      <c r="I16" s="25">
        <f t="shared" si="4"/>
        <v>0.89529999999999998</v>
      </c>
      <c r="J16" s="25">
        <f t="shared" si="5"/>
        <v>30.99303011651552</v>
      </c>
      <c r="K16" s="25"/>
      <c r="L16" s="74">
        <v>1.32</v>
      </c>
      <c r="M16" s="74">
        <v>46.91</v>
      </c>
      <c r="N16" s="74">
        <v>0.192</v>
      </c>
      <c r="O16">
        <f t="shared" si="6"/>
        <v>7.963221593333332E-2</v>
      </c>
      <c r="P16">
        <f t="shared" si="7"/>
        <v>1.1817959999999999E-2</v>
      </c>
      <c r="Q16">
        <f t="shared" si="8"/>
        <v>6.7814255933333317E-2</v>
      </c>
      <c r="R16">
        <f t="shared" si="0"/>
        <v>3.1679563533333335E-3</v>
      </c>
      <c r="S16">
        <f t="shared" si="1"/>
        <v>5.95066178237098E-2</v>
      </c>
    </row>
    <row r="17" spans="1:19" ht="14">
      <c r="A17" s="25" t="s">
        <v>62</v>
      </c>
      <c r="B17" s="25">
        <v>27082019</v>
      </c>
      <c r="C17" s="73">
        <v>30</v>
      </c>
      <c r="D17" s="25">
        <v>0.99950000000000006</v>
      </c>
      <c r="E17" s="58">
        <v>12.9551</v>
      </c>
      <c r="F17" s="58">
        <f t="shared" si="2"/>
        <v>11.9556</v>
      </c>
      <c r="G17" s="25">
        <f t="shared" si="3"/>
        <v>2.8095659999999998</v>
      </c>
      <c r="H17" s="25">
        <v>1.907</v>
      </c>
      <c r="I17" s="25">
        <f t="shared" si="4"/>
        <v>0.90749999999999997</v>
      </c>
      <c r="J17" s="25">
        <f t="shared" si="5"/>
        <v>32.300362404727281</v>
      </c>
      <c r="K17" s="25"/>
      <c r="L17" s="74">
        <v>1.29</v>
      </c>
      <c r="M17" s="74">
        <v>45.91</v>
      </c>
      <c r="N17" s="74">
        <v>0.21199999999999999</v>
      </c>
      <c r="O17">
        <f t="shared" si="6"/>
        <v>7.7450369399999983E-2</v>
      </c>
      <c r="P17">
        <f t="shared" si="7"/>
        <v>1.170675E-2</v>
      </c>
      <c r="Q17">
        <f t="shared" si="8"/>
        <v>6.5743619399999981E-2</v>
      </c>
      <c r="R17">
        <f t="shared" si="0"/>
        <v>3.0811573799999999E-3</v>
      </c>
      <c r="S17">
        <f t="shared" si="1"/>
        <v>6.8476768298021837E-2</v>
      </c>
    </row>
    <row r="18" spans="1:19" ht="14">
      <c r="A18" s="25" t="s">
        <v>63</v>
      </c>
      <c r="B18" s="25">
        <v>27082019</v>
      </c>
      <c r="C18" s="73">
        <v>30</v>
      </c>
      <c r="D18" s="25">
        <v>1.0088999999999999</v>
      </c>
      <c r="E18" s="58">
        <v>12.907</v>
      </c>
      <c r="F18" s="58">
        <f t="shared" si="2"/>
        <v>11.898099999999999</v>
      </c>
      <c r="G18" s="25">
        <f t="shared" si="3"/>
        <v>2.7960534999999997</v>
      </c>
      <c r="H18" s="25">
        <v>1.845</v>
      </c>
      <c r="I18" s="25">
        <f t="shared" si="4"/>
        <v>0.83610000000000007</v>
      </c>
      <c r="J18" s="25">
        <f t="shared" si="5"/>
        <v>29.902861300758378</v>
      </c>
      <c r="K18" s="25"/>
      <c r="L18" s="74">
        <v>1.08</v>
      </c>
      <c r="M18" s="74">
        <v>45.9</v>
      </c>
      <c r="N18" s="74">
        <v>0.186</v>
      </c>
      <c r="O18">
        <f t="shared" si="6"/>
        <v>7.7077874816666656E-2</v>
      </c>
      <c r="P18">
        <f t="shared" si="7"/>
        <v>9.0298800000000005E-3</v>
      </c>
      <c r="Q18">
        <f t="shared" si="8"/>
        <v>6.8047994816666652E-2</v>
      </c>
      <c r="R18">
        <f t="shared" si="0"/>
        <v>3.0663386716666668E-3</v>
      </c>
      <c r="S18">
        <f t="shared" si="1"/>
        <v>5.5619322019410583E-2</v>
      </c>
    </row>
    <row r="19" spans="1:19" ht="14">
      <c r="A19" s="25" t="s">
        <v>64</v>
      </c>
      <c r="B19" s="25">
        <v>27082019</v>
      </c>
      <c r="C19" s="73">
        <v>30</v>
      </c>
      <c r="D19" s="25">
        <v>1.0078</v>
      </c>
      <c r="E19" s="58">
        <v>12.6807</v>
      </c>
      <c r="F19" s="58">
        <f t="shared" si="2"/>
        <v>11.6729</v>
      </c>
      <c r="G19" s="25">
        <f t="shared" si="3"/>
        <v>2.7431315000000001</v>
      </c>
      <c r="H19" s="25">
        <v>1.7769999999999999</v>
      </c>
      <c r="I19" s="25">
        <f t="shared" si="4"/>
        <v>0.76919999999999988</v>
      </c>
      <c r="J19" s="25">
        <f t="shared" si="5"/>
        <v>28.040945175249522</v>
      </c>
      <c r="K19" s="25"/>
      <c r="L19" s="74">
        <v>1.1499999999999999</v>
      </c>
      <c r="M19" s="74">
        <v>45.3</v>
      </c>
      <c r="N19" s="74">
        <v>0.20200000000000001</v>
      </c>
      <c r="O19">
        <f t="shared" si="6"/>
        <v>7.5618991683333331E-2</v>
      </c>
      <c r="P19">
        <f t="shared" si="7"/>
        <v>8.8457999999999991E-3</v>
      </c>
      <c r="Q19">
        <f t="shared" si="8"/>
        <v>6.677319168333333E-2</v>
      </c>
      <c r="R19">
        <f t="shared" si="0"/>
        <v>3.0083008783333338E-3</v>
      </c>
      <c r="S19">
        <f t="shared" si="1"/>
        <v>5.6642709254004039E-2</v>
      </c>
    </row>
    <row r="20" spans="1:19" ht="14">
      <c r="A20" s="25" t="s">
        <v>65</v>
      </c>
      <c r="B20" s="25">
        <v>27082019</v>
      </c>
      <c r="C20" s="73">
        <v>30</v>
      </c>
      <c r="D20" s="25">
        <v>1.3452999999999999</v>
      </c>
      <c r="E20" s="58">
        <v>25.459499999999998</v>
      </c>
      <c r="F20" s="58">
        <f t="shared" si="2"/>
        <v>24.114199999999997</v>
      </c>
      <c r="G20" s="25">
        <f t="shared" si="3"/>
        <v>5.6668369999999992</v>
      </c>
      <c r="H20" s="25">
        <v>3.0129999999999999</v>
      </c>
      <c r="I20" s="25">
        <f t="shared" si="4"/>
        <v>1.6677</v>
      </c>
      <c r="J20" s="25">
        <f t="shared" ref="J20:J22" si="9">G20-I20</f>
        <v>3.9991369999999993</v>
      </c>
      <c r="K20" s="25"/>
      <c r="L20" s="74">
        <v>1.1200000000000001</v>
      </c>
      <c r="M20" s="74">
        <v>45.56</v>
      </c>
      <c r="N20" s="74">
        <v>0.187</v>
      </c>
      <c r="O20">
        <f t="shared" si="6"/>
        <v>0.15621580663333329</v>
      </c>
      <c r="P20">
        <f t="shared" si="7"/>
        <v>1.8678240000000002E-2</v>
      </c>
      <c r="Q20">
        <f t="shared" si="8"/>
        <v>0.13753756663333327</v>
      </c>
      <c r="R20">
        <f t="shared" si="0"/>
        <v>6.2146312433333335E-3</v>
      </c>
      <c r="S20">
        <f t="shared" si="1"/>
        <v>7.4783861899999984E-3</v>
      </c>
    </row>
    <row r="21" spans="1:19" ht="14">
      <c r="A21" s="25" t="s">
        <v>66</v>
      </c>
      <c r="B21" s="25">
        <v>27082019</v>
      </c>
      <c r="C21" s="73">
        <v>30</v>
      </c>
      <c r="D21" s="25">
        <v>1.3544</v>
      </c>
      <c r="E21" s="58">
        <v>24.8581</v>
      </c>
      <c r="F21" s="58">
        <f t="shared" si="2"/>
        <v>23.503700000000002</v>
      </c>
      <c r="G21" s="25">
        <f t="shared" si="3"/>
        <v>5.5233695000000003</v>
      </c>
      <c r="H21" s="25">
        <v>3.081</v>
      </c>
      <c r="I21" s="25">
        <f t="shared" si="4"/>
        <v>1.7265999999999999</v>
      </c>
      <c r="J21" s="25">
        <f t="shared" si="9"/>
        <v>3.7967695000000004</v>
      </c>
      <c r="K21" s="25"/>
      <c r="L21" s="74">
        <v>1.38</v>
      </c>
      <c r="M21" s="74">
        <v>46.74</v>
      </c>
      <c r="N21" s="74">
        <v>0.22700000000000001</v>
      </c>
      <c r="O21">
        <f t="shared" si="6"/>
        <v>0.15226088588333331</v>
      </c>
      <c r="P21">
        <f t="shared" si="7"/>
        <v>2.3827079999999997E-2</v>
      </c>
      <c r="Q21">
        <f t="shared" si="8"/>
        <v>0.12843380588333331</v>
      </c>
      <c r="R21">
        <f t="shared" si="0"/>
        <v>6.0572952183333339E-3</v>
      </c>
      <c r="S21">
        <f t="shared" si="1"/>
        <v>8.6186667649999996E-3</v>
      </c>
    </row>
    <row r="22" spans="1:19" ht="14">
      <c r="A22" s="25" t="s">
        <v>67</v>
      </c>
      <c r="B22" s="25">
        <v>27082019</v>
      </c>
      <c r="C22" s="73">
        <v>30</v>
      </c>
      <c r="D22" s="25">
        <v>1.3548</v>
      </c>
      <c r="E22" s="58">
        <v>24.940999999999999</v>
      </c>
      <c r="F22" s="58">
        <f t="shared" si="2"/>
        <v>23.586199999999998</v>
      </c>
      <c r="G22" s="25">
        <f t="shared" si="3"/>
        <v>5.542756999999999</v>
      </c>
      <c r="H22" s="25">
        <v>3.0339999999999998</v>
      </c>
      <c r="I22" s="25">
        <f t="shared" si="4"/>
        <v>1.6791999999999998</v>
      </c>
      <c r="J22" s="25">
        <f t="shared" si="9"/>
        <v>3.8635569999999992</v>
      </c>
      <c r="K22" s="25"/>
      <c r="L22" s="74">
        <v>1.38</v>
      </c>
      <c r="M22" s="74">
        <v>46.16</v>
      </c>
      <c r="N22" s="74">
        <v>0.20100000000000001</v>
      </c>
      <c r="O22">
        <f t="shared" si="6"/>
        <v>0.15279533463333328</v>
      </c>
      <c r="P22">
        <f t="shared" si="7"/>
        <v>2.3172959999999996E-2</v>
      </c>
      <c r="Q22">
        <f t="shared" si="8"/>
        <v>0.12962237463333329</v>
      </c>
      <c r="R22">
        <f t="shared" si="0"/>
        <v>6.0785568433333334E-3</v>
      </c>
      <c r="S22">
        <f t="shared" si="1"/>
        <v>7.7657495699999983E-3</v>
      </c>
    </row>
    <row r="23" spans="1:19">
      <c r="A23" s="59"/>
      <c r="B23" s="40"/>
      <c r="C23" s="40"/>
      <c r="D23" s="40"/>
      <c r="E23" s="40"/>
      <c r="F23" s="40"/>
      <c r="G23" s="40"/>
      <c r="H23" s="40"/>
    </row>
    <row r="24" spans="1:19">
      <c r="A24" s="59"/>
      <c r="B24" s="40"/>
      <c r="C24" s="40"/>
      <c r="D24" s="40"/>
      <c r="E24" s="40"/>
      <c r="F24" s="40"/>
      <c r="G24" s="40"/>
      <c r="H24" s="40"/>
    </row>
    <row r="25" spans="1:19">
      <c r="A25" s="59"/>
      <c r="B25" s="40"/>
      <c r="C25" s="40"/>
      <c r="D25" s="40"/>
      <c r="E25" s="40"/>
      <c r="F25" s="40"/>
      <c r="G25" s="40" t="s">
        <v>216</v>
      </c>
      <c r="H25" s="34">
        <v>2.8260000000000001</v>
      </c>
    </row>
    <row r="26" spans="1:19">
      <c r="A26" s="59"/>
      <c r="B26" s="40"/>
      <c r="C26" s="40"/>
      <c r="D26" s="40"/>
      <c r="E26" s="40"/>
      <c r="F26" s="40"/>
      <c r="G26" s="40" t="s">
        <v>217</v>
      </c>
      <c r="H26" s="34">
        <v>0.83760000000000001</v>
      </c>
    </row>
    <row r="27" spans="1:19">
      <c r="A27" s="59"/>
      <c r="B27" s="40"/>
      <c r="C27" s="40"/>
      <c r="D27" s="40"/>
      <c r="E27" s="40"/>
      <c r="F27" s="40"/>
      <c r="G27" s="40"/>
      <c r="H27" s="40"/>
    </row>
    <row r="28" spans="1:19">
      <c r="A28" s="59"/>
      <c r="B28" s="40"/>
      <c r="C28" s="40"/>
      <c r="D28" s="40"/>
      <c r="E28" s="40"/>
      <c r="F28" s="40"/>
      <c r="G28" s="40"/>
      <c r="H28" s="40"/>
    </row>
    <row r="29" spans="1:19">
      <c r="B29" t="s">
        <v>210</v>
      </c>
      <c r="C29" t="s">
        <v>202</v>
      </c>
      <c r="D29" t="s">
        <v>203</v>
      </c>
      <c r="E29" t="s">
        <v>213</v>
      </c>
    </row>
    <row r="30" spans="1:19">
      <c r="B30">
        <f>F36</f>
        <v>30.081389626911726</v>
      </c>
      <c r="C30">
        <f>F32</f>
        <v>100</v>
      </c>
      <c r="D30">
        <v>0.44391121033371328</v>
      </c>
      <c r="E30">
        <v>0.12294210056522856</v>
      </c>
    </row>
    <row r="31" spans="1:19">
      <c r="E31" t="s">
        <v>104</v>
      </c>
      <c r="F31" t="s">
        <v>193</v>
      </c>
      <c r="G31" t="s">
        <v>199</v>
      </c>
      <c r="H31" t="s">
        <v>200</v>
      </c>
      <c r="I31" t="s">
        <v>211</v>
      </c>
      <c r="J31" t="s">
        <v>212</v>
      </c>
    </row>
    <row r="32" spans="1:19">
      <c r="E32">
        <v>1.0000000000000001E-5</v>
      </c>
      <c r="F32">
        <f>AVERAGE(J5:J7)</f>
        <v>100</v>
      </c>
      <c r="G32">
        <f>$B$30+($C$30-$B$30)*EXP(-$D$30*E32)</f>
        <v>99.99968962413935</v>
      </c>
      <c r="H32">
        <f>(G32-F32)^2</f>
        <v>9.633317487420934E-8</v>
      </c>
      <c r="I32">
        <f>$C$30*EXP(-$E$30*E32)</f>
        <v>99.999877057975013</v>
      </c>
      <c r="J32">
        <f>(I32-F32)^2</f>
        <v>1.5114741507924475E-8</v>
      </c>
    </row>
    <row r="33" spans="5:10">
      <c r="E33">
        <v>3</v>
      </c>
      <c r="F33">
        <f>AVERAGE(J8:J10)</f>
        <v>45.6393562937144</v>
      </c>
      <c r="G33">
        <f t="shared" ref="G33:G36" si="10">$B$30+($C$30-$B$30)*EXP(-$D$30*E33)</f>
        <v>48.54124188376359</v>
      </c>
      <c r="H33">
        <f t="shared" ref="H33:H36" si="11">(F33-G33)^2</f>
        <v>8.4209399777351361</v>
      </c>
      <c r="I33">
        <f t="shared" ref="I33:I36" si="12">$C$30*EXP(-$E$30*E33)</f>
        <v>69.154552030280044</v>
      </c>
      <c r="J33">
        <f t="shared" ref="J33:J36" si="13">(I33-F33)^2</f>
        <v>552.96443052899508</v>
      </c>
    </row>
    <row r="34" spans="5:10">
      <c r="E34">
        <v>7</v>
      </c>
      <c r="F34">
        <f>AVERAGE(J11:J13)</f>
        <v>38.385622359617109</v>
      </c>
      <c r="G34">
        <f t="shared" si="10"/>
        <v>33.208012238958425</v>
      </c>
      <c r="H34">
        <f t="shared" si="11"/>
        <v>26.807646561547237</v>
      </c>
      <c r="I34">
        <f t="shared" si="12"/>
        <v>42.291050096873803</v>
      </c>
      <c r="J34">
        <f t="shared" si="13"/>
        <v>15.252365810933943</v>
      </c>
    </row>
    <row r="35" spans="5:10">
      <c r="E35">
        <v>14</v>
      </c>
      <c r="F35">
        <f>AVERAGE(J14:J16)</f>
        <v>33.313181567468071</v>
      </c>
      <c r="G35">
        <f t="shared" si="10"/>
        <v>30.221206034960996</v>
      </c>
      <c r="H35">
        <f t="shared" si="11"/>
        <v>9.5603126936224072</v>
      </c>
      <c r="I35">
        <f t="shared" si="12"/>
        <v>17.885329182962899</v>
      </c>
      <c r="J35">
        <f t="shared" si="13"/>
        <v>238.01862919808192</v>
      </c>
    </row>
    <row r="36" spans="5:10">
      <c r="E36">
        <v>30</v>
      </c>
      <c r="F36">
        <f>AVERAGE(J17:J19)</f>
        <v>30.081389626911726</v>
      </c>
      <c r="G36">
        <f t="shared" si="10"/>
        <v>30.081504692937937</v>
      </c>
      <c r="H36">
        <f t="shared" si="11"/>
        <v>1.3240190388048622E-8</v>
      </c>
      <c r="I36">
        <f t="shared" si="12"/>
        <v>2.5015415679837756</v>
      </c>
      <c r="J36">
        <f t="shared" si="13"/>
        <v>760.64801895355185</v>
      </c>
    </row>
    <row r="37" spans="5:10">
      <c r="G37" t="s">
        <v>201</v>
      </c>
      <c r="H37">
        <f>SUM(H32:H36)</f>
        <v>44.788899342478146</v>
      </c>
      <c r="J37">
        <f>SUM(J32:J36)</f>
        <v>1566.8834445066777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setup</vt:lpstr>
      <vt:lpstr>biogas</vt:lpstr>
      <vt:lpstr>nylon bag info</vt:lpstr>
      <vt:lpstr>GC data</vt:lpstr>
      <vt:lpstr>T0</vt:lpstr>
      <vt:lpstr>Water column</vt:lpstr>
      <vt:lpstr>macrocube</vt:lpstr>
      <vt:lpstr>TGV_TBMP</vt:lpstr>
      <vt:lpstr>excel solver_total</vt:lpstr>
      <vt:lpstr>excel solver_N</vt:lpstr>
      <vt:lpstr>excel_solver_S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</dc:creator>
  <dc:description/>
  <cp:lastModifiedBy>Jacob Mortensen</cp:lastModifiedBy>
  <cp:revision>1</cp:revision>
  <cp:lastPrinted>2018-09-26T08:52:09Z</cp:lastPrinted>
  <dcterms:created xsi:type="dcterms:W3CDTF">2016-07-31T07:14:37Z</dcterms:created>
  <dcterms:modified xsi:type="dcterms:W3CDTF">2019-11-21T08:40:05Z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