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S&amp;P500 Top 50/"/>
    </mc:Choice>
  </mc:AlternateContent>
  <xr:revisionPtr revIDLastSave="953" documentId="8_{ACB8F64C-01CA-4FB1-B5AC-15251AEE2E76}" xr6:coauthVersionLast="47" xr6:coauthVersionMax="47" xr10:uidLastSave="{3CE06513-A577-4DA8-B8D9-6905B14F6639}"/>
  <bookViews>
    <workbookView xWindow="-93" yWindow="-93" windowWidth="25786" windowHeight="15466" xr2:uid="{EA4509EC-F5D0-492D-8216-43A8838E1D79}"/>
  </bookViews>
  <sheets>
    <sheet name="Accenture DC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D29" i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Z22" i="1"/>
  <c r="D49" i="1"/>
  <c r="D46" i="1"/>
  <c r="D45" i="1"/>
  <c r="D47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H27" i="1"/>
  <c r="H26" i="1"/>
  <c r="D3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I51" i="1"/>
  <c r="M29" i="1"/>
  <c r="I29" i="1"/>
  <c r="J29" i="1"/>
  <c r="K29" i="1"/>
  <c r="L29" i="1"/>
  <c r="H29" i="1"/>
  <c r="I28" i="1"/>
  <c r="J28" i="1"/>
  <c r="K28" i="1"/>
  <c r="L28" i="1"/>
  <c r="M28" i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Y49" i="1" s="1"/>
  <c r="H28" i="1"/>
  <c r="D19" i="1"/>
  <c r="N5" i="1"/>
  <c r="N41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N34" i="1"/>
  <c r="O34" i="1"/>
  <c r="P34" i="1"/>
  <c r="Q34" i="1"/>
  <c r="R34" i="1"/>
  <c r="S34" i="1"/>
  <c r="T34" i="1"/>
  <c r="U34" i="1"/>
  <c r="V34" i="1"/>
  <c r="W34" i="1"/>
  <c r="X34" i="1"/>
  <c r="Y34" i="1"/>
  <c r="K49" i="1" l="1"/>
  <c r="J49" i="1"/>
  <c r="L50" i="1"/>
  <c r="I49" i="1"/>
  <c r="M50" i="1"/>
  <c r="N7" i="1"/>
  <c r="N11" i="1" s="1"/>
  <c r="N12" i="1" s="1"/>
  <c r="N17" i="1" s="1"/>
  <c r="N18" i="1" s="1"/>
  <c r="N29" i="1" s="1"/>
  <c r="N50" i="1" s="1"/>
  <c r="K50" i="1"/>
  <c r="J50" i="1"/>
  <c r="I50" i="1"/>
  <c r="X49" i="1"/>
  <c r="L49" i="1"/>
  <c r="W49" i="1"/>
  <c r="S49" i="1"/>
  <c r="V49" i="1"/>
  <c r="Q49" i="1"/>
  <c r="P49" i="1"/>
  <c r="N49" i="1"/>
  <c r="M49" i="1"/>
  <c r="U49" i="1"/>
  <c r="T49" i="1"/>
  <c r="R49" i="1"/>
  <c r="O49" i="1"/>
  <c r="O5" i="1"/>
  <c r="K41" i="1"/>
  <c r="J11" i="1"/>
  <c r="J12" i="1" s="1"/>
  <c r="I11" i="1"/>
  <c r="I12" i="1" s="1"/>
  <c r="H11" i="1"/>
  <c r="H12" i="1" s="1"/>
  <c r="J41" i="1"/>
  <c r="I41" i="1"/>
  <c r="H35" i="1"/>
  <c r="J34" i="1"/>
  <c r="I34" i="1"/>
  <c r="H34" i="1"/>
  <c r="L34" i="1"/>
  <c r="M34" i="1"/>
  <c r="K34" i="1"/>
  <c r="D6" i="1"/>
  <c r="D11" i="1" s="1"/>
  <c r="M41" i="1"/>
  <c r="L41" i="1"/>
  <c r="L11" i="1"/>
  <c r="L12" i="1" s="1"/>
  <c r="K11" i="1"/>
  <c r="K12" i="1" s="1"/>
  <c r="M11" i="1"/>
  <c r="M12" i="1" s="1"/>
  <c r="M36" i="1" l="1"/>
  <c r="D41" i="1"/>
  <c r="P5" i="1"/>
  <c r="P41" i="1" s="1"/>
  <c r="O7" i="1"/>
  <c r="O11" i="1" s="1"/>
  <c r="I35" i="1"/>
  <c r="I48" i="1"/>
  <c r="I40" i="1"/>
  <c r="O41" i="1"/>
  <c r="N42" i="1"/>
  <c r="N36" i="1"/>
  <c r="N43" i="1"/>
  <c r="K43" i="1"/>
  <c r="K42" i="1"/>
  <c r="K36" i="1"/>
  <c r="J17" i="1"/>
  <c r="J19" i="1" s="1"/>
  <c r="J36" i="1"/>
  <c r="I36" i="1"/>
  <c r="I43" i="1"/>
  <c r="H36" i="1"/>
  <c r="H17" i="1"/>
  <c r="I42" i="1"/>
  <c r="J42" i="1"/>
  <c r="J43" i="1"/>
  <c r="I17" i="1"/>
  <c r="I19" i="1" s="1"/>
  <c r="L43" i="1"/>
  <c r="D23" i="1"/>
  <c r="M43" i="1"/>
  <c r="M42" i="1"/>
  <c r="L36" i="1"/>
  <c r="L42" i="1"/>
  <c r="L17" i="1"/>
  <c r="M17" i="1"/>
  <c r="K17" i="1"/>
  <c r="D48" i="1" l="1"/>
  <c r="J48" i="1"/>
  <c r="J40" i="1"/>
  <c r="Q5" i="1"/>
  <c r="P7" i="1"/>
  <c r="P11" i="1" s="1"/>
  <c r="J22" i="1"/>
  <c r="J37" i="1" s="1"/>
  <c r="J32" i="1"/>
  <c r="J31" i="1"/>
  <c r="I22" i="1"/>
  <c r="I37" i="1" s="1"/>
  <c r="I32" i="1"/>
  <c r="I31" i="1"/>
  <c r="O12" i="1"/>
  <c r="O42" i="1"/>
  <c r="N38" i="1"/>
  <c r="N44" i="1"/>
  <c r="N19" i="1"/>
  <c r="N22" i="1" s="1"/>
  <c r="K38" i="1"/>
  <c r="K44" i="1"/>
  <c r="J35" i="1"/>
  <c r="J38" i="1"/>
  <c r="H38" i="1"/>
  <c r="H19" i="1"/>
  <c r="J45" i="1"/>
  <c r="I38" i="1"/>
  <c r="D42" i="1" s="1"/>
  <c r="I44" i="1"/>
  <c r="J44" i="1"/>
  <c r="M38" i="1"/>
  <c r="M44" i="1"/>
  <c r="L38" i="1"/>
  <c r="L44" i="1"/>
  <c r="L19" i="1"/>
  <c r="M19" i="1"/>
  <c r="K19" i="1"/>
  <c r="K48" i="1" l="1"/>
  <c r="K40" i="1"/>
  <c r="Q7" i="1"/>
  <c r="Q11" i="1" s="1"/>
  <c r="Q41" i="1"/>
  <c r="R5" i="1"/>
  <c r="J52" i="1"/>
  <c r="J53" i="1"/>
  <c r="L32" i="1"/>
  <c r="L31" i="1"/>
  <c r="M31" i="1"/>
  <c r="M32" i="1"/>
  <c r="N32" i="1"/>
  <c r="N31" i="1"/>
  <c r="N52" i="1" s="1"/>
  <c r="J46" i="1"/>
  <c r="H22" i="1"/>
  <c r="H37" i="1" s="1"/>
  <c r="H32" i="1"/>
  <c r="I53" i="1" s="1"/>
  <c r="I52" i="1"/>
  <c r="K32" i="1"/>
  <c r="K53" i="1" s="1"/>
  <c r="K31" i="1"/>
  <c r="K52" i="1" s="1"/>
  <c r="O17" i="1"/>
  <c r="O18" i="1" s="1"/>
  <c r="O29" i="1" s="1"/>
  <c r="O50" i="1" s="1"/>
  <c r="O36" i="1"/>
  <c r="O43" i="1"/>
  <c r="P12" i="1"/>
  <c r="P42" i="1"/>
  <c r="N45" i="1"/>
  <c r="K22" i="1"/>
  <c r="K45" i="1"/>
  <c r="K35" i="1"/>
  <c r="I45" i="1"/>
  <c r="M22" i="1"/>
  <c r="M45" i="1"/>
  <c r="L22" i="1"/>
  <c r="L45" i="1"/>
  <c r="N53" i="1" l="1"/>
  <c r="M52" i="1"/>
  <c r="L48" i="1"/>
  <c r="M53" i="1"/>
  <c r="L40" i="1"/>
  <c r="R7" i="1"/>
  <c r="S5" i="1"/>
  <c r="R41" i="1"/>
  <c r="L53" i="1"/>
  <c r="L52" i="1"/>
  <c r="I46" i="1"/>
  <c r="R11" i="1"/>
  <c r="O38" i="1"/>
  <c r="O19" i="1"/>
  <c r="O44" i="1"/>
  <c r="Q12" i="1"/>
  <c r="Q42" i="1"/>
  <c r="P43" i="1"/>
  <c r="P17" i="1"/>
  <c r="P18" i="1" s="1"/>
  <c r="P29" i="1" s="1"/>
  <c r="P50" i="1" s="1"/>
  <c r="P36" i="1"/>
  <c r="N46" i="1"/>
  <c r="N37" i="1"/>
  <c r="K37" i="1"/>
  <c r="K46" i="1"/>
  <c r="L35" i="1"/>
  <c r="M37" i="1"/>
  <c r="M46" i="1"/>
  <c r="L46" i="1"/>
  <c r="L37" i="1"/>
  <c r="M48" i="1" l="1"/>
  <c r="M40" i="1"/>
  <c r="S7" i="1"/>
  <c r="S11" i="1" s="1"/>
  <c r="S41" i="1"/>
  <c r="T5" i="1"/>
  <c r="O32" i="1"/>
  <c r="O31" i="1"/>
  <c r="O52" i="1" s="1"/>
  <c r="M35" i="1"/>
  <c r="P38" i="1"/>
  <c r="P44" i="1"/>
  <c r="P19" i="1"/>
  <c r="Q17" i="1"/>
  <c r="Q18" i="1" s="1"/>
  <c r="Q29" i="1" s="1"/>
  <c r="Q50" i="1" s="1"/>
  <c r="Q43" i="1"/>
  <c r="Q36" i="1"/>
  <c r="R12" i="1"/>
  <c r="R42" i="1"/>
  <c r="O22" i="1"/>
  <c r="O45" i="1"/>
  <c r="O53" i="1" l="1"/>
  <c r="T7" i="1"/>
  <c r="T11" i="1" s="1"/>
  <c r="T41" i="1"/>
  <c r="U5" i="1"/>
  <c r="N48" i="1"/>
  <c r="N40" i="1"/>
  <c r="P32" i="1"/>
  <c r="P53" i="1" s="1"/>
  <c r="P31" i="1"/>
  <c r="P52" i="1" s="1"/>
  <c r="N35" i="1"/>
  <c r="S42" i="1"/>
  <c r="S12" i="1"/>
  <c r="Q19" i="1"/>
  <c r="Q44" i="1"/>
  <c r="Q38" i="1"/>
  <c r="P22" i="1"/>
  <c r="P45" i="1"/>
  <c r="O37" i="1"/>
  <c r="O46" i="1"/>
  <c r="R36" i="1"/>
  <c r="R43" i="1"/>
  <c r="R17" i="1"/>
  <c r="R18" i="1" s="1"/>
  <c r="R29" i="1" s="1"/>
  <c r="R50" i="1" s="1"/>
  <c r="U7" i="1" l="1"/>
  <c r="U11" i="1" s="1"/>
  <c r="V5" i="1"/>
  <c r="U41" i="1"/>
  <c r="O48" i="1"/>
  <c r="O40" i="1"/>
  <c r="Q32" i="1"/>
  <c r="Q53" i="1" s="1"/>
  <c r="Q31" i="1"/>
  <c r="Q52" i="1" s="1"/>
  <c r="O35" i="1"/>
  <c r="P37" i="1"/>
  <c r="P46" i="1"/>
  <c r="R19" i="1"/>
  <c r="R44" i="1"/>
  <c r="R38" i="1"/>
  <c r="Q22" i="1"/>
  <c r="Q45" i="1"/>
  <c r="T42" i="1"/>
  <c r="T12" i="1"/>
  <c r="S36" i="1"/>
  <c r="S43" i="1"/>
  <c r="S17" i="1"/>
  <c r="S18" i="1" s="1"/>
  <c r="S29" i="1" s="1"/>
  <c r="S50" i="1" s="1"/>
  <c r="P48" i="1" l="1"/>
  <c r="V7" i="1"/>
  <c r="V11" i="1" s="1"/>
  <c r="W5" i="1"/>
  <c r="V41" i="1"/>
  <c r="P40" i="1"/>
  <c r="R32" i="1"/>
  <c r="R53" i="1" s="1"/>
  <c r="R31" i="1"/>
  <c r="R52" i="1" s="1"/>
  <c r="P35" i="1"/>
  <c r="S19" i="1"/>
  <c r="S44" i="1"/>
  <c r="S38" i="1"/>
  <c r="U12" i="1"/>
  <c r="U42" i="1"/>
  <c r="T36" i="1"/>
  <c r="T17" i="1"/>
  <c r="T18" i="1" s="1"/>
  <c r="T29" i="1" s="1"/>
  <c r="T50" i="1" s="1"/>
  <c r="T43" i="1"/>
  <c r="Q37" i="1"/>
  <c r="Q46" i="1"/>
  <c r="R22" i="1"/>
  <c r="R45" i="1"/>
  <c r="Q40" i="1" l="1"/>
  <c r="W7" i="1"/>
  <c r="W11" i="1" s="1"/>
  <c r="X5" i="1"/>
  <c r="W41" i="1"/>
  <c r="Q48" i="1"/>
  <c r="S31" i="1"/>
  <c r="S52" i="1" s="1"/>
  <c r="S32" i="1"/>
  <c r="S53" i="1" s="1"/>
  <c r="Q35" i="1"/>
  <c r="T38" i="1"/>
  <c r="T44" i="1"/>
  <c r="T19" i="1"/>
  <c r="R37" i="1"/>
  <c r="R46" i="1"/>
  <c r="U43" i="1"/>
  <c r="U36" i="1"/>
  <c r="U17" i="1"/>
  <c r="U18" i="1" s="1"/>
  <c r="U29" i="1" s="1"/>
  <c r="U50" i="1" s="1"/>
  <c r="V12" i="1"/>
  <c r="V42" i="1"/>
  <c r="S22" i="1"/>
  <c r="S45" i="1"/>
  <c r="X7" i="1" l="1"/>
  <c r="X11" i="1" s="1"/>
  <c r="X41" i="1"/>
  <c r="Y5" i="1"/>
  <c r="R40" i="1"/>
  <c r="R48" i="1"/>
  <c r="T31" i="1"/>
  <c r="T52" i="1" s="1"/>
  <c r="T32" i="1"/>
  <c r="T53" i="1" s="1"/>
  <c r="R35" i="1"/>
  <c r="U19" i="1"/>
  <c r="U38" i="1"/>
  <c r="U44" i="1"/>
  <c r="S37" i="1"/>
  <c r="S46" i="1"/>
  <c r="V43" i="1"/>
  <c r="V36" i="1"/>
  <c r="V17" i="1"/>
  <c r="V18" i="1" s="1"/>
  <c r="V29" i="1" s="1"/>
  <c r="V50" i="1" s="1"/>
  <c r="W12" i="1"/>
  <c r="W42" i="1"/>
  <c r="T22" i="1"/>
  <c r="T45" i="1"/>
  <c r="S40" i="1" l="1"/>
  <c r="Y7" i="1"/>
  <c r="Y11" i="1" s="1"/>
  <c r="Y12" i="1" s="1"/>
  <c r="Y41" i="1"/>
  <c r="S48" i="1"/>
  <c r="U31" i="1"/>
  <c r="U52" i="1" s="1"/>
  <c r="U32" i="1"/>
  <c r="U53" i="1" s="1"/>
  <c r="S35" i="1"/>
  <c r="W36" i="1"/>
  <c r="W17" i="1"/>
  <c r="W18" i="1" s="1"/>
  <c r="W29" i="1" s="1"/>
  <c r="W50" i="1" s="1"/>
  <c r="W43" i="1"/>
  <c r="T46" i="1"/>
  <c r="T37" i="1"/>
  <c r="X12" i="1"/>
  <c r="X42" i="1"/>
  <c r="V19" i="1"/>
  <c r="V38" i="1"/>
  <c r="V44" i="1"/>
  <c r="U45" i="1"/>
  <c r="U22" i="1"/>
  <c r="T40" i="1" l="1"/>
  <c r="Y42" i="1"/>
  <c r="T48" i="1"/>
  <c r="V31" i="1"/>
  <c r="V52" i="1" s="1"/>
  <c r="V32" i="1"/>
  <c r="V53" i="1" s="1"/>
  <c r="T35" i="1"/>
  <c r="V45" i="1"/>
  <c r="V22" i="1"/>
  <c r="U37" i="1"/>
  <c r="U46" i="1"/>
  <c r="Y17" i="1"/>
  <c r="Y18" i="1" s="1"/>
  <c r="Y29" i="1" s="1"/>
  <c r="Y43" i="1"/>
  <c r="Y36" i="1"/>
  <c r="X36" i="1"/>
  <c r="X43" i="1"/>
  <c r="X17" i="1"/>
  <c r="X18" i="1" s="1"/>
  <c r="X29" i="1" s="1"/>
  <c r="X50" i="1" s="1"/>
  <c r="W44" i="1"/>
  <c r="W19" i="1"/>
  <c r="W38" i="1"/>
  <c r="U40" i="1" l="1"/>
  <c r="U48" i="1"/>
  <c r="Y50" i="1"/>
  <c r="W31" i="1"/>
  <c r="W52" i="1" s="1"/>
  <c r="W32" i="1"/>
  <c r="W53" i="1" s="1"/>
  <c r="U35" i="1"/>
  <c r="W22" i="1"/>
  <c r="W45" i="1"/>
  <c r="Y44" i="1"/>
  <c r="X19" i="1"/>
  <c r="X38" i="1"/>
  <c r="X44" i="1"/>
  <c r="Y38" i="1"/>
  <c r="Y19" i="1"/>
  <c r="V37" i="1"/>
  <c r="V46" i="1"/>
  <c r="V40" i="1" l="1"/>
  <c r="V48" i="1"/>
  <c r="Y31" i="1"/>
  <c r="Y32" i="1"/>
  <c r="Z32" i="1" s="1"/>
  <c r="X31" i="1"/>
  <c r="X52" i="1" s="1"/>
  <c r="X32" i="1"/>
  <c r="X53" i="1" s="1"/>
  <c r="V35" i="1"/>
  <c r="Y22" i="1"/>
  <c r="Y45" i="1"/>
  <c r="X45" i="1"/>
  <c r="X22" i="1"/>
  <c r="W37" i="1"/>
  <c r="W46" i="1"/>
  <c r="Y52" i="1" l="1"/>
  <c r="Z31" i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W40" i="1"/>
  <c r="W48" i="1"/>
  <c r="Y53" i="1"/>
  <c r="W35" i="1"/>
  <c r="Y46" i="1"/>
  <c r="X37" i="1"/>
  <c r="X46" i="1"/>
  <c r="Y37" i="1"/>
  <c r="D31" i="1" l="1"/>
  <c r="X40" i="1"/>
  <c r="X48" i="1"/>
  <c r="X35" i="1"/>
  <c r="Y35" i="1" l="1"/>
  <c r="Y40" i="1"/>
  <c r="Y48" i="1"/>
</calcChain>
</file>

<file path=xl/sharedStrings.xml><?xml version="1.0" encoding="utf-8"?>
<sst xmlns="http://schemas.openxmlformats.org/spreadsheetml/2006/main" count="169" uniqueCount="63">
  <si>
    <t>REVENUE</t>
  </si>
  <si>
    <t>OPERATING EXPENSES</t>
  </si>
  <si>
    <t>OPERATING INCOME</t>
  </si>
  <si>
    <t>INCOME BEFORE TAX</t>
  </si>
  <si>
    <t>NET INCOME</t>
  </si>
  <si>
    <t>TAX</t>
  </si>
  <si>
    <t>OPERATING MARGIN</t>
  </si>
  <si>
    <t>NET MARGIN</t>
  </si>
  <si>
    <t>REVENUES:</t>
  </si>
  <si>
    <t>OPERATING EXPENSES:</t>
  </si>
  <si>
    <t>INTEREST INCOME</t>
  </si>
  <si>
    <t xml:space="preserve"> REVENUES</t>
  </si>
  <si>
    <t xml:space="preserve"> COST OF SERVICES</t>
  </si>
  <si>
    <t xml:space="preserve"> SALES AND MARKETING</t>
  </si>
  <si>
    <t xml:space="preserve"> INTEREST INCOME</t>
  </si>
  <si>
    <t xml:space="preserve"> INTEREST EXPENSE</t>
  </si>
  <si>
    <t xml:space="preserve"> OTHER INCOME (EXPENSE)</t>
  </si>
  <si>
    <t xml:space="preserve"> INCOME TAX EXPENSE</t>
  </si>
  <si>
    <t xml:space="preserve">  TOTAL OPERATING EXPENSES</t>
  </si>
  <si>
    <t>FY</t>
  </si>
  <si>
    <t>DEPRECIATION / AMORTIZATION</t>
  </si>
  <si>
    <t>EBITDA</t>
  </si>
  <si>
    <t>CASH</t>
  </si>
  <si>
    <t>DEBT</t>
  </si>
  <si>
    <t>MARKET CAPITALIZATION</t>
  </si>
  <si>
    <t>ENTERPRISE VALUE</t>
  </si>
  <si>
    <t>SHARES OUTSTANDING</t>
  </si>
  <si>
    <t>ENTERPRISE VALUE / SHARES OUTSTANDING</t>
  </si>
  <si>
    <t>TAX EXPENSE</t>
  </si>
  <si>
    <t>ENTERPRISE VALUE / EBITDA</t>
  </si>
  <si>
    <t>EFFECTIVE TAX RATE</t>
  </si>
  <si>
    <t>2018-2019</t>
  </si>
  <si>
    <t>-</t>
  </si>
  <si>
    <t>(in thousands)</t>
  </si>
  <si>
    <t>IMPLIED SHARE PRICE</t>
  </si>
  <si>
    <t>ACTUAL SHARE PRICE</t>
  </si>
  <si>
    <r>
      <t xml:space="preserve">NPV OF DCF </t>
    </r>
    <r>
      <rPr>
        <i/>
        <sz val="11"/>
        <color theme="1"/>
        <rFont val="Calibri"/>
        <family val="2"/>
      </rPr>
      <t>(in thousands)</t>
    </r>
  </si>
  <si>
    <r>
      <t xml:space="preserve">SHARES OUTSTANDING </t>
    </r>
    <r>
      <rPr>
        <i/>
        <sz val="11"/>
        <color theme="1"/>
        <rFont val="Calibri"/>
        <family val="2"/>
      </rPr>
      <t>(in thousands)</t>
    </r>
  </si>
  <si>
    <r>
      <t xml:space="preserve">DISCOUNT RATE </t>
    </r>
    <r>
      <rPr>
        <i/>
        <sz val="11"/>
        <color theme="1"/>
        <rFont val="Calibri"/>
        <family val="2"/>
      </rPr>
      <t>(alphaspread.com)</t>
    </r>
  </si>
  <si>
    <t>TERMINAL GROWTH RATE</t>
  </si>
  <si>
    <t>GAAP Y/Y CHANGE</t>
  </si>
  <si>
    <t>EBITDA Y/Y CHANGE</t>
  </si>
  <si>
    <t>MARGIN</t>
  </si>
  <si>
    <t>ANALYSIS</t>
  </si>
  <si>
    <t>EBIDA</t>
  </si>
  <si>
    <t xml:space="preserve"> LOSS ON DISPOSITION</t>
  </si>
  <si>
    <t>TO NCI IN ACCENTURE</t>
  </si>
  <si>
    <t>TO NCI - OTHER</t>
  </si>
  <si>
    <t>EBITDA DCF MODEL</t>
  </si>
  <si>
    <t>DEPRECIATION</t>
  </si>
  <si>
    <t xml:space="preserve"> BUSINESS OPTIMIZATION</t>
  </si>
  <si>
    <t xml:space="preserve"> GENERAL AND ADMIN</t>
  </si>
  <si>
    <t>NET INCOME - ACCENTURE</t>
  </si>
  <si>
    <t>INCOME STATEMENT</t>
  </si>
  <si>
    <t>This model uses net earnings before interest, depreciation, and amortization.</t>
  </si>
  <si>
    <t>EBIT</t>
  </si>
  <si>
    <t>TAX RATE</t>
  </si>
  <si>
    <t>CAPITAL EXPENDITURES</t>
  </si>
  <si>
    <t>CHANGE IN CURRENT LIABILITIES</t>
  </si>
  <si>
    <t>CHANGE IN CURRENT ASSETS</t>
  </si>
  <si>
    <t>NET CHANGE</t>
  </si>
  <si>
    <t>UN-LEVERED FREE CASH FLOWS</t>
  </si>
  <si>
    <t>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</si>
</sst>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38" fontId="1" fillId="0" borderId="0" xfId="0" applyNumberFormat="1" applyFont="1"/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4" fontId="2" fillId="2" borderId="12" xfId="0" applyNumberFormat="1" applyFont="1" applyFill="1" applyBorder="1"/>
    <xf numFmtId="0" fontId="2" fillId="2" borderId="15" xfId="0" applyFont="1" applyFill="1" applyBorder="1" applyAlignment="1">
      <alignment horizontal="right"/>
    </xf>
    <xf numFmtId="2" fontId="2" fillId="2" borderId="13" xfId="0" applyNumberFormat="1" applyFont="1" applyFill="1" applyBorder="1"/>
    <xf numFmtId="0" fontId="2" fillId="2" borderId="9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5" fontId="2" fillId="2" borderId="12" xfId="0" applyNumberFormat="1" applyFont="1" applyFill="1" applyBorder="1"/>
    <xf numFmtId="0" fontId="2" fillId="2" borderId="14" xfId="0" applyFont="1" applyFill="1" applyBorder="1" applyAlignment="1">
      <alignment horizontal="right"/>
    </xf>
    <xf numFmtId="44" fontId="2" fillId="2" borderId="10" xfId="0" applyNumberFormat="1" applyFont="1" applyFill="1" applyBorder="1"/>
    <xf numFmtId="38" fontId="2" fillId="2" borderId="16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38" fontId="1" fillId="0" borderId="14" xfId="0" applyNumberFormat="1" applyFont="1" applyBorder="1"/>
    <xf numFmtId="38" fontId="1" fillId="0" borderId="18" xfId="0" applyNumberFormat="1" applyFont="1" applyBorder="1"/>
    <xf numFmtId="38" fontId="1" fillId="0" borderId="17" xfId="0" applyNumberFormat="1" applyFont="1" applyBorder="1"/>
    <xf numFmtId="0" fontId="2" fillId="0" borderId="9" xfId="0" applyFont="1" applyBorder="1" applyAlignment="1">
      <alignment horizontal="center"/>
    </xf>
    <xf numFmtId="165" fontId="2" fillId="2" borderId="10" xfId="0" applyNumberFormat="1" applyFont="1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2" borderId="16" xfId="0" applyFill="1" applyBorder="1" applyAlignment="1">
      <alignment horizontal="right"/>
    </xf>
    <xf numFmtId="38" fontId="0" fillId="2" borderId="20" xfId="0" applyNumberFormat="1" applyFill="1" applyBorder="1"/>
    <xf numFmtId="0" fontId="0" fillId="3" borderId="7" xfId="0" applyFill="1" applyBorder="1"/>
    <xf numFmtId="0" fontId="0" fillId="2" borderId="14" xfId="0" applyFill="1" applyBorder="1" applyAlignment="1">
      <alignment horizontal="right"/>
    </xf>
    <xf numFmtId="38" fontId="0" fillId="2" borderId="10" xfId="0" applyNumberFormat="1" applyFill="1" applyBorder="1"/>
    <xf numFmtId="0" fontId="0" fillId="0" borderId="16" xfId="0" applyBorder="1"/>
    <xf numFmtId="0" fontId="0" fillId="2" borderId="23" xfId="0" applyFill="1" applyBorder="1" applyAlignment="1">
      <alignment horizontal="right"/>
    </xf>
    <xf numFmtId="38" fontId="0" fillId="2" borderId="22" xfId="0" applyNumberFormat="1" applyFill="1" applyBorder="1"/>
    <xf numFmtId="0" fontId="0" fillId="0" borderId="0" xfId="0" applyAlignment="1">
      <alignment horizontal="right"/>
    </xf>
    <xf numFmtId="38" fontId="0" fillId="0" borderId="18" xfId="0" applyNumberFormat="1" applyBorder="1"/>
    <xf numFmtId="38" fontId="0" fillId="0" borderId="14" xfId="0" applyNumberFormat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2" borderId="24" xfId="0" applyFill="1" applyBorder="1" applyAlignment="1">
      <alignment horizontal="right"/>
    </xf>
    <xf numFmtId="38" fontId="0" fillId="2" borderId="25" xfId="0" applyNumberFormat="1" applyFill="1" applyBorder="1"/>
    <xf numFmtId="3" fontId="0" fillId="2" borderId="20" xfId="0" applyNumberFormat="1" applyFill="1" applyBorder="1"/>
    <xf numFmtId="3" fontId="0" fillId="2" borderId="10" xfId="0" applyNumberFormat="1" applyFill="1" applyBorder="1"/>
    <xf numFmtId="3" fontId="0" fillId="2" borderId="22" xfId="0" applyNumberFormat="1" applyFill="1" applyBorder="1"/>
    <xf numFmtId="10" fontId="0" fillId="2" borderId="20" xfId="0" applyNumberFormat="1" applyFill="1" applyBorder="1"/>
    <xf numFmtId="10" fontId="0" fillId="2" borderId="10" xfId="0" applyNumberFormat="1" applyFill="1" applyBorder="1"/>
    <xf numFmtId="38" fontId="0" fillId="0" borderId="16" xfId="0" applyNumberFormat="1" applyBorder="1"/>
    <xf numFmtId="0" fontId="0" fillId="0" borderId="14" xfId="0" applyBorder="1"/>
    <xf numFmtId="38" fontId="0" fillId="0" borderId="15" xfId="0" applyNumberFormat="1" applyBorder="1"/>
    <xf numFmtId="10" fontId="0" fillId="3" borderId="5" xfId="0" applyNumberFormat="1" applyFill="1" applyBorder="1"/>
    <xf numFmtId="164" fontId="0" fillId="0" borderId="16" xfId="0" applyNumberFormat="1" applyBorder="1" applyAlignment="1">
      <alignment horizontal="center"/>
    </xf>
    <xf numFmtId="10" fontId="0" fillId="0" borderId="0" xfId="0" applyNumberFormat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38" fontId="0" fillId="3" borderId="7" xfId="0" applyNumberFormat="1" applyFill="1" applyBorder="1"/>
    <xf numFmtId="164" fontId="0" fillId="2" borderId="10" xfId="0" applyNumberFormat="1" applyFill="1" applyBorder="1"/>
    <xf numFmtId="44" fontId="0" fillId="3" borderId="6" xfId="0" applyNumberFormat="1" applyFill="1" applyBorder="1"/>
    <xf numFmtId="0" fontId="1" fillId="2" borderId="21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38" fontId="1" fillId="0" borderId="19" xfId="0" applyNumberFormat="1" applyFont="1" applyFill="1" applyBorder="1"/>
    <xf numFmtId="38" fontId="1" fillId="0" borderId="26" xfId="0" applyNumberFormat="1" applyFont="1" applyBorder="1"/>
    <xf numFmtId="38" fontId="1" fillId="0" borderId="17" xfId="0" applyNumberFormat="1" applyFont="1" applyFill="1" applyBorder="1"/>
    <xf numFmtId="38" fontId="1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199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0FE6EB-A408-6085-65D8-14A11FF28831}"/>
            </a:ext>
          </a:extLst>
        </xdr:cNvPr>
        <xdr:cNvCxnSpPr/>
      </xdr:nvCxnSpPr>
      <xdr:spPr>
        <a:xfrm>
          <a:off x="12107334" y="0"/>
          <a:ext cx="0" cy="364913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0</xdr:colOff>
      <xdr:row>199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3608515-B4FA-9311-C9F1-8A1E6927E70F}"/>
            </a:ext>
          </a:extLst>
        </xdr:cNvPr>
        <xdr:cNvCxnSpPr/>
      </xdr:nvCxnSpPr>
      <xdr:spPr>
        <a:xfrm>
          <a:off x="23015965" y="0"/>
          <a:ext cx="0" cy="364913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7D4D-2A1F-4DB5-BBFA-1AD5F939E98C}">
  <dimension ref="A1:CK58"/>
  <sheetViews>
    <sheetView showGridLines="0" tabSelected="1" zoomScale="75" zoomScaleNormal="75" workbookViewId="0"/>
  </sheetViews>
  <sheetFormatPr defaultColWidth="2.64453125" defaultRowHeight="14.35" outlineLevelCol="1" x14ac:dyDescent="0.5"/>
  <cols>
    <col min="1" max="2" width="2.64453125" customWidth="1" outlineLevel="1"/>
    <col min="3" max="3" width="38.41015625" customWidth="1" outlineLevel="1"/>
    <col min="4" max="4" width="17.46875" customWidth="1" outlineLevel="1"/>
    <col min="5" max="6" width="2.64453125" customWidth="1" outlineLevel="1"/>
    <col min="7" max="7" width="25.9375" bestFit="1" customWidth="1"/>
    <col min="8" max="89" width="12.64453125" customWidth="1"/>
  </cols>
  <sheetData>
    <row r="1" spans="2:89" ht="14.7" thickBot="1" x14ac:dyDescent="0.55000000000000004"/>
    <row r="2" spans="2:89" x14ac:dyDescent="0.5">
      <c r="B2" s="23"/>
      <c r="C2" s="24"/>
      <c r="D2" s="24"/>
      <c r="E2" s="25"/>
      <c r="G2" s="15" t="s">
        <v>53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19</v>
      </c>
      <c r="U2" s="2" t="s">
        <v>19</v>
      </c>
      <c r="V2" s="2" t="s">
        <v>19</v>
      </c>
      <c r="W2" s="2" t="s">
        <v>19</v>
      </c>
      <c r="X2" s="2" t="s">
        <v>19</v>
      </c>
      <c r="Y2" s="2" t="s">
        <v>19</v>
      </c>
      <c r="Z2" s="2" t="s">
        <v>19</v>
      </c>
      <c r="AA2" s="2" t="s">
        <v>19</v>
      </c>
      <c r="AB2" s="2" t="s">
        <v>19</v>
      </c>
      <c r="AC2" s="2" t="s">
        <v>19</v>
      </c>
      <c r="AD2" s="2" t="s">
        <v>19</v>
      </c>
      <c r="AE2" s="2" t="s">
        <v>19</v>
      </c>
      <c r="AF2" s="2" t="s">
        <v>19</v>
      </c>
      <c r="AG2" s="2" t="s">
        <v>19</v>
      </c>
      <c r="AH2" s="2" t="s">
        <v>19</v>
      </c>
      <c r="AI2" s="2" t="s">
        <v>19</v>
      </c>
      <c r="AJ2" s="2" t="s">
        <v>19</v>
      </c>
      <c r="AK2" s="2" t="s">
        <v>19</v>
      </c>
      <c r="AL2" s="2" t="s">
        <v>19</v>
      </c>
      <c r="AM2" s="2" t="s">
        <v>19</v>
      </c>
      <c r="AN2" s="2" t="s">
        <v>19</v>
      </c>
      <c r="AO2" s="2" t="s">
        <v>19</v>
      </c>
      <c r="AP2" s="2" t="s">
        <v>19</v>
      </c>
      <c r="AQ2" s="2" t="s">
        <v>19</v>
      </c>
      <c r="AR2" s="2" t="s">
        <v>19</v>
      </c>
      <c r="AS2" s="2" t="s">
        <v>19</v>
      </c>
      <c r="AT2" s="2" t="s">
        <v>19</v>
      </c>
      <c r="AU2" s="2" t="s">
        <v>19</v>
      </c>
      <c r="AV2" s="2" t="s">
        <v>19</v>
      </c>
      <c r="AW2" s="2" t="s">
        <v>19</v>
      </c>
      <c r="AX2" s="2" t="s">
        <v>19</v>
      </c>
      <c r="AY2" s="2" t="s">
        <v>19</v>
      </c>
      <c r="AZ2" s="2" t="s">
        <v>19</v>
      </c>
      <c r="BA2" s="2" t="s">
        <v>19</v>
      </c>
      <c r="BB2" s="2" t="s">
        <v>19</v>
      </c>
      <c r="BC2" s="2" t="s">
        <v>19</v>
      </c>
      <c r="BD2" s="2" t="s">
        <v>19</v>
      </c>
      <c r="BE2" s="2" t="s">
        <v>19</v>
      </c>
      <c r="BF2" s="2" t="s">
        <v>19</v>
      </c>
      <c r="BG2" s="2" t="s">
        <v>19</v>
      </c>
      <c r="BH2" s="2" t="s">
        <v>19</v>
      </c>
      <c r="BI2" s="2" t="s">
        <v>19</v>
      </c>
      <c r="BJ2" s="2" t="s">
        <v>19</v>
      </c>
      <c r="BK2" s="2" t="s">
        <v>19</v>
      </c>
      <c r="BL2" s="2" t="s">
        <v>19</v>
      </c>
      <c r="BM2" s="2" t="s">
        <v>19</v>
      </c>
      <c r="BN2" s="2" t="s">
        <v>19</v>
      </c>
      <c r="BO2" s="2" t="s">
        <v>19</v>
      </c>
      <c r="BP2" s="2" t="s">
        <v>19</v>
      </c>
      <c r="BQ2" s="2" t="s">
        <v>19</v>
      </c>
      <c r="BR2" s="2" t="s">
        <v>19</v>
      </c>
      <c r="BS2" s="2" t="s">
        <v>19</v>
      </c>
      <c r="BT2" s="2" t="s">
        <v>19</v>
      </c>
      <c r="BU2" s="2" t="s">
        <v>19</v>
      </c>
      <c r="BV2" s="2" t="s">
        <v>19</v>
      </c>
      <c r="BW2" s="2" t="s">
        <v>19</v>
      </c>
      <c r="BX2" s="2" t="s">
        <v>19</v>
      </c>
      <c r="BY2" s="2" t="s">
        <v>19</v>
      </c>
      <c r="BZ2" s="2" t="s">
        <v>19</v>
      </c>
      <c r="CA2" s="2" t="s">
        <v>19</v>
      </c>
      <c r="CB2" s="2" t="s">
        <v>19</v>
      </c>
      <c r="CC2" s="2" t="s">
        <v>19</v>
      </c>
      <c r="CD2" s="2" t="s">
        <v>19</v>
      </c>
      <c r="CE2" s="2" t="s">
        <v>19</v>
      </c>
      <c r="CF2" s="2" t="s">
        <v>19</v>
      </c>
      <c r="CG2" s="2" t="s">
        <v>19</v>
      </c>
      <c r="CH2" s="2" t="s">
        <v>19</v>
      </c>
      <c r="CI2" s="2" t="s">
        <v>19</v>
      </c>
      <c r="CJ2" s="2" t="s">
        <v>19</v>
      </c>
      <c r="CK2" s="2" t="s">
        <v>19</v>
      </c>
    </row>
    <row r="3" spans="2:89" x14ac:dyDescent="0.5">
      <c r="B3" s="26"/>
      <c r="C3" s="27" t="s">
        <v>22</v>
      </c>
      <c r="D3" s="28">
        <v>5009865000</v>
      </c>
      <c r="E3" s="29"/>
      <c r="G3" s="9" t="s">
        <v>33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  <c r="M3" s="3">
        <v>2024</v>
      </c>
      <c r="N3" s="3">
        <v>2025</v>
      </c>
      <c r="O3" s="3">
        <v>2026</v>
      </c>
      <c r="P3" s="3">
        <v>2027</v>
      </c>
      <c r="Q3" s="3">
        <v>2028</v>
      </c>
      <c r="R3" s="3">
        <v>2029</v>
      </c>
      <c r="S3" s="3">
        <v>2030</v>
      </c>
      <c r="T3" s="3">
        <v>2031</v>
      </c>
      <c r="U3" s="3">
        <v>2032</v>
      </c>
      <c r="V3" s="3">
        <v>2033</v>
      </c>
      <c r="W3" s="3">
        <v>2034</v>
      </c>
      <c r="X3" s="3">
        <v>2035</v>
      </c>
      <c r="Y3" s="3">
        <v>2036</v>
      </c>
      <c r="Z3" s="3">
        <v>2037</v>
      </c>
      <c r="AA3" s="3">
        <v>2038</v>
      </c>
      <c r="AB3" s="3">
        <v>2039</v>
      </c>
      <c r="AC3" s="3">
        <v>2040</v>
      </c>
      <c r="AD3" s="3">
        <v>2041</v>
      </c>
      <c r="AE3" s="3">
        <v>2042</v>
      </c>
      <c r="AF3" s="3">
        <v>2043</v>
      </c>
      <c r="AG3" s="3">
        <v>2044</v>
      </c>
      <c r="AH3" s="3">
        <v>2045</v>
      </c>
      <c r="AI3" s="3">
        <v>2046</v>
      </c>
      <c r="AJ3" s="3">
        <v>2047</v>
      </c>
      <c r="AK3" s="3">
        <v>2048</v>
      </c>
      <c r="AL3" s="3">
        <v>2049</v>
      </c>
      <c r="AM3" s="3">
        <v>2050</v>
      </c>
      <c r="AN3" s="3">
        <v>2051</v>
      </c>
      <c r="AO3" s="3">
        <v>2052</v>
      </c>
      <c r="AP3" s="3">
        <v>2053</v>
      </c>
      <c r="AQ3" s="3">
        <v>2054</v>
      </c>
      <c r="AR3" s="3">
        <v>2055</v>
      </c>
      <c r="AS3" s="3">
        <v>2056</v>
      </c>
      <c r="AT3" s="3">
        <v>2057</v>
      </c>
      <c r="AU3" s="3">
        <v>2058</v>
      </c>
      <c r="AV3" s="3">
        <v>2059</v>
      </c>
      <c r="AW3" s="3">
        <v>2060</v>
      </c>
      <c r="AX3" s="3">
        <v>2061</v>
      </c>
      <c r="AY3" s="3">
        <v>2062</v>
      </c>
      <c r="AZ3" s="3">
        <v>2063</v>
      </c>
      <c r="BA3" s="3">
        <v>2064</v>
      </c>
      <c r="BB3" s="3">
        <v>2065</v>
      </c>
      <c r="BC3" s="3">
        <v>2066</v>
      </c>
      <c r="BD3" s="3">
        <v>2067</v>
      </c>
      <c r="BE3" s="3">
        <v>2068</v>
      </c>
      <c r="BF3" s="3">
        <v>2069</v>
      </c>
      <c r="BG3" s="3">
        <v>2070</v>
      </c>
      <c r="BH3" s="3">
        <v>2071</v>
      </c>
      <c r="BI3" s="3">
        <v>2072</v>
      </c>
      <c r="BJ3" s="3">
        <v>2073</v>
      </c>
      <c r="BK3" s="3">
        <v>2074</v>
      </c>
      <c r="BL3" s="3">
        <v>2075</v>
      </c>
      <c r="BM3" s="3">
        <v>2076</v>
      </c>
      <c r="BN3" s="3">
        <v>2077</v>
      </c>
      <c r="BO3" s="3">
        <v>2078</v>
      </c>
      <c r="BP3" s="3">
        <v>2079</v>
      </c>
      <c r="BQ3" s="3">
        <v>2080</v>
      </c>
      <c r="BR3" s="3">
        <v>2081</v>
      </c>
      <c r="BS3" s="3">
        <v>2082</v>
      </c>
      <c r="BT3" s="3">
        <v>2083</v>
      </c>
      <c r="BU3" s="3">
        <v>2084</v>
      </c>
      <c r="BV3" s="3">
        <v>2085</v>
      </c>
      <c r="BW3" s="3">
        <v>2086</v>
      </c>
      <c r="BX3" s="3">
        <v>2087</v>
      </c>
      <c r="BY3" s="3">
        <v>2088</v>
      </c>
      <c r="BZ3" s="3">
        <v>2089</v>
      </c>
      <c r="CA3" s="3">
        <v>2090</v>
      </c>
      <c r="CB3" s="3">
        <v>2091</v>
      </c>
      <c r="CC3" s="3">
        <v>2092</v>
      </c>
      <c r="CD3" s="3">
        <v>2093</v>
      </c>
      <c r="CE3" s="3">
        <v>2094</v>
      </c>
      <c r="CF3" s="3">
        <v>2095</v>
      </c>
      <c r="CG3" s="3">
        <v>2096</v>
      </c>
      <c r="CH3" s="3">
        <v>2097</v>
      </c>
      <c r="CI3" s="3">
        <v>2098</v>
      </c>
      <c r="CJ3" s="3">
        <v>2099</v>
      </c>
      <c r="CK3" s="3">
        <v>2100</v>
      </c>
    </row>
    <row r="4" spans="2:89" ht="14.7" thickBot="1" x14ac:dyDescent="0.55000000000000004">
      <c r="B4" s="26"/>
      <c r="C4" s="30" t="s">
        <v>23</v>
      </c>
      <c r="D4" s="31">
        <v>5135322000</v>
      </c>
      <c r="E4" s="29"/>
      <c r="G4" s="4" t="s">
        <v>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2:89" ht="14.7" thickBot="1" x14ac:dyDescent="0.55000000000000004">
      <c r="B5" s="26"/>
      <c r="C5" s="33" t="s">
        <v>24</v>
      </c>
      <c r="D5" s="34">
        <v>179060000000</v>
      </c>
      <c r="E5" s="29"/>
      <c r="G5" s="35" t="s">
        <v>11</v>
      </c>
      <c r="H5" s="36">
        <v>43215013</v>
      </c>
      <c r="I5" s="36">
        <v>44327039</v>
      </c>
      <c r="J5" s="36">
        <v>50533389</v>
      </c>
      <c r="K5" s="36">
        <v>61594305</v>
      </c>
      <c r="L5" s="36">
        <v>64111745</v>
      </c>
      <c r="M5" s="36">
        <v>64896464</v>
      </c>
      <c r="N5" s="36">
        <f>M5*1.05</f>
        <v>68141287.200000003</v>
      </c>
      <c r="O5" s="36">
        <f t="shared" ref="O5:Y5" si="0">N5*1.05</f>
        <v>71548351.560000002</v>
      </c>
      <c r="P5" s="36">
        <f t="shared" si="0"/>
        <v>75125769.138000011</v>
      </c>
      <c r="Q5" s="36">
        <f t="shared" si="0"/>
        <v>78882057.594900012</v>
      </c>
      <c r="R5" s="36">
        <f t="shared" si="0"/>
        <v>82826160.474645019</v>
      </c>
      <c r="S5" s="36">
        <f t="shared" si="0"/>
        <v>86967468.498377278</v>
      </c>
      <c r="T5" s="36">
        <f t="shared" si="0"/>
        <v>91315841.923296154</v>
      </c>
      <c r="U5" s="36">
        <f t="shared" si="0"/>
        <v>95881634.019460961</v>
      </c>
      <c r="V5" s="36">
        <f t="shared" si="0"/>
        <v>100675715.72043401</v>
      </c>
      <c r="W5" s="36">
        <f t="shared" si="0"/>
        <v>105709501.50645572</v>
      </c>
      <c r="X5" s="36">
        <f t="shared" si="0"/>
        <v>110994976.58177851</v>
      </c>
      <c r="Y5" s="36">
        <f t="shared" si="0"/>
        <v>116544725.41086744</v>
      </c>
    </row>
    <row r="6" spans="2:89" ht="14.7" thickTop="1" x14ac:dyDescent="0.5">
      <c r="B6" s="26"/>
      <c r="C6" s="6" t="s">
        <v>25</v>
      </c>
      <c r="D6" s="11">
        <f>D5+D4-D3</f>
        <v>179185457000</v>
      </c>
      <c r="E6" s="29"/>
      <c r="G6" s="4" t="s">
        <v>9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89" ht="14.7" thickBot="1" x14ac:dyDescent="0.55000000000000004">
      <c r="B7" s="38"/>
      <c r="C7" s="39"/>
      <c r="D7" s="39"/>
      <c r="E7" s="40"/>
      <c r="G7" s="35" t="s">
        <v>12</v>
      </c>
      <c r="H7" s="37">
        <v>29900325</v>
      </c>
      <c r="I7" s="37">
        <v>30350881</v>
      </c>
      <c r="J7" s="37">
        <v>34169261</v>
      </c>
      <c r="K7" s="37">
        <v>41892766</v>
      </c>
      <c r="L7" s="37">
        <v>43380138</v>
      </c>
      <c r="M7" s="37">
        <v>43734147</v>
      </c>
      <c r="N7" s="37">
        <f>N5*0.6805</f>
        <v>46370145.939599998</v>
      </c>
      <c r="O7" s="37">
        <f t="shared" ref="O7:Y7" si="1">O5*0.6805</f>
        <v>48688653.236579999</v>
      </c>
      <c r="P7" s="37">
        <f t="shared" si="1"/>
        <v>51123085.898409009</v>
      </c>
      <c r="Q7" s="37">
        <f t="shared" si="1"/>
        <v>53679240.193329461</v>
      </c>
      <c r="R7" s="37">
        <f t="shared" si="1"/>
        <v>56363202.202995934</v>
      </c>
      <c r="S7" s="37">
        <f t="shared" si="1"/>
        <v>59181362.313145734</v>
      </c>
      <c r="T7" s="37">
        <f t="shared" si="1"/>
        <v>62140430.428803034</v>
      </c>
      <c r="U7" s="37">
        <f t="shared" si="1"/>
        <v>65247451.950243182</v>
      </c>
      <c r="V7" s="37">
        <f t="shared" si="1"/>
        <v>68509824.547755346</v>
      </c>
      <c r="W7" s="37">
        <f t="shared" si="1"/>
        <v>71935315.775143117</v>
      </c>
      <c r="X7" s="37">
        <f t="shared" si="1"/>
        <v>75532081.563900277</v>
      </c>
      <c r="Y7" s="37">
        <f t="shared" si="1"/>
        <v>79308685.642095298</v>
      </c>
    </row>
    <row r="8" spans="2:89" ht="14.7" thickBot="1" x14ac:dyDescent="0.55000000000000004">
      <c r="G8" s="35" t="s">
        <v>13</v>
      </c>
      <c r="H8" s="37">
        <v>4447456</v>
      </c>
      <c r="I8" s="37">
        <v>4625929</v>
      </c>
      <c r="J8" s="37">
        <v>5288237</v>
      </c>
      <c r="K8" s="37">
        <v>6108401</v>
      </c>
      <c r="L8" s="37">
        <v>6582629</v>
      </c>
      <c r="M8" s="37">
        <v>6846714</v>
      </c>
      <c r="N8" s="37">
        <v>7288063</v>
      </c>
      <c r="O8" s="37">
        <v>7775655</v>
      </c>
      <c r="P8" s="37">
        <v>8144440</v>
      </c>
      <c r="Q8" s="37">
        <v>8690411</v>
      </c>
      <c r="R8" s="37">
        <v>9153450</v>
      </c>
      <c r="S8" s="37">
        <v>9733056</v>
      </c>
      <c r="T8" s="37">
        <v>10194595</v>
      </c>
      <c r="U8" s="37">
        <v>10785784</v>
      </c>
      <c r="V8" s="37">
        <v>11103581</v>
      </c>
      <c r="W8" s="37">
        <v>11604155</v>
      </c>
      <c r="X8" s="37">
        <v>11970747</v>
      </c>
      <c r="Y8" s="37">
        <v>12301379</v>
      </c>
    </row>
    <row r="9" spans="2:89" x14ac:dyDescent="0.5">
      <c r="B9" s="23"/>
      <c r="C9" s="24"/>
      <c r="D9" s="24"/>
      <c r="E9" s="25"/>
      <c r="G9" s="35" t="s">
        <v>51</v>
      </c>
      <c r="H9" s="37">
        <v>2562158</v>
      </c>
      <c r="I9" s="37">
        <v>2836585</v>
      </c>
      <c r="J9" s="37">
        <v>3454362</v>
      </c>
      <c r="K9" s="37">
        <v>4225957</v>
      </c>
      <c r="L9" s="37">
        <v>4275943</v>
      </c>
      <c r="M9" s="37">
        <v>4281316</v>
      </c>
      <c r="N9" s="37">
        <f>M9*1.02</f>
        <v>4366942.32</v>
      </c>
      <c r="O9" s="37">
        <f t="shared" ref="O9:Y9" si="2">N9*1.02</f>
        <v>4454281.1664000005</v>
      </c>
      <c r="P9" s="37">
        <f t="shared" si="2"/>
        <v>4543366.7897280008</v>
      </c>
      <c r="Q9" s="37">
        <f t="shared" si="2"/>
        <v>4634234.1255225604</v>
      </c>
      <c r="R9" s="37">
        <f t="shared" si="2"/>
        <v>4726918.8080330119</v>
      </c>
      <c r="S9" s="37">
        <f t="shared" si="2"/>
        <v>4821457.1841936726</v>
      </c>
      <c r="T9" s="37">
        <f t="shared" si="2"/>
        <v>4917886.3278775457</v>
      </c>
      <c r="U9" s="37">
        <f t="shared" si="2"/>
        <v>5016244.0544350967</v>
      </c>
      <c r="V9" s="37">
        <f t="shared" si="2"/>
        <v>5116568.9355237987</v>
      </c>
      <c r="W9" s="37">
        <f t="shared" si="2"/>
        <v>5218900.3142342744</v>
      </c>
      <c r="X9" s="37">
        <f t="shared" si="2"/>
        <v>5323278.3205189602</v>
      </c>
      <c r="Y9" s="37">
        <f t="shared" si="2"/>
        <v>5429743.8869293397</v>
      </c>
    </row>
    <row r="10" spans="2:89" ht="14.7" thickBot="1" x14ac:dyDescent="0.55000000000000004">
      <c r="B10" s="26"/>
      <c r="C10" s="41" t="s">
        <v>26</v>
      </c>
      <c r="D10" s="42">
        <v>627000000</v>
      </c>
      <c r="E10" s="29"/>
      <c r="G10" s="35" t="s">
        <v>50</v>
      </c>
      <c r="H10" s="37">
        <v>0</v>
      </c>
      <c r="I10" s="37">
        <v>0</v>
      </c>
      <c r="J10" s="37">
        <v>0</v>
      </c>
      <c r="K10" s="37">
        <v>0</v>
      </c>
      <c r="L10" s="37">
        <v>1063146</v>
      </c>
      <c r="M10" s="37">
        <v>438440</v>
      </c>
      <c r="N10" s="37">
        <f>M10/2</f>
        <v>219220</v>
      </c>
      <c r="O10" s="37">
        <f>N10*2</f>
        <v>438440</v>
      </c>
      <c r="P10" s="37">
        <f>O10*1.04</f>
        <v>455977.60000000003</v>
      </c>
      <c r="Q10" s="37">
        <f t="shared" ref="Q10:Y10" si="3">P10*1.04</f>
        <v>474216.70400000003</v>
      </c>
      <c r="R10" s="37">
        <f t="shared" si="3"/>
        <v>493185.37216000003</v>
      </c>
      <c r="S10" s="37">
        <f t="shared" si="3"/>
        <v>512912.78704640007</v>
      </c>
      <c r="T10" s="37">
        <f t="shared" si="3"/>
        <v>533429.29852825613</v>
      </c>
      <c r="U10" s="37">
        <f t="shared" si="3"/>
        <v>554766.47046938643</v>
      </c>
      <c r="V10" s="37">
        <f t="shared" si="3"/>
        <v>576957.12928816187</v>
      </c>
      <c r="W10" s="37">
        <f t="shared" si="3"/>
        <v>600035.41445968836</v>
      </c>
      <c r="X10" s="37">
        <f t="shared" si="3"/>
        <v>624036.83103807596</v>
      </c>
      <c r="Y10" s="37">
        <f t="shared" si="3"/>
        <v>648998.30427959899</v>
      </c>
    </row>
    <row r="11" spans="2:89" ht="15" thickTop="1" thickBot="1" x14ac:dyDescent="0.55000000000000004">
      <c r="B11" s="26"/>
      <c r="C11" s="6" t="s">
        <v>27</v>
      </c>
      <c r="D11" s="5">
        <f>D6/D10</f>
        <v>285.78222807017545</v>
      </c>
      <c r="E11" s="29"/>
      <c r="G11" s="4" t="s">
        <v>18</v>
      </c>
      <c r="H11" s="18">
        <f t="shared" ref="H11" si="4">SUM(H7:H10)</f>
        <v>36909939</v>
      </c>
      <c r="I11" s="18">
        <f>SUM(I7:I10)</f>
        <v>37813395</v>
      </c>
      <c r="J11" s="18">
        <f>SUM(J7:J10)</f>
        <v>42911860</v>
      </c>
      <c r="K11" s="18">
        <f t="shared" ref="K11" si="5">SUM(K7:K10)</f>
        <v>52227124</v>
      </c>
      <c r="L11" s="18">
        <f>SUM(L7:L10)</f>
        <v>55301856</v>
      </c>
      <c r="M11" s="18">
        <f>SUM(M7:M10)</f>
        <v>55300617</v>
      </c>
      <c r="N11" s="18">
        <f t="shared" ref="N11:Y11" si="6">SUM(N7:N10)</f>
        <v>58244371.259599999</v>
      </c>
      <c r="O11" s="18">
        <f t="shared" si="6"/>
        <v>61357029.40298</v>
      </c>
      <c r="P11" s="18">
        <f t="shared" si="6"/>
        <v>64266870.288137011</v>
      </c>
      <c r="Q11" s="18">
        <f t="shared" si="6"/>
        <v>67478102.022852018</v>
      </c>
      <c r="R11" s="18">
        <f t="shared" si="6"/>
        <v>70736756.383188948</v>
      </c>
      <c r="S11" s="18">
        <f t="shared" si="6"/>
        <v>74248788.2843858</v>
      </c>
      <c r="T11" s="18">
        <f t="shared" si="6"/>
        <v>77786341.055208832</v>
      </c>
      <c r="U11" s="18">
        <f t="shared" si="6"/>
        <v>81604246.475147665</v>
      </c>
      <c r="V11" s="18">
        <f t="shared" si="6"/>
        <v>85306931.612567306</v>
      </c>
      <c r="W11" s="18">
        <f t="shared" si="6"/>
        <v>89358406.503837079</v>
      </c>
      <c r="X11" s="18">
        <f t="shared" si="6"/>
        <v>93450143.715457305</v>
      </c>
      <c r="Y11" s="18">
        <f t="shared" si="6"/>
        <v>97688806.833304226</v>
      </c>
    </row>
    <row r="12" spans="2:89" ht="14.7" thickBot="1" x14ac:dyDescent="0.55000000000000004">
      <c r="B12" s="38"/>
      <c r="C12" s="39"/>
      <c r="D12" s="39"/>
      <c r="E12" s="40"/>
      <c r="G12" s="4" t="s">
        <v>2</v>
      </c>
      <c r="H12" s="36">
        <f t="shared" ref="H12:M12" si="7">H5-H11</f>
        <v>6305074</v>
      </c>
      <c r="I12" s="36">
        <f t="shared" si="7"/>
        <v>6513644</v>
      </c>
      <c r="J12" s="36">
        <f t="shared" si="7"/>
        <v>7621529</v>
      </c>
      <c r="K12" s="36">
        <f t="shared" si="7"/>
        <v>9367181</v>
      </c>
      <c r="L12" s="36">
        <f t="shared" si="7"/>
        <v>8809889</v>
      </c>
      <c r="M12" s="36">
        <f t="shared" si="7"/>
        <v>9595847</v>
      </c>
      <c r="N12" s="36">
        <f t="shared" ref="N12:Y12" si="8">N5-N11</f>
        <v>9896915.9404000044</v>
      </c>
      <c r="O12" s="36">
        <f t="shared" si="8"/>
        <v>10191322.157020003</v>
      </c>
      <c r="P12" s="36">
        <f t="shared" si="8"/>
        <v>10858898.849863</v>
      </c>
      <c r="Q12" s="36">
        <f t="shared" si="8"/>
        <v>11403955.572047994</v>
      </c>
      <c r="R12" s="36">
        <f t="shared" si="8"/>
        <v>12089404.091456071</v>
      </c>
      <c r="S12" s="36">
        <f t="shared" si="8"/>
        <v>12718680.213991478</v>
      </c>
      <c r="T12" s="36">
        <f t="shared" si="8"/>
        <v>13529500.868087322</v>
      </c>
      <c r="U12" s="36">
        <f t="shared" si="8"/>
        <v>14277387.544313297</v>
      </c>
      <c r="V12" s="36">
        <f t="shared" si="8"/>
        <v>15368784.107866704</v>
      </c>
      <c r="W12" s="36">
        <f t="shared" si="8"/>
        <v>16351095.002618641</v>
      </c>
      <c r="X12" s="36">
        <f t="shared" si="8"/>
        <v>17544832.866321206</v>
      </c>
      <c r="Y12" s="36">
        <f t="shared" si="8"/>
        <v>18855918.577563211</v>
      </c>
    </row>
    <row r="13" spans="2:89" ht="14.7" thickBot="1" x14ac:dyDescent="0.55000000000000004">
      <c r="G13" s="35" t="s">
        <v>14</v>
      </c>
      <c r="H13" s="37">
        <v>87508</v>
      </c>
      <c r="I13" s="37">
        <v>69331</v>
      </c>
      <c r="J13" s="37">
        <v>33365</v>
      </c>
      <c r="K13" s="37">
        <v>45133</v>
      </c>
      <c r="L13" s="37">
        <v>280409</v>
      </c>
      <c r="M13" s="37">
        <v>272256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2:89" x14ac:dyDescent="0.5">
      <c r="B14" s="23"/>
      <c r="C14" s="24"/>
      <c r="D14" s="24"/>
      <c r="E14" s="25"/>
      <c r="G14" s="35" t="s">
        <v>15</v>
      </c>
      <c r="H14" s="37">
        <v>-22963</v>
      </c>
      <c r="I14" s="37">
        <v>-33071</v>
      </c>
      <c r="J14" s="37">
        <v>-59492</v>
      </c>
      <c r="K14" s="37">
        <v>-47320</v>
      </c>
      <c r="L14" s="37">
        <v>-47525</v>
      </c>
      <c r="M14" s="37">
        <v>-58969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2:89" x14ac:dyDescent="0.5">
      <c r="B15" s="26"/>
      <c r="C15" s="27" t="s">
        <v>4</v>
      </c>
      <c r="D15" s="43">
        <v>7419197000</v>
      </c>
      <c r="E15" s="29"/>
      <c r="G15" s="35" t="s">
        <v>16</v>
      </c>
      <c r="H15" s="37">
        <v>-117822</v>
      </c>
      <c r="I15" s="37">
        <v>224427</v>
      </c>
      <c r="J15" s="37">
        <v>165714</v>
      </c>
      <c r="K15" s="37">
        <v>-72533</v>
      </c>
      <c r="L15" s="37">
        <v>96559</v>
      </c>
      <c r="M15" s="37">
        <v>-109811</v>
      </c>
      <c r="N15" s="37">
        <v>181842</v>
      </c>
      <c r="O15" s="37">
        <v>126963</v>
      </c>
      <c r="P15" s="37">
        <v>18699</v>
      </c>
      <c r="Q15" s="37">
        <v>47935</v>
      </c>
      <c r="R15" s="37">
        <v>166626</v>
      </c>
      <c r="S15" s="37">
        <v>123029</v>
      </c>
      <c r="T15" s="37">
        <v>-170552</v>
      </c>
      <c r="U15" s="37">
        <v>-151202</v>
      </c>
      <c r="V15" s="37">
        <v>-2057</v>
      </c>
      <c r="W15" s="37">
        <v>31977</v>
      </c>
      <c r="X15" s="37">
        <v>175015</v>
      </c>
      <c r="Y15" s="37">
        <v>-61260</v>
      </c>
    </row>
    <row r="16" spans="2:89" ht="14.7" thickBot="1" x14ac:dyDescent="0.55000000000000004">
      <c r="B16" s="26"/>
      <c r="C16" s="30" t="s">
        <v>10</v>
      </c>
      <c r="D16" s="44">
        <v>213287000</v>
      </c>
      <c r="E16" s="29"/>
      <c r="G16" s="35" t="s">
        <v>45</v>
      </c>
      <c r="H16" s="37">
        <v>0</v>
      </c>
      <c r="I16" s="37">
        <v>0</v>
      </c>
      <c r="J16" s="37">
        <v>0</v>
      </c>
      <c r="K16" s="37">
        <v>-96294</v>
      </c>
      <c r="L16" s="37">
        <v>0</v>
      </c>
      <c r="M16" s="37">
        <v>0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2:89" ht="14.7" thickBot="1" x14ac:dyDescent="0.55000000000000004">
      <c r="B17" s="26"/>
      <c r="C17" s="30" t="s">
        <v>28</v>
      </c>
      <c r="D17" s="44">
        <v>2280126000</v>
      </c>
      <c r="E17" s="29"/>
      <c r="G17" s="4" t="s">
        <v>3</v>
      </c>
      <c r="H17" s="19">
        <f t="shared" ref="H17" si="9">SUM(H12:H16)</f>
        <v>6251797</v>
      </c>
      <c r="I17" s="19">
        <f>SUM(I12:I16)</f>
        <v>6774331</v>
      </c>
      <c r="J17" s="19">
        <f>SUM(J12:J16)</f>
        <v>7761116</v>
      </c>
      <c r="K17" s="19">
        <f t="shared" ref="K17" si="10">SUM(K12:K16)</f>
        <v>9196167</v>
      </c>
      <c r="L17" s="19">
        <f>SUM(L12:L16)</f>
        <v>9139332</v>
      </c>
      <c r="M17" s="19">
        <f>SUM(M12:M16)</f>
        <v>9699323</v>
      </c>
      <c r="N17" s="19">
        <f>SUM(N12:N16)</f>
        <v>10078757.940400004</v>
      </c>
      <c r="O17" s="19">
        <f t="shared" ref="O17:Y17" si="11">SUM(O12:O16)</f>
        <v>10318285.157020003</v>
      </c>
      <c r="P17" s="19">
        <f t="shared" si="11"/>
        <v>10877597.849863</v>
      </c>
      <c r="Q17" s="19">
        <f t="shared" si="11"/>
        <v>11451890.572047994</v>
      </c>
      <c r="R17" s="19">
        <f t="shared" si="11"/>
        <v>12256030.091456071</v>
      </c>
      <c r="S17" s="19">
        <f t="shared" si="11"/>
        <v>12841709.213991478</v>
      </c>
      <c r="T17" s="19">
        <f t="shared" si="11"/>
        <v>13358948.868087322</v>
      </c>
      <c r="U17" s="19">
        <f t="shared" si="11"/>
        <v>14126185.544313297</v>
      </c>
      <c r="V17" s="19">
        <f t="shared" si="11"/>
        <v>15366727.107866704</v>
      </c>
      <c r="W17" s="19">
        <f t="shared" si="11"/>
        <v>16383072.002618641</v>
      </c>
      <c r="X17" s="19">
        <f t="shared" si="11"/>
        <v>17719847.866321206</v>
      </c>
      <c r="Y17" s="19">
        <f t="shared" si="11"/>
        <v>18794658.577563211</v>
      </c>
    </row>
    <row r="18" spans="2:89" ht="14.7" thickBot="1" x14ac:dyDescent="0.55000000000000004">
      <c r="B18" s="26"/>
      <c r="C18" s="33" t="s">
        <v>20</v>
      </c>
      <c r="D18" s="45">
        <v>2168038000</v>
      </c>
      <c r="E18" s="29"/>
      <c r="G18" s="35" t="s">
        <v>17</v>
      </c>
      <c r="H18" s="37">
        <v>1405556</v>
      </c>
      <c r="I18" s="37">
        <v>1589018</v>
      </c>
      <c r="J18" s="37">
        <v>5990545</v>
      </c>
      <c r="K18" s="37">
        <v>2207207</v>
      </c>
      <c r="L18" s="37">
        <v>2135802</v>
      </c>
      <c r="M18" s="37">
        <v>2280126</v>
      </c>
      <c r="N18" s="37">
        <f>N17*0.235</f>
        <v>2368508.1159940008</v>
      </c>
      <c r="O18" s="37">
        <f t="shared" ref="O18:Y18" si="12">O17*0.235</f>
        <v>2424797.0118997004</v>
      </c>
      <c r="P18" s="37">
        <f t="shared" si="12"/>
        <v>2556235.4947178047</v>
      </c>
      <c r="Q18" s="37">
        <f t="shared" si="12"/>
        <v>2691194.2844312782</v>
      </c>
      <c r="R18" s="37">
        <f t="shared" si="12"/>
        <v>2880167.0714921765</v>
      </c>
      <c r="S18" s="37">
        <f t="shared" si="12"/>
        <v>3017801.6652879971</v>
      </c>
      <c r="T18" s="37">
        <f t="shared" si="12"/>
        <v>3139352.9840005203</v>
      </c>
      <c r="U18" s="37">
        <f t="shared" si="12"/>
        <v>3319653.6029136246</v>
      </c>
      <c r="V18" s="37">
        <f t="shared" si="12"/>
        <v>3611180.8703486752</v>
      </c>
      <c r="W18" s="37">
        <f t="shared" si="12"/>
        <v>3850021.9206153802</v>
      </c>
      <c r="X18" s="37">
        <f t="shared" si="12"/>
        <v>4164164.2485854831</v>
      </c>
      <c r="Y18" s="37">
        <f t="shared" si="12"/>
        <v>4416744.7657273542</v>
      </c>
    </row>
    <row r="19" spans="2:89" ht="15" thickTop="1" thickBot="1" x14ac:dyDescent="0.55000000000000004">
      <c r="B19" s="26"/>
      <c r="C19" s="6" t="s">
        <v>21</v>
      </c>
      <c r="D19" s="11">
        <f>D15-D16+D17+D18</f>
        <v>11654074000</v>
      </c>
      <c r="E19" s="29"/>
      <c r="G19" s="4" t="s">
        <v>4</v>
      </c>
      <c r="H19" s="19">
        <f t="shared" ref="H19" si="13">H17-H18</f>
        <v>4846241</v>
      </c>
      <c r="I19" s="19">
        <f>I17-I18</f>
        <v>5185313</v>
      </c>
      <c r="J19" s="19">
        <f>J17-J18</f>
        <v>1770571</v>
      </c>
      <c r="K19" s="19">
        <f t="shared" ref="K19" si="14">K17-K18</f>
        <v>6988960</v>
      </c>
      <c r="L19" s="19">
        <f>L17-L18</f>
        <v>7003530</v>
      </c>
      <c r="M19" s="19">
        <f>M17-M18</f>
        <v>7419197</v>
      </c>
      <c r="N19" s="19">
        <f t="shared" ref="N19:Y19" si="15">N17-N18</f>
        <v>7710249.8244060036</v>
      </c>
      <c r="O19" s="19">
        <f t="shared" si="15"/>
        <v>7893488.1451203022</v>
      </c>
      <c r="P19" s="19">
        <f t="shared" si="15"/>
        <v>8321362.3551451955</v>
      </c>
      <c r="Q19" s="19">
        <f t="shared" si="15"/>
        <v>8760696.2876167148</v>
      </c>
      <c r="R19" s="19">
        <f t="shared" si="15"/>
        <v>9375863.019963894</v>
      </c>
      <c r="S19" s="19">
        <f t="shared" si="15"/>
        <v>9823907.5487034805</v>
      </c>
      <c r="T19" s="19">
        <f t="shared" si="15"/>
        <v>10219595.884086801</v>
      </c>
      <c r="U19" s="19">
        <f t="shared" si="15"/>
        <v>10806531.941399671</v>
      </c>
      <c r="V19" s="19">
        <f t="shared" si="15"/>
        <v>11755546.237518029</v>
      </c>
      <c r="W19" s="19">
        <f t="shared" si="15"/>
        <v>12533050.08200326</v>
      </c>
      <c r="X19" s="19">
        <f t="shared" si="15"/>
        <v>13555683.617735723</v>
      </c>
      <c r="Y19" s="19">
        <f t="shared" si="15"/>
        <v>14377913.811835857</v>
      </c>
    </row>
    <row r="20" spans="2:89" ht="14.7" thickBot="1" x14ac:dyDescent="0.55000000000000004">
      <c r="B20" s="38"/>
      <c r="C20" s="39"/>
      <c r="D20" s="39"/>
      <c r="E20" s="40"/>
      <c r="G20" s="35" t="s">
        <v>46</v>
      </c>
      <c r="H20" s="37">
        <v>-6694</v>
      </c>
      <c r="I20" s="37">
        <v>-6325</v>
      </c>
      <c r="J20" s="37">
        <v>-6539</v>
      </c>
      <c r="K20" s="37">
        <v>-7348</v>
      </c>
      <c r="L20" s="37">
        <v>-7204</v>
      </c>
      <c r="M20" s="37">
        <v>-7198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89" ht="14.7" thickBot="1" x14ac:dyDescent="0.55000000000000004">
      <c r="G21" s="35" t="s">
        <v>47</v>
      </c>
      <c r="H21" s="37">
        <v>60435</v>
      </c>
      <c r="I21" s="37">
        <v>-71149</v>
      </c>
      <c r="J21" s="37">
        <v>-77197</v>
      </c>
      <c r="K21" s="37">
        <v>-104443</v>
      </c>
      <c r="L21" s="37">
        <v>-124769</v>
      </c>
      <c r="M21" s="37">
        <v>-147212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2:89" ht="14.7" thickBot="1" x14ac:dyDescent="0.55000000000000004">
      <c r="B22" s="23"/>
      <c r="C22" s="24"/>
      <c r="D22" s="24"/>
      <c r="E22" s="25"/>
      <c r="G22" s="4" t="s">
        <v>52</v>
      </c>
      <c r="H22" s="20">
        <f t="shared" ref="H22" si="16">SUM(H19:H21)</f>
        <v>4899982</v>
      </c>
      <c r="I22" s="19">
        <f>SUM(I19:I21)</f>
        <v>5107839</v>
      </c>
      <c r="J22" s="19">
        <f>SUM(J19:J21)</f>
        <v>1686835</v>
      </c>
      <c r="K22" s="19">
        <f t="shared" ref="K22" si="17">SUM(K19:K21)</f>
        <v>6877169</v>
      </c>
      <c r="L22" s="19">
        <f>SUM(L19:L21)</f>
        <v>6871557</v>
      </c>
      <c r="M22" s="19">
        <f>SUM(M19:M21)</f>
        <v>7264787</v>
      </c>
      <c r="N22" s="19">
        <f>SUM(N19:N21)</f>
        <v>7710249.8244060036</v>
      </c>
      <c r="O22" s="19">
        <f t="shared" ref="O22:Y22" si="18">SUM(O19:O21)</f>
        <v>7893488.1451203022</v>
      </c>
      <c r="P22" s="19">
        <f t="shared" si="18"/>
        <v>8321362.3551451955</v>
      </c>
      <c r="Q22" s="19">
        <f t="shared" si="18"/>
        <v>8760696.2876167148</v>
      </c>
      <c r="R22" s="19">
        <f t="shared" si="18"/>
        <v>9375863.019963894</v>
      </c>
      <c r="S22" s="19">
        <f t="shared" si="18"/>
        <v>9823907.5487034805</v>
      </c>
      <c r="T22" s="19">
        <f t="shared" si="18"/>
        <v>10219595.884086801</v>
      </c>
      <c r="U22" s="19">
        <f t="shared" si="18"/>
        <v>10806531.941399671</v>
      </c>
      <c r="V22" s="19">
        <f t="shared" si="18"/>
        <v>11755546.237518029</v>
      </c>
      <c r="W22" s="19">
        <f t="shared" si="18"/>
        <v>12533050.08200326</v>
      </c>
      <c r="X22" s="19">
        <f t="shared" si="18"/>
        <v>13555683.617735723</v>
      </c>
      <c r="Y22" s="64">
        <f t="shared" si="18"/>
        <v>14377913.811835857</v>
      </c>
      <c r="Z22" s="65">
        <f>Y22*(1+$D$28)</f>
        <v>14521692.949954215</v>
      </c>
      <c r="AA22" s="66">
        <f t="shared" ref="AA22:CK22" si="19">Z22*(1+$D$28)</f>
        <v>14666909.879453758</v>
      </c>
      <c r="AB22" s="66">
        <f t="shared" si="19"/>
        <v>14813578.978248296</v>
      </c>
      <c r="AC22" s="66">
        <f t="shared" si="19"/>
        <v>14961714.768030779</v>
      </c>
      <c r="AD22" s="66">
        <f t="shared" si="19"/>
        <v>15111331.915711088</v>
      </c>
      <c r="AE22" s="66">
        <f t="shared" si="19"/>
        <v>15262445.234868199</v>
      </c>
      <c r="AF22" s="66">
        <f t="shared" si="19"/>
        <v>15415069.687216882</v>
      </c>
      <c r="AG22" s="66">
        <f t="shared" si="19"/>
        <v>15569220.384089051</v>
      </c>
      <c r="AH22" s="66">
        <f t="shared" si="19"/>
        <v>15724912.587929942</v>
      </c>
      <c r="AI22" s="66">
        <f t="shared" si="19"/>
        <v>15882161.713809241</v>
      </c>
      <c r="AJ22" s="66">
        <f t="shared" si="19"/>
        <v>16040983.330947334</v>
      </c>
      <c r="AK22" s="66">
        <f t="shared" si="19"/>
        <v>16201393.164256807</v>
      </c>
      <c r="AL22" s="66">
        <f t="shared" si="19"/>
        <v>16363407.095899375</v>
      </c>
      <c r="AM22" s="66">
        <f t="shared" si="19"/>
        <v>16527041.166858369</v>
      </c>
      <c r="AN22" s="66">
        <f t="shared" si="19"/>
        <v>16692311.578526953</v>
      </c>
      <c r="AO22" s="66">
        <f t="shared" si="19"/>
        <v>16859234.694312222</v>
      </c>
      <c r="AP22" s="66">
        <f t="shared" si="19"/>
        <v>17027827.041255344</v>
      </c>
      <c r="AQ22" s="66">
        <f t="shared" si="19"/>
        <v>17198105.311667897</v>
      </c>
      <c r="AR22" s="66">
        <f t="shared" si="19"/>
        <v>17370086.364784576</v>
      </c>
      <c r="AS22" s="66">
        <f t="shared" si="19"/>
        <v>17543787.228432421</v>
      </c>
      <c r="AT22" s="66">
        <f t="shared" si="19"/>
        <v>17719225.100716744</v>
      </c>
      <c r="AU22" s="66">
        <f t="shared" si="19"/>
        <v>17896417.351723909</v>
      </c>
      <c r="AV22" s="66">
        <f t="shared" si="19"/>
        <v>18075381.525241148</v>
      </c>
      <c r="AW22" s="66">
        <f t="shared" si="19"/>
        <v>18256135.34049356</v>
      </c>
      <c r="AX22" s="66">
        <f t="shared" si="19"/>
        <v>18438696.693898495</v>
      </c>
      <c r="AY22" s="66">
        <f t="shared" si="19"/>
        <v>18623083.660837479</v>
      </c>
      <c r="AZ22" s="66">
        <f t="shared" si="19"/>
        <v>18809314.497445855</v>
      </c>
      <c r="BA22" s="66">
        <f t="shared" si="19"/>
        <v>18997407.642420314</v>
      </c>
      <c r="BB22" s="66">
        <f t="shared" si="19"/>
        <v>19187381.718844518</v>
      </c>
      <c r="BC22" s="66">
        <f t="shared" si="19"/>
        <v>19379255.536032964</v>
      </c>
      <c r="BD22" s="66">
        <f t="shared" si="19"/>
        <v>19573048.091393292</v>
      </c>
      <c r="BE22" s="66">
        <f t="shared" si="19"/>
        <v>19768778.572307225</v>
      </c>
      <c r="BF22" s="66">
        <f t="shared" si="19"/>
        <v>19966466.358030297</v>
      </c>
      <c r="BG22" s="66">
        <f t="shared" si="19"/>
        <v>20166131.021610599</v>
      </c>
      <c r="BH22" s="66">
        <f t="shared" si="19"/>
        <v>20367792.331826705</v>
      </c>
      <c r="BI22" s="66">
        <f t="shared" si="19"/>
        <v>20571470.255144972</v>
      </c>
      <c r="BJ22" s="66">
        <f t="shared" si="19"/>
        <v>20777184.957696423</v>
      </c>
      <c r="BK22" s="66">
        <f t="shared" si="19"/>
        <v>20984956.807273388</v>
      </c>
      <c r="BL22" s="66">
        <f t="shared" si="19"/>
        <v>21194806.37534612</v>
      </c>
      <c r="BM22" s="66">
        <f t="shared" si="19"/>
        <v>21406754.43909958</v>
      </c>
      <c r="BN22" s="66">
        <f t="shared" si="19"/>
        <v>21620821.983490575</v>
      </c>
      <c r="BO22" s="66">
        <f t="shared" si="19"/>
        <v>21837030.20332548</v>
      </c>
      <c r="BP22" s="66">
        <f t="shared" si="19"/>
        <v>22055400.505358737</v>
      </c>
      <c r="BQ22" s="66">
        <f t="shared" si="19"/>
        <v>22275954.510412324</v>
      </c>
      <c r="BR22" s="66">
        <f t="shared" si="19"/>
        <v>22498714.055516448</v>
      </c>
      <c r="BS22" s="66">
        <f t="shared" si="19"/>
        <v>22723701.196071614</v>
      </c>
      <c r="BT22" s="66">
        <f t="shared" si="19"/>
        <v>22950938.208032329</v>
      </c>
      <c r="BU22" s="66">
        <f t="shared" si="19"/>
        <v>23180447.590112653</v>
      </c>
      <c r="BV22" s="66">
        <f t="shared" si="19"/>
        <v>23412252.066013779</v>
      </c>
      <c r="BW22" s="66">
        <f t="shared" si="19"/>
        <v>23646374.586673919</v>
      </c>
      <c r="BX22" s="66">
        <f t="shared" si="19"/>
        <v>23882838.332540657</v>
      </c>
      <c r="BY22" s="66">
        <f t="shared" si="19"/>
        <v>24121666.715866063</v>
      </c>
      <c r="BZ22" s="66">
        <f t="shared" si="19"/>
        <v>24362883.383024722</v>
      </c>
      <c r="CA22" s="66">
        <f t="shared" si="19"/>
        <v>24606512.216854971</v>
      </c>
      <c r="CB22" s="66">
        <f t="shared" si="19"/>
        <v>24852577.339023519</v>
      </c>
      <c r="CC22" s="66">
        <f t="shared" si="19"/>
        <v>25101103.112413757</v>
      </c>
      <c r="CD22" s="66">
        <f t="shared" si="19"/>
        <v>25352114.143537894</v>
      </c>
      <c r="CE22" s="66">
        <f t="shared" si="19"/>
        <v>25605635.284973275</v>
      </c>
      <c r="CF22" s="66">
        <f t="shared" si="19"/>
        <v>25861691.637823008</v>
      </c>
      <c r="CG22" s="66">
        <f t="shared" si="19"/>
        <v>26120308.554201238</v>
      </c>
      <c r="CH22" s="66">
        <f t="shared" si="19"/>
        <v>26381511.63974325</v>
      </c>
      <c r="CI22" s="66">
        <f t="shared" si="19"/>
        <v>26645326.756140683</v>
      </c>
      <c r="CJ22" s="66">
        <f t="shared" si="19"/>
        <v>26911780.023702089</v>
      </c>
      <c r="CK22" s="63">
        <f t="shared" si="19"/>
        <v>27180897.823939111</v>
      </c>
    </row>
    <row r="23" spans="2:89" x14ac:dyDescent="0.5">
      <c r="B23" s="26"/>
      <c r="C23" s="8" t="s">
        <v>29</v>
      </c>
      <c r="D23" s="7">
        <f>D6/D19</f>
        <v>15.375349169740986</v>
      </c>
      <c r="E23" s="29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89" ht="14.7" thickBot="1" x14ac:dyDescent="0.55000000000000004">
      <c r="B24" s="38"/>
      <c r="C24" s="39"/>
      <c r="D24" s="39"/>
      <c r="E24" s="40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89" ht="14.7" thickBot="1" x14ac:dyDescent="0.55000000000000004"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89" x14ac:dyDescent="0.5">
      <c r="B26" s="23"/>
      <c r="C26" s="24"/>
      <c r="D26" s="24"/>
      <c r="E26" s="25"/>
      <c r="G26" s="15" t="s">
        <v>48</v>
      </c>
      <c r="H26" s="14" t="str">
        <f t="shared" ref="H26:AM26" si="20">H2</f>
        <v>FY</v>
      </c>
      <c r="I26" s="14" t="str">
        <f t="shared" si="20"/>
        <v>FY</v>
      </c>
      <c r="J26" s="14" t="str">
        <f t="shared" si="20"/>
        <v>FY</v>
      </c>
      <c r="K26" s="14" t="str">
        <f t="shared" si="20"/>
        <v>FY</v>
      </c>
      <c r="L26" s="14" t="str">
        <f t="shared" si="20"/>
        <v>FY</v>
      </c>
      <c r="M26" s="14" t="str">
        <f t="shared" si="20"/>
        <v>FY</v>
      </c>
      <c r="N26" s="14" t="str">
        <f t="shared" si="20"/>
        <v>FY</v>
      </c>
      <c r="O26" s="14" t="str">
        <f t="shared" si="20"/>
        <v>FY</v>
      </c>
      <c r="P26" s="14" t="str">
        <f t="shared" si="20"/>
        <v>FY</v>
      </c>
      <c r="Q26" s="14" t="str">
        <f t="shared" si="20"/>
        <v>FY</v>
      </c>
      <c r="R26" s="14" t="str">
        <f t="shared" si="20"/>
        <v>FY</v>
      </c>
      <c r="S26" s="14" t="str">
        <f t="shared" si="20"/>
        <v>FY</v>
      </c>
      <c r="T26" s="14" t="str">
        <f t="shared" si="20"/>
        <v>FY</v>
      </c>
      <c r="U26" s="14" t="str">
        <f t="shared" si="20"/>
        <v>FY</v>
      </c>
      <c r="V26" s="14" t="str">
        <f t="shared" si="20"/>
        <v>FY</v>
      </c>
      <c r="W26" s="14" t="str">
        <f t="shared" si="20"/>
        <v>FY</v>
      </c>
      <c r="X26" s="14" t="str">
        <f t="shared" si="20"/>
        <v>FY</v>
      </c>
      <c r="Y26" s="14" t="str">
        <f t="shared" si="20"/>
        <v>FY</v>
      </c>
      <c r="Z26" s="14" t="str">
        <f t="shared" si="20"/>
        <v>FY</v>
      </c>
      <c r="AA26" s="14" t="str">
        <f t="shared" si="20"/>
        <v>FY</v>
      </c>
      <c r="AB26" s="14" t="str">
        <f t="shared" si="20"/>
        <v>FY</v>
      </c>
      <c r="AC26" s="14" t="str">
        <f t="shared" si="20"/>
        <v>FY</v>
      </c>
      <c r="AD26" s="14" t="str">
        <f t="shared" si="20"/>
        <v>FY</v>
      </c>
      <c r="AE26" s="14" t="str">
        <f t="shared" si="20"/>
        <v>FY</v>
      </c>
      <c r="AF26" s="14" t="str">
        <f t="shared" si="20"/>
        <v>FY</v>
      </c>
      <c r="AG26" s="14" t="str">
        <f t="shared" si="20"/>
        <v>FY</v>
      </c>
      <c r="AH26" s="14" t="str">
        <f t="shared" si="20"/>
        <v>FY</v>
      </c>
      <c r="AI26" s="14" t="str">
        <f t="shared" si="20"/>
        <v>FY</v>
      </c>
      <c r="AJ26" s="14" t="str">
        <f t="shared" si="20"/>
        <v>FY</v>
      </c>
      <c r="AK26" s="14" t="str">
        <f t="shared" si="20"/>
        <v>FY</v>
      </c>
      <c r="AL26" s="14" t="str">
        <f t="shared" si="20"/>
        <v>FY</v>
      </c>
      <c r="AM26" s="14" t="str">
        <f t="shared" si="20"/>
        <v>FY</v>
      </c>
      <c r="AN26" s="14" t="str">
        <f t="shared" ref="AN26:BS26" si="21">AN2</f>
        <v>FY</v>
      </c>
      <c r="AO26" s="14" t="str">
        <f t="shared" si="21"/>
        <v>FY</v>
      </c>
      <c r="AP26" s="14" t="str">
        <f t="shared" si="21"/>
        <v>FY</v>
      </c>
      <c r="AQ26" s="14" t="str">
        <f t="shared" si="21"/>
        <v>FY</v>
      </c>
      <c r="AR26" s="14" t="str">
        <f t="shared" si="21"/>
        <v>FY</v>
      </c>
      <c r="AS26" s="14" t="str">
        <f t="shared" si="21"/>
        <v>FY</v>
      </c>
      <c r="AT26" s="14" t="str">
        <f t="shared" si="21"/>
        <v>FY</v>
      </c>
      <c r="AU26" s="14" t="str">
        <f t="shared" si="21"/>
        <v>FY</v>
      </c>
      <c r="AV26" s="14" t="str">
        <f t="shared" si="21"/>
        <v>FY</v>
      </c>
      <c r="AW26" s="14" t="str">
        <f t="shared" si="21"/>
        <v>FY</v>
      </c>
      <c r="AX26" s="14" t="str">
        <f t="shared" si="21"/>
        <v>FY</v>
      </c>
      <c r="AY26" s="14" t="str">
        <f t="shared" si="21"/>
        <v>FY</v>
      </c>
      <c r="AZ26" s="14" t="str">
        <f t="shared" si="21"/>
        <v>FY</v>
      </c>
      <c r="BA26" s="14" t="str">
        <f t="shared" si="21"/>
        <v>FY</v>
      </c>
      <c r="BB26" s="14" t="str">
        <f t="shared" si="21"/>
        <v>FY</v>
      </c>
      <c r="BC26" s="14" t="str">
        <f t="shared" si="21"/>
        <v>FY</v>
      </c>
      <c r="BD26" s="14" t="str">
        <f t="shared" si="21"/>
        <v>FY</v>
      </c>
      <c r="BE26" s="14" t="str">
        <f t="shared" si="21"/>
        <v>FY</v>
      </c>
      <c r="BF26" s="14" t="str">
        <f t="shared" si="21"/>
        <v>FY</v>
      </c>
      <c r="BG26" s="14" t="str">
        <f t="shared" si="21"/>
        <v>FY</v>
      </c>
      <c r="BH26" s="14" t="str">
        <f t="shared" si="21"/>
        <v>FY</v>
      </c>
      <c r="BI26" s="14" t="str">
        <f t="shared" si="21"/>
        <v>FY</v>
      </c>
      <c r="BJ26" s="14" t="str">
        <f t="shared" si="21"/>
        <v>FY</v>
      </c>
      <c r="BK26" s="14" t="str">
        <f t="shared" si="21"/>
        <v>FY</v>
      </c>
      <c r="BL26" s="14" t="str">
        <f t="shared" si="21"/>
        <v>FY</v>
      </c>
      <c r="BM26" s="14" t="str">
        <f t="shared" si="21"/>
        <v>FY</v>
      </c>
      <c r="BN26" s="14" t="str">
        <f t="shared" si="21"/>
        <v>FY</v>
      </c>
      <c r="BO26" s="14" t="str">
        <f t="shared" si="21"/>
        <v>FY</v>
      </c>
      <c r="BP26" s="14" t="str">
        <f t="shared" si="21"/>
        <v>FY</v>
      </c>
      <c r="BQ26" s="14" t="str">
        <f t="shared" si="21"/>
        <v>FY</v>
      </c>
      <c r="BR26" s="14" t="str">
        <f t="shared" si="21"/>
        <v>FY</v>
      </c>
      <c r="BS26" s="14" t="str">
        <f t="shared" si="21"/>
        <v>FY</v>
      </c>
      <c r="BT26" s="14" t="str">
        <f t="shared" ref="BT26:CK26" si="22">BT2</f>
        <v>FY</v>
      </c>
      <c r="BU26" s="14" t="str">
        <f t="shared" si="22"/>
        <v>FY</v>
      </c>
      <c r="BV26" s="14" t="str">
        <f t="shared" si="22"/>
        <v>FY</v>
      </c>
      <c r="BW26" s="14" t="str">
        <f t="shared" si="22"/>
        <v>FY</v>
      </c>
      <c r="BX26" s="14" t="str">
        <f t="shared" si="22"/>
        <v>FY</v>
      </c>
      <c r="BY26" s="14" t="str">
        <f t="shared" si="22"/>
        <v>FY</v>
      </c>
      <c r="BZ26" s="14" t="str">
        <f t="shared" si="22"/>
        <v>FY</v>
      </c>
      <c r="CA26" s="14" t="str">
        <f t="shared" si="22"/>
        <v>FY</v>
      </c>
      <c r="CB26" s="14" t="str">
        <f t="shared" si="22"/>
        <v>FY</v>
      </c>
      <c r="CC26" s="14" t="str">
        <f t="shared" si="22"/>
        <v>FY</v>
      </c>
      <c r="CD26" s="14" t="str">
        <f t="shared" si="22"/>
        <v>FY</v>
      </c>
      <c r="CE26" s="14" t="str">
        <f t="shared" si="22"/>
        <v>FY</v>
      </c>
      <c r="CF26" s="14" t="str">
        <f t="shared" si="22"/>
        <v>FY</v>
      </c>
      <c r="CG26" s="14" t="str">
        <f t="shared" si="22"/>
        <v>FY</v>
      </c>
      <c r="CH26" s="14" t="str">
        <f t="shared" si="22"/>
        <v>FY</v>
      </c>
      <c r="CI26" s="14" t="str">
        <f t="shared" si="22"/>
        <v>FY</v>
      </c>
      <c r="CJ26" s="14" t="str">
        <f t="shared" si="22"/>
        <v>FY</v>
      </c>
      <c r="CK26" s="14" t="str">
        <f t="shared" si="22"/>
        <v>FY</v>
      </c>
    </row>
    <row r="27" spans="2:89" x14ac:dyDescent="0.5">
      <c r="B27" s="26"/>
      <c r="C27" s="27" t="s">
        <v>38</v>
      </c>
      <c r="D27" s="46">
        <v>9.3200000000000005E-2</v>
      </c>
      <c r="E27" s="29"/>
      <c r="G27" s="9" t="s">
        <v>33</v>
      </c>
      <c r="H27" s="3">
        <f t="shared" ref="H27:AM27" si="23">H3</f>
        <v>2019</v>
      </c>
      <c r="I27" s="3">
        <v>2020</v>
      </c>
      <c r="J27" s="3">
        <v>2021</v>
      </c>
      <c r="K27" s="3">
        <v>2022</v>
      </c>
      <c r="L27" s="3">
        <v>2023</v>
      </c>
      <c r="M27" s="3">
        <v>2024</v>
      </c>
      <c r="N27" s="3">
        <v>2025</v>
      </c>
      <c r="O27" s="3">
        <v>2026</v>
      </c>
      <c r="P27" s="3">
        <v>2027</v>
      </c>
      <c r="Q27" s="3">
        <v>2028</v>
      </c>
      <c r="R27" s="3">
        <v>2029</v>
      </c>
      <c r="S27" s="3">
        <v>2030</v>
      </c>
      <c r="T27" s="3">
        <v>2031</v>
      </c>
      <c r="U27" s="3">
        <v>2032</v>
      </c>
      <c r="V27" s="3">
        <v>2033</v>
      </c>
      <c r="W27" s="3">
        <v>2034</v>
      </c>
      <c r="X27" s="3">
        <v>2035</v>
      </c>
      <c r="Y27" s="3">
        <v>2036</v>
      </c>
      <c r="Z27" s="3">
        <v>2037</v>
      </c>
      <c r="AA27" s="3">
        <v>2038</v>
      </c>
      <c r="AB27" s="3">
        <v>2039</v>
      </c>
      <c r="AC27" s="3">
        <v>2040</v>
      </c>
      <c r="AD27" s="3">
        <v>2041</v>
      </c>
      <c r="AE27" s="3">
        <v>2042</v>
      </c>
      <c r="AF27" s="3">
        <v>2043</v>
      </c>
      <c r="AG27" s="3">
        <v>2044</v>
      </c>
      <c r="AH27" s="3">
        <v>2045</v>
      </c>
      <c r="AI27" s="3">
        <v>2046</v>
      </c>
      <c r="AJ27" s="3">
        <v>2047</v>
      </c>
      <c r="AK27" s="3">
        <v>2048</v>
      </c>
      <c r="AL27" s="3">
        <v>2049</v>
      </c>
      <c r="AM27" s="3">
        <v>2050</v>
      </c>
      <c r="AN27" s="3">
        <v>2051</v>
      </c>
      <c r="AO27" s="3">
        <v>2052</v>
      </c>
      <c r="AP27" s="3">
        <v>2053</v>
      </c>
      <c r="AQ27" s="3">
        <v>2054</v>
      </c>
      <c r="AR27" s="3">
        <v>2055</v>
      </c>
      <c r="AS27" s="3">
        <v>2056</v>
      </c>
      <c r="AT27" s="3">
        <v>2057</v>
      </c>
      <c r="AU27" s="3">
        <v>2058</v>
      </c>
      <c r="AV27" s="3">
        <v>2059</v>
      </c>
      <c r="AW27" s="3">
        <v>2060</v>
      </c>
      <c r="AX27" s="3">
        <v>2061</v>
      </c>
      <c r="AY27" s="3">
        <v>2062</v>
      </c>
      <c r="AZ27" s="3">
        <v>2063</v>
      </c>
      <c r="BA27" s="3">
        <v>2064</v>
      </c>
      <c r="BB27" s="3">
        <v>2065</v>
      </c>
      <c r="BC27" s="3">
        <v>2066</v>
      </c>
      <c r="BD27" s="3">
        <v>2067</v>
      </c>
      <c r="BE27" s="3">
        <v>2068</v>
      </c>
      <c r="BF27" s="3">
        <v>2069</v>
      </c>
      <c r="BG27" s="3">
        <v>2070</v>
      </c>
      <c r="BH27" s="3">
        <v>2071</v>
      </c>
      <c r="BI27" s="3">
        <v>2072</v>
      </c>
      <c r="BJ27" s="3">
        <v>2073</v>
      </c>
      <c r="BK27" s="3">
        <v>2074</v>
      </c>
      <c r="BL27" s="3">
        <v>2075</v>
      </c>
      <c r="BM27" s="3">
        <v>2076</v>
      </c>
      <c r="BN27" s="3">
        <v>2077</v>
      </c>
      <c r="BO27" s="3">
        <v>2078</v>
      </c>
      <c r="BP27" s="3">
        <v>2079</v>
      </c>
      <c r="BQ27" s="3">
        <v>2080</v>
      </c>
      <c r="BR27" s="3">
        <v>2081</v>
      </c>
      <c r="BS27" s="3">
        <v>2082</v>
      </c>
      <c r="BT27" s="3">
        <v>2083</v>
      </c>
      <c r="BU27" s="3">
        <v>2084</v>
      </c>
      <c r="BV27" s="3">
        <v>2085</v>
      </c>
      <c r="BW27" s="3">
        <v>2086</v>
      </c>
      <c r="BX27" s="3">
        <v>2087</v>
      </c>
      <c r="BY27" s="3">
        <v>2088</v>
      </c>
      <c r="BZ27" s="3">
        <v>2089</v>
      </c>
      <c r="CA27" s="3">
        <v>2090</v>
      </c>
      <c r="CB27" s="3">
        <v>2091</v>
      </c>
      <c r="CC27" s="3">
        <v>2092</v>
      </c>
      <c r="CD27" s="3">
        <v>2093</v>
      </c>
      <c r="CE27" s="3">
        <v>2094</v>
      </c>
      <c r="CF27" s="3">
        <v>2095</v>
      </c>
      <c r="CG27" s="3">
        <v>2096</v>
      </c>
      <c r="CH27" s="3">
        <v>2097</v>
      </c>
      <c r="CI27" s="3">
        <v>2098</v>
      </c>
      <c r="CJ27" s="3">
        <v>2099</v>
      </c>
      <c r="CK27" s="3">
        <v>2100</v>
      </c>
    </row>
    <row r="28" spans="2:89" x14ac:dyDescent="0.5">
      <c r="B28" s="26"/>
      <c r="C28" s="30" t="s">
        <v>39</v>
      </c>
      <c r="D28" s="47">
        <v>0.01</v>
      </c>
      <c r="E28" s="29"/>
      <c r="G28" s="9" t="s">
        <v>10</v>
      </c>
      <c r="H28" s="48">
        <f t="shared" ref="H28:M28" si="24">SUM(H13:H14)</f>
        <v>64545</v>
      </c>
      <c r="I28" s="48">
        <f t="shared" si="24"/>
        <v>36260</v>
      </c>
      <c r="J28" s="48">
        <f t="shared" si="24"/>
        <v>-26127</v>
      </c>
      <c r="K28" s="48">
        <f t="shared" si="24"/>
        <v>-2187</v>
      </c>
      <c r="L28" s="48">
        <f t="shared" si="24"/>
        <v>232884</v>
      </c>
      <c r="M28" s="48">
        <f t="shared" si="24"/>
        <v>213287</v>
      </c>
      <c r="N28" s="48">
        <f>M28*1.3</f>
        <v>277273.10000000003</v>
      </c>
      <c r="O28" s="48">
        <f>N28*0.7</f>
        <v>194091.17</v>
      </c>
      <c r="P28" s="48">
        <f>O28*0.9</f>
        <v>174682.05300000001</v>
      </c>
      <c r="Q28" s="48">
        <f>P28*2</f>
        <v>349364.10600000003</v>
      </c>
      <c r="R28" s="48">
        <f>Q28*0.85</f>
        <v>296959.4901</v>
      </c>
      <c r="S28" s="48">
        <f>R28*2</f>
        <v>593918.98019999999</v>
      </c>
      <c r="T28" s="48">
        <f>S28*0.9</f>
        <v>534527.08218000003</v>
      </c>
      <c r="U28" s="48">
        <f t="shared" ref="U28:Y28" si="25">T28*0.9</f>
        <v>481074.37396200001</v>
      </c>
      <c r="V28" s="48">
        <f t="shared" si="25"/>
        <v>432966.93656580005</v>
      </c>
      <c r="W28" s="48">
        <f t="shared" si="25"/>
        <v>389670.24290922005</v>
      </c>
      <c r="X28" s="48">
        <f t="shared" si="25"/>
        <v>350703.21861829807</v>
      </c>
      <c r="Y28" s="48">
        <f t="shared" si="25"/>
        <v>315632.89675646828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</row>
    <row r="29" spans="2:89" x14ac:dyDescent="0.5">
      <c r="B29" s="26"/>
      <c r="C29" s="30" t="s">
        <v>36</v>
      </c>
      <c r="D29" s="31">
        <f>NPV(D27,N32:CK32)</f>
        <v>180200615.13341963</v>
      </c>
      <c r="E29" s="29"/>
      <c r="G29" s="9" t="s">
        <v>5</v>
      </c>
      <c r="H29" s="37">
        <f t="shared" ref="H29:Y29" si="26">H18</f>
        <v>1405556</v>
      </c>
      <c r="I29" s="37">
        <f t="shared" si="26"/>
        <v>1589018</v>
      </c>
      <c r="J29" s="37">
        <f t="shared" si="26"/>
        <v>5990545</v>
      </c>
      <c r="K29" s="37">
        <f t="shared" si="26"/>
        <v>2207207</v>
      </c>
      <c r="L29" s="37">
        <f t="shared" si="26"/>
        <v>2135802</v>
      </c>
      <c r="M29" s="37">
        <f t="shared" si="26"/>
        <v>2280126</v>
      </c>
      <c r="N29" s="37">
        <f t="shared" si="26"/>
        <v>2368508.1159940008</v>
      </c>
      <c r="O29" s="37">
        <f t="shared" si="26"/>
        <v>2424797.0118997004</v>
      </c>
      <c r="P29" s="37">
        <f t="shared" si="26"/>
        <v>2556235.4947178047</v>
      </c>
      <c r="Q29" s="37">
        <f t="shared" si="26"/>
        <v>2691194.2844312782</v>
      </c>
      <c r="R29" s="37">
        <f t="shared" si="26"/>
        <v>2880167.0714921765</v>
      </c>
      <c r="S29" s="37">
        <f t="shared" si="26"/>
        <v>3017801.6652879971</v>
      </c>
      <c r="T29" s="37">
        <f t="shared" si="26"/>
        <v>3139352.9840005203</v>
      </c>
      <c r="U29" s="37">
        <f t="shared" si="26"/>
        <v>3319653.6029136246</v>
      </c>
      <c r="V29" s="37">
        <f t="shared" si="26"/>
        <v>3611180.8703486752</v>
      </c>
      <c r="W29" s="37">
        <f t="shared" si="26"/>
        <v>3850021.9206153802</v>
      </c>
      <c r="X29" s="37">
        <f t="shared" si="26"/>
        <v>4164164.2485854831</v>
      </c>
      <c r="Y29" s="37">
        <f t="shared" si="26"/>
        <v>4416744.7657273542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</row>
    <row r="30" spans="2:89" ht="14.7" thickBot="1" x14ac:dyDescent="0.55000000000000004">
      <c r="B30" s="26"/>
      <c r="C30" s="33" t="s">
        <v>37</v>
      </c>
      <c r="D30" s="34">
        <f>D10/1000</f>
        <v>627000</v>
      </c>
      <c r="E30" s="29"/>
      <c r="G30" s="9" t="s">
        <v>49</v>
      </c>
      <c r="H30" s="37">
        <v>892760</v>
      </c>
      <c r="I30" s="37">
        <v>1773124</v>
      </c>
      <c r="J30" s="37">
        <v>1891242</v>
      </c>
      <c r="K30" s="37">
        <v>2088216</v>
      </c>
      <c r="L30" s="37">
        <v>2281085</v>
      </c>
      <c r="M30" s="37">
        <v>2168038</v>
      </c>
      <c r="N30" s="37">
        <v>2664549</v>
      </c>
      <c r="O30" s="37">
        <v>3123918</v>
      </c>
      <c r="P30" s="37">
        <v>3270506</v>
      </c>
      <c r="Q30" s="37">
        <v>3431436</v>
      </c>
      <c r="R30" s="37">
        <v>3682854</v>
      </c>
      <c r="S30" s="37">
        <v>4040714</v>
      </c>
      <c r="T30" s="37">
        <v>4848856.8</v>
      </c>
      <c r="U30" s="37">
        <v>5656999.5999999996</v>
      </c>
      <c r="V30" s="37">
        <v>6465142.3999999994</v>
      </c>
      <c r="W30" s="37">
        <v>7273285.1999999993</v>
      </c>
      <c r="X30" s="37">
        <v>8081428</v>
      </c>
      <c r="Y30" s="37">
        <v>5870704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</row>
    <row r="31" spans="2:89" ht="14.7" thickTop="1" x14ac:dyDescent="0.5">
      <c r="B31" s="26"/>
      <c r="C31" s="12" t="s">
        <v>34</v>
      </c>
      <c r="D31" s="13">
        <f>D29/D30</f>
        <v>287.40130005330087</v>
      </c>
      <c r="E31" s="29"/>
      <c r="G31" s="9" t="s">
        <v>21</v>
      </c>
      <c r="H31" s="37">
        <f>H19+H30+H29-H28</f>
        <v>7080012</v>
      </c>
      <c r="I31" s="37">
        <f t="shared" ref="H31:Y31" si="27">I19+I30+I29-I28</f>
        <v>8511195</v>
      </c>
      <c r="J31" s="37">
        <f t="shared" si="27"/>
        <v>9678485</v>
      </c>
      <c r="K31" s="37">
        <f t="shared" si="27"/>
        <v>11286570</v>
      </c>
      <c r="L31" s="37">
        <f t="shared" si="27"/>
        <v>11187533</v>
      </c>
      <c r="M31" s="37">
        <f t="shared" si="27"/>
        <v>11654074</v>
      </c>
      <c r="N31" s="37">
        <f t="shared" si="27"/>
        <v>12466033.840400005</v>
      </c>
      <c r="O31" s="37">
        <f t="shared" si="27"/>
        <v>13248111.987020003</v>
      </c>
      <c r="P31" s="37">
        <f t="shared" si="27"/>
        <v>13973421.796863001</v>
      </c>
      <c r="Q31" s="37">
        <f t="shared" si="27"/>
        <v>14533962.466047993</v>
      </c>
      <c r="R31" s="37">
        <f t="shared" si="27"/>
        <v>15641924.60135607</v>
      </c>
      <c r="S31" s="37">
        <f t="shared" si="27"/>
        <v>16288504.233791478</v>
      </c>
      <c r="T31" s="37">
        <f t="shared" si="27"/>
        <v>17673278.585907318</v>
      </c>
      <c r="U31" s="37">
        <f t="shared" si="27"/>
        <v>19302110.770351294</v>
      </c>
      <c r="V31" s="37">
        <f t="shared" si="27"/>
        <v>21398902.571300901</v>
      </c>
      <c r="W31" s="37">
        <f t="shared" si="27"/>
        <v>23266686.959709421</v>
      </c>
      <c r="X31" s="37">
        <f t="shared" si="27"/>
        <v>25450572.647702906</v>
      </c>
      <c r="Y31" s="37">
        <f t="shared" si="27"/>
        <v>24349729.680806745</v>
      </c>
      <c r="Z31" s="37">
        <f t="shared" ref="Z31:BE31" si="28">Y31*(1+$D$28)</f>
        <v>24593226.977614813</v>
      </c>
      <c r="AA31" s="37">
        <f t="shared" si="28"/>
        <v>24839159.247390959</v>
      </c>
      <c r="AB31" s="37">
        <f t="shared" si="28"/>
        <v>25087550.839864869</v>
      </c>
      <c r="AC31" s="37">
        <f t="shared" si="28"/>
        <v>25338426.348263517</v>
      </c>
      <c r="AD31" s="37">
        <f t="shared" si="28"/>
        <v>25591810.611746151</v>
      </c>
      <c r="AE31" s="37">
        <f t="shared" si="28"/>
        <v>25847728.717863612</v>
      </c>
      <c r="AF31" s="37">
        <f t="shared" si="28"/>
        <v>26106206.005042247</v>
      </c>
      <c r="AG31" s="37">
        <f t="shared" si="28"/>
        <v>26367268.065092672</v>
      </c>
      <c r="AH31" s="37">
        <f t="shared" si="28"/>
        <v>26630940.745743599</v>
      </c>
      <c r="AI31" s="37">
        <f t="shared" si="28"/>
        <v>26897250.153201036</v>
      </c>
      <c r="AJ31" s="37">
        <f t="shared" si="28"/>
        <v>27166222.654733047</v>
      </c>
      <c r="AK31" s="37">
        <f t="shared" si="28"/>
        <v>27437884.881280378</v>
      </c>
      <c r="AL31" s="37">
        <f t="shared" si="28"/>
        <v>27712263.730093181</v>
      </c>
      <c r="AM31" s="37">
        <f t="shared" si="28"/>
        <v>27989386.367394112</v>
      </c>
      <c r="AN31" s="37">
        <f t="shared" si="28"/>
        <v>28269280.231068052</v>
      </c>
      <c r="AO31" s="37">
        <f t="shared" si="28"/>
        <v>28551973.033378731</v>
      </c>
      <c r="AP31" s="37">
        <f t="shared" si="28"/>
        <v>28837492.763712518</v>
      </c>
      <c r="AQ31" s="37">
        <f t="shared" si="28"/>
        <v>29125867.691349644</v>
      </c>
      <c r="AR31" s="37">
        <f t="shared" si="28"/>
        <v>29417126.36826314</v>
      </c>
      <c r="AS31" s="37">
        <f t="shared" si="28"/>
        <v>29711297.63194577</v>
      </c>
      <c r="AT31" s="37">
        <f t="shared" si="28"/>
        <v>30008410.608265229</v>
      </c>
      <c r="AU31" s="37">
        <f t="shared" si="28"/>
        <v>30308494.71434788</v>
      </c>
      <c r="AV31" s="37">
        <f t="shared" si="28"/>
        <v>30611579.661491361</v>
      </c>
      <c r="AW31" s="37">
        <f t="shared" si="28"/>
        <v>30917695.458106276</v>
      </c>
      <c r="AX31" s="37">
        <f t="shared" si="28"/>
        <v>31226872.412687339</v>
      </c>
      <c r="AY31" s="37">
        <f t="shared" si="28"/>
        <v>31539141.136814214</v>
      </c>
      <c r="AZ31" s="37">
        <f t="shared" si="28"/>
        <v>31854532.548182357</v>
      </c>
      <c r="BA31" s="37">
        <f t="shared" si="28"/>
        <v>32173077.873664182</v>
      </c>
      <c r="BB31" s="37">
        <f t="shared" si="28"/>
        <v>32494808.652400825</v>
      </c>
      <c r="BC31" s="37">
        <f t="shared" si="28"/>
        <v>32819756.738924835</v>
      </c>
      <c r="BD31" s="37">
        <f t="shared" si="28"/>
        <v>33147954.306314085</v>
      </c>
      <c r="BE31" s="37">
        <f t="shared" si="28"/>
        <v>33479433.849377226</v>
      </c>
      <c r="BF31" s="37">
        <f t="shared" ref="BF31:CK31" si="29">BE31*(1+$D$28)</f>
        <v>33814228.187871002</v>
      </c>
      <c r="BG31" s="37">
        <f t="shared" si="29"/>
        <v>34152370.469749711</v>
      </c>
      <c r="BH31" s="37">
        <f t="shared" si="29"/>
        <v>34493894.174447209</v>
      </c>
      <c r="BI31" s="37">
        <f t="shared" si="29"/>
        <v>34838833.116191678</v>
      </c>
      <c r="BJ31" s="37">
        <f t="shared" si="29"/>
        <v>35187221.447353594</v>
      </c>
      <c r="BK31" s="37">
        <f t="shared" si="29"/>
        <v>35539093.661827132</v>
      </c>
      <c r="BL31" s="37">
        <f t="shared" si="29"/>
        <v>35894484.598445401</v>
      </c>
      <c r="BM31" s="37">
        <f t="shared" si="29"/>
        <v>36253429.444429852</v>
      </c>
      <c r="BN31" s="37">
        <f t="shared" si="29"/>
        <v>36615963.738874152</v>
      </c>
      <c r="BO31" s="37">
        <f t="shared" si="29"/>
        <v>36982123.376262896</v>
      </c>
      <c r="BP31" s="37">
        <f t="shared" si="29"/>
        <v>37351944.610025525</v>
      </c>
      <c r="BQ31" s="37">
        <f t="shared" si="29"/>
        <v>37725464.056125782</v>
      </c>
      <c r="BR31" s="37">
        <f t="shared" si="29"/>
        <v>38102718.696687043</v>
      </c>
      <c r="BS31" s="37">
        <f t="shared" si="29"/>
        <v>38483745.883653916</v>
      </c>
      <c r="BT31" s="37">
        <f t="shared" si="29"/>
        <v>38868583.342490457</v>
      </c>
      <c r="BU31" s="37">
        <f t="shared" si="29"/>
        <v>39257269.17591536</v>
      </c>
      <c r="BV31" s="37">
        <f t="shared" si="29"/>
        <v>39649841.867674515</v>
      </c>
      <c r="BW31" s="37">
        <f t="shared" si="29"/>
        <v>40046340.286351264</v>
      </c>
      <c r="BX31" s="37">
        <f t="shared" si="29"/>
        <v>40446803.689214773</v>
      </c>
      <c r="BY31" s="37">
        <f t="shared" si="29"/>
        <v>40851271.726106919</v>
      </c>
      <c r="BZ31" s="37">
        <f t="shared" si="29"/>
        <v>41259784.443367988</v>
      </c>
      <c r="CA31" s="37">
        <f t="shared" si="29"/>
        <v>41672382.287801668</v>
      </c>
      <c r="CB31" s="37">
        <f t="shared" si="29"/>
        <v>42089106.110679686</v>
      </c>
      <c r="CC31" s="37">
        <f t="shared" si="29"/>
        <v>42509997.17178648</v>
      </c>
      <c r="CD31" s="37">
        <f t="shared" si="29"/>
        <v>42935097.143504344</v>
      </c>
      <c r="CE31" s="37">
        <f t="shared" si="29"/>
        <v>43364448.114939384</v>
      </c>
      <c r="CF31" s="37">
        <f t="shared" si="29"/>
        <v>43798092.596088782</v>
      </c>
      <c r="CG31" s="37">
        <f t="shared" si="29"/>
        <v>44236073.522049673</v>
      </c>
      <c r="CH31" s="37">
        <f t="shared" si="29"/>
        <v>44678434.257270172</v>
      </c>
      <c r="CI31" s="37">
        <f t="shared" si="29"/>
        <v>45125218.599842876</v>
      </c>
      <c r="CJ31" s="37">
        <f t="shared" si="29"/>
        <v>45576470.785841309</v>
      </c>
      <c r="CK31" s="37">
        <f t="shared" si="29"/>
        <v>46032235.493699722</v>
      </c>
    </row>
    <row r="32" spans="2:89" x14ac:dyDescent="0.5">
      <c r="B32" s="26"/>
      <c r="C32" s="6" t="s">
        <v>35</v>
      </c>
      <c r="D32" s="5">
        <v>287.31</v>
      </c>
      <c r="E32" s="29"/>
      <c r="G32" s="9" t="s">
        <v>44</v>
      </c>
      <c r="H32" s="50">
        <f t="shared" ref="H32:Y32" si="30">H19+H30-H28</f>
        <v>5674456</v>
      </c>
      <c r="I32" s="50">
        <f t="shared" si="30"/>
        <v>6922177</v>
      </c>
      <c r="J32" s="50">
        <f t="shared" si="30"/>
        <v>3687940</v>
      </c>
      <c r="K32" s="50">
        <f t="shared" si="30"/>
        <v>9079363</v>
      </c>
      <c r="L32" s="50">
        <f t="shared" si="30"/>
        <v>9051731</v>
      </c>
      <c r="M32" s="50">
        <f t="shared" si="30"/>
        <v>9373948</v>
      </c>
      <c r="N32" s="50">
        <f t="shared" si="30"/>
        <v>10097525.724406004</v>
      </c>
      <c r="O32" s="50">
        <f t="shared" si="30"/>
        <v>10823314.975120302</v>
      </c>
      <c r="P32" s="50">
        <f t="shared" si="30"/>
        <v>11417186.302145196</v>
      </c>
      <c r="Q32" s="50">
        <f t="shared" si="30"/>
        <v>11842768.181616714</v>
      </c>
      <c r="R32" s="50">
        <f t="shared" si="30"/>
        <v>12761757.529863894</v>
      </c>
      <c r="S32" s="50">
        <f t="shared" si="30"/>
        <v>13270702.56850348</v>
      </c>
      <c r="T32" s="50">
        <f t="shared" si="30"/>
        <v>14533925.601906799</v>
      </c>
      <c r="U32" s="50">
        <f t="shared" si="30"/>
        <v>15982457.167437671</v>
      </c>
      <c r="V32" s="50">
        <f t="shared" si="30"/>
        <v>17787721.700952228</v>
      </c>
      <c r="W32" s="50">
        <f t="shared" si="30"/>
        <v>19416665.039094042</v>
      </c>
      <c r="X32" s="50">
        <f t="shared" si="30"/>
        <v>21286408.399117421</v>
      </c>
      <c r="Y32" s="50">
        <f t="shared" si="30"/>
        <v>19932984.915079389</v>
      </c>
      <c r="Z32" s="50">
        <f t="shared" ref="Z32:BE32" si="31">Y32*(1+$D$28)</f>
        <v>20132314.764230184</v>
      </c>
      <c r="AA32" s="50">
        <f t="shared" si="31"/>
        <v>20333637.911872488</v>
      </c>
      <c r="AB32" s="50">
        <f t="shared" si="31"/>
        <v>20536974.290991213</v>
      </c>
      <c r="AC32" s="50">
        <f t="shared" si="31"/>
        <v>20742344.033901125</v>
      </c>
      <c r="AD32" s="50">
        <f t="shared" si="31"/>
        <v>20949767.474240135</v>
      </c>
      <c r="AE32" s="50">
        <f t="shared" si="31"/>
        <v>21159265.148982536</v>
      </c>
      <c r="AF32" s="50">
        <f t="shared" si="31"/>
        <v>21370857.80047236</v>
      </c>
      <c r="AG32" s="50">
        <f t="shared" si="31"/>
        <v>21584566.378477085</v>
      </c>
      <c r="AH32" s="50">
        <f t="shared" si="31"/>
        <v>21800412.042261858</v>
      </c>
      <c r="AI32" s="50">
        <f t="shared" si="31"/>
        <v>22018416.162684478</v>
      </c>
      <c r="AJ32" s="50">
        <f t="shared" si="31"/>
        <v>22238600.324311323</v>
      </c>
      <c r="AK32" s="50">
        <f t="shared" si="31"/>
        <v>22460986.327554438</v>
      </c>
      <c r="AL32" s="50">
        <f t="shared" si="31"/>
        <v>22685596.190829981</v>
      </c>
      <c r="AM32" s="50">
        <f t="shared" si="31"/>
        <v>22912452.152738281</v>
      </c>
      <c r="AN32" s="50">
        <f t="shared" si="31"/>
        <v>23141576.674265664</v>
      </c>
      <c r="AO32" s="50">
        <f t="shared" si="31"/>
        <v>23372992.441008322</v>
      </c>
      <c r="AP32" s="50">
        <f t="shared" si="31"/>
        <v>23606722.365418404</v>
      </c>
      <c r="AQ32" s="50">
        <f t="shared" si="31"/>
        <v>23842789.589072589</v>
      </c>
      <c r="AR32" s="50">
        <f t="shared" si="31"/>
        <v>24081217.484963316</v>
      </c>
      <c r="AS32" s="50">
        <f t="shared" si="31"/>
        <v>24322029.65981295</v>
      </c>
      <c r="AT32" s="50">
        <f t="shared" si="31"/>
        <v>24565249.956411079</v>
      </c>
      <c r="AU32" s="50">
        <f t="shared" si="31"/>
        <v>24810902.45597519</v>
      </c>
      <c r="AV32" s="50">
        <f t="shared" si="31"/>
        <v>25059011.480534941</v>
      </c>
      <c r="AW32" s="50">
        <f t="shared" si="31"/>
        <v>25309601.595340289</v>
      </c>
      <c r="AX32" s="50">
        <f t="shared" si="31"/>
        <v>25562697.611293692</v>
      </c>
      <c r="AY32" s="50">
        <f t="shared" si="31"/>
        <v>25818324.587406628</v>
      </c>
      <c r="AZ32" s="50">
        <f t="shared" si="31"/>
        <v>26076507.833280694</v>
      </c>
      <c r="BA32" s="50">
        <f t="shared" si="31"/>
        <v>26337272.911613502</v>
      </c>
      <c r="BB32" s="50">
        <f t="shared" si="31"/>
        <v>26600645.640729636</v>
      </c>
      <c r="BC32" s="50">
        <f t="shared" si="31"/>
        <v>26866652.097136933</v>
      </c>
      <c r="BD32" s="50">
        <f t="shared" si="31"/>
        <v>27135318.618108302</v>
      </c>
      <c r="BE32" s="50">
        <f t="shared" si="31"/>
        <v>27406671.804289386</v>
      </c>
      <c r="BF32" s="50">
        <f t="shared" ref="BF32:CK32" si="32">BE32*(1+$D$28)</f>
        <v>27680738.522332281</v>
      </c>
      <c r="BG32" s="50">
        <f t="shared" si="32"/>
        <v>27957545.907555602</v>
      </c>
      <c r="BH32" s="50">
        <f t="shared" si="32"/>
        <v>28237121.366631158</v>
      </c>
      <c r="BI32" s="50">
        <f t="shared" si="32"/>
        <v>28519492.58029747</v>
      </c>
      <c r="BJ32" s="50">
        <f t="shared" si="32"/>
        <v>28804687.506100446</v>
      </c>
      <c r="BK32" s="50">
        <f t="shared" si="32"/>
        <v>29092734.381161451</v>
      </c>
      <c r="BL32" s="50">
        <f t="shared" si="32"/>
        <v>29383661.724973068</v>
      </c>
      <c r="BM32" s="50">
        <f t="shared" si="32"/>
        <v>29677498.342222799</v>
      </c>
      <c r="BN32" s="50">
        <f t="shared" si="32"/>
        <v>29974273.325645026</v>
      </c>
      <c r="BO32" s="50">
        <f t="shared" si="32"/>
        <v>30274016.058901478</v>
      </c>
      <c r="BP32" s="50">
        <f t="shared" si="32"/>
        <v>30576756.219490491</v>
      </c>
      <c r="BQ32" s="50">
        <f t="shared" si="32"/>
        <v>30882523.781685397</v>
      </c>
      <c r="BR32" s="50">
        <f t="shared" si="32"/>
        <v>31191349.019502252</v>
      </c>
      <c r="BS32" s="50">
        <f t="shared" si="32"/>
        <v>31503262.509697273</v>
      </c>
      <c r="BT32" s="50">
        <f t="shared" si="32"/>
        <v>31818295.134794246</v>
      </c>
      <c r="BU32" s="50">
        <f t="shared" si="32"/>
        <v>32136478.08614219</v>
      </c>
      <c r="BV32" s="50">
        <f t="shared" si="32"/>
        <v>32457842.867003612</v>
      </c>
      <c r="BW32" s="50">
        <f t="shared" si="32"/>
        <v>32782421.29567365</v>
      </c>
      <c r="BX32" s="50">
        <f t="shared" si="32"/>
        <v>33110245.508630387</v>
      </c>
      <c r="BY32" s="50">
        <f t="shared" si="32"/>
        <v>33441347.963716693</v>
      </c>
      <c r="BZ32" s="50">
        <f t="shared" si="32"/>
        <v>33775761.443353862</v>
      </c>
      <c r="CA32" s="50">
        <f t="shared" si="32"/>
        <v>34113519.057787403</v>
      </c>
      <c r="CB32" s="50">
        <f t="shared" si="32"/>
        <v>34454654.248365276</v>
      </c>
      <c r="CC32" s="50">
        <f t="shared" si="32"/>
        <v>34799200.790848926</v>
      </c>
      <c r="CD32" s="50">
        <f t="shared" si="32"/>
        <v>35147192.798757419</v>
      </c>
      <c r="CE32" s="50">
        <f t="shared" si="32"/>
        <v>35498664.726744995</v>
      </c>
      <c r="CF32" s="50">
        <f t="shared" si="32"/>
        <v>35853651.374012448</v>
      </c>
      <c r="CG32" s="50">
        <f t="shared" si="32"/>
        <v>36212187.88775257</v>
      </c>
      <c r="CH32" s="50">
        <f t="shared" si="32"/>
        <v>36574309.766630098</v>
      </c>
      <c r="CI32" s="50">
        <f t="shared" si="32"/>
        <v>36940052.864296399</v>
      </c>
      <c r="CJ32" s="50">
        <f t="shared" si="32"/>
        <v>37309453.392939366</v>
      </c>
      <c r="CK32" s="50">
        <f t="shared" si="32"/>
        <v>37682547.926868759</v>
      </c>
    </row>
    <row r="33" spans="2:26" ht="14.7" thickBot="1" x14ac:dyDescent="0.55000000000000004">
      <c r="B33" s="38"/>
      <c r="C33" s="39"/>
      <c r="D33" s="39"/>
      <c r="E33" s="40"/>
    </row>
    <row r="34" spans="2:26" ht="14.7" thickBot="1" x14ac:dyDescent="0.55000000000000004">
      <c r="G34" s="15" t="s">
        <v>42</v>
      </c>
      <c r="H34" s="2" t="str">
        <f t="shared" ref="H34:Y34" si="33">H2</f>
        <v>FY</v>
      </c>
      <c r="I34" s="2" t="str">
        <f t="shared" si="33"/>
        <v>FY</v>
      </c>
      <c r="J34" s="2" t="str">
        <f t="shared" si="33"/>
        <v>FY</v>
      </c>
      <c r="K34" s="2" t="str">
        <f t="shared" si="33"/>
        <v>FY</v>
      </c>
      <c r="L34" s="2" t="str">
        <f t="shared" si="33"/>
        <v>FY</v>
      </c>
      <c r="M34" s="2" t="str">
        <f t="shared" si="33"/>
        <v>FY</v>
      </c>
      <c r="N34" s="2" t="str">
        <f t="shared" si="33"/>
        <v>FY</v>
      </c>
      <c r="O34" s="2" t="str">
        <f t="shared" si="33"/>
        <v>FY</v>
      </c>
      <c r="P34" s="2" t="str">
        <f t="shared" si="33"/>
        <v>FY</v>
      </c>
      <c r="Q34" s="2" t="str">
        <f t="shared" si="33"/>
        <v>FY</v>
      </c>
      <c r="R34" s="2" t="str">
        <f t="shared" si="33"/>
        <v>FY</v>
      </c>
      <c r="S34" s="2" t="str">
        <f t="shared" si="33"/>
        <v>FY</v>
      </c>
      <c r="T34" s="2" t="str">
        <f t="shared" si="33"/>
        <v>FY</v>
      </c>
      <c r="U34" s="2" t="str">
        <f t="shared" si="33"/>
        <v>FY</v>
      </c>
      <c r="V34" s="2" t="str">
        <f t="shared" si="33"/>
        <v>FY</v>
      </c>
      <c r="W34" s="2" t="str">
        <f t="shared" si="33"/>
        <v>FY</v>
      </c>
      <c r="X34" s="2" t="str">
        <f t="shared" si="33"/>
        <v>FY</v>
      </c>
      <c r="Y34" s="2" t="str">
        <f t="shared" si="33"/>
        <v>FY</v>
      </c>
    </row>
    <row r="35" spans="2:26" x14ac:dyDescent="0.5">
      <c r="B35" s="23"/>
      <c r="C35" s="24"/>
      <c r="D35" s="51"/>
      <c r="E35" s="25"/>
      <c r="G35" s="15" t="s">
        <v>43</v>
      </c>
      <c r="H35" s="3">
        <f t="shared" ref="H35:Y35" si="34">H3</f>
        <v>2019</v>
      </c>
      <c r="I35" s="3">
        <f t="shared" si="34"/>
        <v>2020</v>
      </c>
      <c r="J35" s="3">
        <f t="shared" si="34"/>
        <v>2021</v>
      </c>
      <c r="K35" s="3">
        <f t="shared" si="34"/>
        <v>2022</v>
      </c>
      <c r="L35" s="3">
        <f t="shared" si="34"/>
        <v>2023</v>
      </c>
      <c r="M35" s="3">
        <f t="shared" si="34"/>
        <v>2024</v>
      </c>
      <c r="N35" s="3">
        <f t="shared" si="34"/>
        <v>2025</v>
      </c>
      <c r="O35" s="3">
        <f t="shared" si="34"/>
        <v>2026</v>
      </c>
      <c r="P35" s="3">
        <f t="shared" si="34"/>
        <v>2027</v>
      </c>
      <c r="Q35" s="3">
        <f t="shared" si="34"/>
        <v>2028</v>
      </c>
      <c r="R35" s="3">
        <f t="shared" si="34"/>
        <v>2029</v>
      </c>
      <c r="S35" s="3">
        <f t="shared" si="34"/>
        <v>2030</v>
      </c>
      <c r="T35" s="3">
        <f t="shared" si="34"/>
        <v>2031</v>
      </c>
      <c r="U35" s="3">
        <f t="shared" si="34"/>
        <v>2032</v>
      </c>
      <c r="V35" s="3">
        <f t="shared" si="34"/>
        <v>2033</v>
      </c>
      <c r="W35" s="3">
        <f t="shared" si="34"/>
        <v>2034</v>
      </c>
      <c r="X35" s="3">
        <f t="shared" si="34"/>
        <v>2035</v>
      </c>
      <c r="Y35" s="3">
        <f t="shared" si="34"/>
        <v>2036</v>
      </c>
    </row>
    <row r="36" spans="2:26" x14ac:dyDescent="0.5">
      <c r="B36" s="26"/>
      <c r="C36" s="59" t="s">
        <v>54</v>
      </c>
      <c r="D36" s="60"/>
      <c r="E36" s="29"/>
      <c r="G36" s="9" t="s">
        <v>6</v>
      </c>
      <c r="H36" s="52">
        <f t="shared" ref="H36:Y36" si="35">H12/H5</f>
        <v>0.14590008338074548</v>
      </c>
      <c r="I36" s="52">
        <f t="shared" si="35"/>
        <v>0.14694516365056551</v>
      </c>
      <c r="J36" s="52">
        <f t="shared" si="35"/>
        <v>0.15082164784158847</v>
      </c>
      <c r="K36" s="52">
        <f t="shared" si="35"/>
        <v>0.15207868649544792</v>
      </c>
      <c r="L36" s="52">
        <f t="shared" si="35"/>
        <v>0.13741458760793362</v>
      </c>
      <c r="M36" s="52">
        <f t="shared" si="35"/>
        <v>0.14786394217102491</v>
      </c>
      <c r="N36" s="52">
        <f t="shared" si="35"/>
        <v>0.14524110634059176</v>
      </c>
      <c r="O36" s="52">
        <f t="shared" si="35"/>
        <v>0.14243965003824893</v>
      </c>
      <c r="P36" s="52">
        <f t="shared" si="35"/>
        <v>0.14454293080069602</v>
      </c>
      <c r="Q36" s="52">
        <f t="shared" si="35"/>
        <v>0.14456970215727863</v>
      </c>
      <c r="R36" s="52">
        <f t="shared" si="35"/>
        <v>0.14596117968255831</v>
      </c>
      <c r="S36" s="52">
        <f t="shared" si="35"/>
        <v>0.14624641183190004</v>
      </c>
      <c r="T36" s="52">
        <f t="shared" si="35"/>
        <v>0.14816159587568481</v>
      </c>
      <c r="U36" s="52">
        <f t="shared" si="35"/>
        <v>0.14890638536067746</v>
      </c>
      <c r="V36" s="52">
        <f t="shared" si="35"/>
        <v>0.15265631833742527</v>
      </c>
      <c r="W36" s="52">
        <f t="shared" si="35"/>
        <v>0.15467952047451547</v>
      </c>
      <c r="X36" s="52">
        <f t="shared" si="35"/>
        <v>0.15806871091498975</v>
      </c>
      <c r="Y36" s="52">
        <f t="shared" si="35"/>
        <v>0.16179126520817178</v>
      </c>
      <c r="Z36" s="53"/>
    </row>
    <row r="37" spans="2:26" x14ac:dyDescent="0.5">
      <c r="B37" s="26"/>
      <c r="C37" s="61"/>
      <c r="D37" s="62"/>
      <c r="E37" s="29"/>
      <c r="G37" s="9" t="s">
        <v>7</v>
      </c>
      <c r="H37" s="54">
        <f t="shared" ref="H37:Y37" si="36">H22/H5</f>
        <v>0.11338610496310622</v>
      </c>
      <c r="I37" s="54">
        <f t="shared" si="36"/>
        <v>0.11523077370451024</v>
      </c>
      <c r="J37" s="54">
        <f t="shared" si="36"/>
        <v>3.3380603070179996E-2</v>
      </c>
      <c r="K37" s="54">
        <f t="shared" si="36"/>
        <v>0.11165267633103418</v>
      </c>
      <c r="L37" s="54">
        <f t="shared" si="36"/>
        <v>0.10718093853162163</v>
      </c>
      <c r="M37" s="54">
        <f t="shared" si="36"/>
        <v>0.11194426556121763</v>
      </c>
      <c r="N37" s="54">
        <f t="shared" si="36"/>
        <v>0.11315092715780108</v>
      </c>
      <c r="O37" s="54">
        <f t="shared" si="36"/>
        <v>0.11032382959236835</v>
      </c>
      <c r="P37" s="54">
        <f t="shared" si="36"/>
        <v>0.11076575255901235</v>
      </c>
      <c r="Q37" s="54">
        <f t="shared" si="36"/>
        <v>0.11106069687744964</v>
      </c>
      <c r="R37" s="54">
        <f t="shared" si="36"/>
        <v>0.1131992955635564</v>
      </c>
      <c r="S37" s="54">
        <f t="shared" si="36"/>
        <v>0.11296071644176678</v>
      </c>
      <c r="T37" s="54">
        <f t="shared" si="36"/>
        <v>0.1119148185992864</v>
      </c>
      <c r="U37" s="54">
        <f t="shared" si="36"/>
        <v>0.11270700642425727</v>
      </c>
      <c r="V37" s="54">
        <f t="shared" si="36"/>
        <v>0.11676645309542133</v>
      </c>
      <c r="W37" s="54">
        <f t="shared" si="36"/>
        <v>0.11856124476415077</v>
      </c>
      <c r="X37" s="54">
        <f t="shared" si="36"/>
        <v>0.12212880289900517</v>
      </c>
      <c r="Y37" s="54">
        <f t="shared" si="36"/>
        <v>0.12336820702222154</v>
      </c>
      <c r="Z37" s="53"/>
    </row>
    <row r="38" spans="2:26" ht="14.7" thickBot="1" x14ac:dyDescent="0.55000000000000004">
      <c r="B38" s="38"/>
      <c r="C38" s="39"/>
      <c r="D38" s="39"/>
      <c r="E38" s="40"/>
      <c r="G38" s="9" t="s">
        <v>30</v>
      </c>
      <c r="H38" s="55">
        <f t="shared" ref="H38:Y38" si="37">H18/H17</f>
        <v>0.22482431851194146</v>
      </c>
      <c r="I38" s="55">
        <f t="shared" si="37"/>
        <v>0.23456456438281506</v>
      </c>
      <c r="J38" s="55">
        <f t="shared" si="37"/>
        <v>0.77186644291877615</v>
      </c>
      <c r="K38" s="55">
        <f t="shared" si="37"/>
        <v>0.24001380140225814</v>
      </c>
      <c r="L38" s="55">
        <f t="shared" si="37"/>
        <v>0.23369344717972823</v>
      </c>
      <c r="M38" s="55">
        <f t="shared" si="37"/>
        <v>0.23508094327820611</v>
      </c>
      <c r="N38" s="55">
        <f t="shared" si="37"/>
        <v>0.23499999999999999</v>
      </c>
      <c r="O38" s="55">
        <f t="shared" si="37"/>
        <v>0.23499999999999999</v>
      </c>
      <c r="P38" s="55">
        <f t="shared" si="37"/>
        <v>0.23499999999999996</v>
      </c>
      <c r="Q38" s="55">
        <f t="shared" si="37"/>
        <v>0.23499999999999999</v>
      </c>
      <c r="R38" s="55">
        <f t="shared" si="37"/>
        <v>0.23499999999999999</v>
      </c>
      <c r="S38" s="55">
        <f t="shared" si="37"/>
        <v>0.23499999999999999</v>
      </c>
      <c r="T38" s="55">
        <f t="shared" si="37"/>
        <v>0.23499999999999999</v>
      </c>
      <c r="U38" s="55">
        <f t="shared" si="37"/>
        <v>0.23499999999999999</v>
      </c>
      <c r="V38" s="55">
        <f t="shared" si="37"/>
        <v>0.23499999999999999</v>
      </c>
      <c r="W38" s="55">
        <f t="shared" si="37"/>
        <v>0.23499999999999999</v>
      </c>
      <c r="X38" s="55">
        <f t="shared" si="37"/>
        <v>0.23499999999999999</v>
      </c>
      <c r="Y38" s="55">
        <f t="shared" si="37"/>
        <v>0.23499999999999999</v>
      </c>
      <c r="Z38" s="53"/>
    </row>
    <row r="39" spans="2:26" ht="14.7" thickBot="1" x14ac:dyDescent="0.55000000000000004"/>
    <row r="40" spans="2:26" x14ac:dyDescent="0.5">
      <c r="B40" s="23"/>
      <c r="C40" s="24"/>
      <c r="D40" s="24"/>
      <c r="E40" s="25"/>
      <c r="G40" s="15" t="s">
        <v>40</v>
      </c>
      <c r="H40" s="21" t="s">
        <v>31</v>
      </c>
      <c r="I40" s="21" t="str">
        <f t="shared" ref="I40:Y40" si="38">_xlfn.CONCAT(H3,"-",I3)</f>
        <v>2019-2020</v>
      </c>
      <c r="J40" s="21" t="str">
        <f t="shared" si="38"/>
        <v>2020-2021</v>
      </c>
      <c r="K40" s="21" t="str">
        <f t="shared" si="38"/>
        <v>2021-2022</v>
      </c>
      <c r="L40" s="21" t="str">
        <f t="shared" si="38"/>
        <v>2022-2023</v>
      </c>
      <c r="M40" s="21" t="str">
        <f t="shared" si="38"/>
        <v>2023-2024</v>
      </c>
      <c r="N40" s="21" t="str">
        <f t="shared" si="38"/>
        <v>2024-2025</v>
      </c>
      <c r="O40" s="21" t="str">
        <f t="shared" si="38"/>
        <v>2025-2026</v>
      </c>
      <c r="P40" s="21" t="str">
        <f t="shared" si="38"/>
        <v>2026-2027</v>
      </c>
      <c r="Q40" s="21" t="str">
        <f t="shared" si="38"/>
        <v>2027-2028</v>
      </c>
      <c r="R40" s="21" t="str">
        <f t="shared" si="38"/>
        <v>2028-2029</v>
      </c>
      <c r="S40" s="21" t="str">
        <f t="shared" si="38"/>
        <v>2029-2030</v>
      </c>
      <c r="T40" s="21" t="str">
        <f t="shared" si="38"/>
        <v>2030-2031</v>
      </c>
      <c r="U40" s="21" t="str">
        <f t="shared" si="38"/>
        <v>2031-2032</v>
      </c>
      <c r="V40" s="21" t="str">
        <f t="shared" si="38"/>
        <v>2032-2033</v>
      </c>
      <c r="W40" s="21" t="str">
        <f t="shared" si="38"/>
        <v>2033-2034</v>
      </c>
      <c r="X40" s="21" t="str">
        <f t="shared" si="38"/>
        <v>2034-2035</v>
      </c>
      <c r="Y40" s="21" t="str">
        <f t="shared" si="38"/>
        <v>2035-2036</v>
      </c>
    </row>
    <row r="41" spans="2:26" x14ac:dyDescent="0.5">
      <c r="B41" s="26"/>
      <c r="C41" s="27" t="s">
        <v>55</v>
      </c>
      <c r="D41" s="28">
        <f>M12</f>
        <v>9595847</v>
      </c>
      <c r="E41" s="56"/>
      <c r="G41" s="9" t="s">
        <v>0</v>
      </c>
      <c r="H41" s="16" t="s">
        <v>32</v>
      </c>
      <c r="I41" s="54">
        <f t="shared" ref="I41:Y41" si="39">(I5/H5)-1</f>
        <v>2.5732399987939303E-2</v>
      </c>
      <c r="J41" s="54">
        <f t="shared" si="39"/>
        <v>0.14001273579315776</v>
      </c>
      <c r="K41" s="54">
        <f t="shared" si="39"/>
        <v>0.21888332088710705</v>
      </c>
      <c r="L41" s="54">
        <f t="shared" si="39"/>
        <v>4.087131107332076E-2</v>
      </c>
      <c r="M41" s="54">
        <f t="shared" si="39"/>
        <v>1.2239863382286664E-2</v>
      </c>
      <c r="N41" s="54">
        <f t="shared" si="39"/>
        <v>5.0000000000000044E-2</v>
      </c>
      <c r="O41" s="54">
        <f t="shared" si="39"/>
        <v>5.0000000000000044E-2</v>
      </c>
      <c r="P41" s="54">
        <f t="shared" si="39"/>
        <v>5.0000000000000044E-2</v>
      </c>
      <c r="Q41" s="54">
        <f t="shared" si="39"/>
        <v>5.0000000000000044E-2</v>
      </c>
      <c r="R41" s="54">
        <f t="shared" si="39"/>
        <v>5.0000000000000044E-2</v>
      </c>
      <c r="S41" s="54">
        <f t="shared" si="39"/>
        <v>5.0000000000000044E-2</v>
      </c>
      <c r="T41" s="54">
        <f t="shared" si="39"/>
        <v>5.0000000000000044E-2</v>
      </c>
      <c r="U41" s="54">
        <f t="shared" si="39"/>
        <v>5.0000000000000044E-2</v>
      </c>
      <c r="V41" s="54">
        <f t="shared" si="39"/>
        <v>5.0000000000000044E-2</v>
      </c>
      <c r="W41" s="54">
        <f t="shared" si="39"/>
        <v>5.0000000000000044E-2</v>
      </c>
      <c r="X41" s="54">
        <f t="shared" si="39"/>
        <v>5.0000000000000044E-2</v>
      </c>
      <c r="Y41" s="54">
        <f t="shared" si="39"/>
        <v>5.0000000000000044E-2</v>
      </c>
    </row>
    <row r="42" spans="2:26" x14ac:dyDescent="0.5">
      <c r="B42" s="26"/>
      <c r="C42" s="30" t="s">
        <v>56</v>
      </c>
      <c r="D42" s="57">
        <f>I38</f>
        <v>0.23456456438281506</v>
      </c>
      <c r="E42" s="56"/>
      <c r="G42" s="9" t="s">
        <v>1</v>
      </c>
      <c r="H42" s="16" t="s">
        <v>32</v>
      </c>
      <c r="I42" s="54">
        <f t="shared" ref="I42:Y42" si="40">(I11/H11)-1</f>
        <v>2.4477309485664511E-2</v>
      </c>
      <c r="J42" s="54">
        <f t="shared" si="40"/>
        <v>0.13483224661525361</v>
      </c>
      <c r="K42" s="54">
        <f t="shared" si="40"/>
        <v>0.2170790079945264</v>
      </c>
      <c r="L42" s="54">
        <f t="shared" si="40"/>
        <v>5.8872320827009439E-2</v>
      </c>
      <c r="M42" s="54">
        <f t="shared" si="40"/>
        <v>-2.2404311348922512E-5</v>
      </c>
      <c r="N42" s="54">
        <f t="shared" si="40"/>
        <v>5.3231851999047342E-2</v>
      </c>
      <c r="O42" s="54">
        <f t="shared" si="40"/>
        <v>5.3441355380189792E-2</v>
      </c>
      <c r="P42" s="54">
        <f t="shared" si="40"/>
        <v>4.7424735412886276E-2</v>
      </c>
      <c r="Q42" s="54">
        <f t="shared" si="40"/>
        <v>4.9967140461603776E-2</v>
      </c>
      <c r="R42" s="54">
        <f t="shared" si="40"/>
        <v>4.8292027526698256E-2</v>
      </c>
      <c r="S42" s="54">
        <f t="shared" si="40"/>
        <v>4.9649320675262176E-2</v>
      </c>
      <c r="T42" s="54">
        <f t="shared" si="40"/>
        <v>4.7644585892413271E-2</v>
      </c>
      <c r="U42" s="54">
        <f t="shared" si="40"/>
        <v>4.9081951511629418E-2</v>
      </c>
      <c r="V42" s="54">
        <f t="shared" si="40"/>
        <v>4.5373682098115875E-2</v>
      </c>
      <c r="W42" s="54">
        <f t="shared" si="40"/>
        <v>4.7492915460493723E-2</v>
      </c>
      <c r="X42" s="54">
        <f t="shared" si="40"/>
        <v>4.5790176567713559E-2</v>
      </c>
      <c r="Y42" s="54">
        <f t="shared" si="40"/>
        <v>4.5357480998135857E-2</v>
      </c>
    </row>
    <row r="43" spans="2:26" x14ac:dyDescent="0.5">
      <c r="B43" s="26"/>
      <c r="C43" s="30" t="s">
        <v>49</v>
      </c>
      <c r="D43" s="31">
        <v>2168038</v>
      </c>
      <c r="E43" s="56"/>
      <c r="G43" s="9" t="s">
        <v>2</v>
      </c>
      <c r="H43" s="16" t="s">
        <v>32</v>
      </c>
      <c r="I43" s="54">
        <f t="shared" ref="I43:Y43" si="41">(I12/H12)-1</f>
        <v>3.3079706915414508E-2</v>
      </c>
      <c r="J43" s="54">
        <f t="shared" si="41"/>
        <v>0.1700868208333155</v>
      </c>
      <c r="K43" s="54">
        <f t="shared" si="41"/>
        <v>0.22904223024015269</v>
      </c>
      <c r="L43" s="54">
        <f t="shared" si="41"/>
        <v>-5.9494099665630462E-2</v>
      </c>
      <c r="M43" s="54">
        <f t="shared" si="41"/>
        <v>8.9213155807070788E-2</v>
      </c>
      <c r="N43" s="54">
        <f t="shared" si="41"/>
        <v>3.1374920879835289E-2</v>
      </c>
      <c r="O43" s="54">
        <f t="shared" si="41"/>
        <v>2.9747268582752007E-2</v>
      </c>
      <c r="P43" s="54">
        <f t="shared" si="41"/>
        <v>6.5504424505230308E-2</v>
      </c>
      <c r="Q43" s="54">
        <f t="shared" si="41"/>
        <v>5.0194474570676162E-2</v>
      </c>
      <c r="R43" s="54">
        <f t="shared" si="41"/>
        <v>6.0106207453856308E-2</v>
      </c>
      <c r="S43" s="54">
        <f t="shared" si="41"/>
        <v>5.205187267916167E-2</v>
      </c>
      <c r="T43" s="54">
        <f t="shared" si="41"/>
        <v>6.3750376647089713E-2</v>
      </c>
      <c r="U43" s="54">
        <f t="shared" si="41"/>
        <v>5.5278216359780918E-2</v>
      </c>
      <c r="V43" s="54">
        <f t="shared" si="41"/>
        <v>7.6442315526282112E-2</v>
      </c>
      <c r="W43" s="54">
        <f t="shared" si="41"/>
        <v>6.3915979810603707E-2</v>
      </c>
      <c r="X43" s="54">
        <f t="shared" si="41"/>
        <v>7.300660069013043E-2</v>
      </c>
      <c r="Y43" s="54">
        <f t="shared" si="41"/>
        <v>7.4727740140445809E-2</v>
      </c>
    </row>
    <row r="44" spans="2:26" x14ac:dyDescent="0.5">
      <c r="B44" s="26"/>
      <c r="C44" s="30" t="s">
        <v>57</v>
      </c>
      <c r="D44" s="31">
        <v>516509</v>
      </c>
      <c r="E44" s="56"/>
      <c r="G44" s="9" t="s">
        <v>3</v>
      </c>
      <c r="H44" s="16" t="s">
        <v>32</v>
      </c>
      <c r="I44" s="54">
        <f t="shared" ref="I44:Y44" si="42">(I17/H17)-1</f>
        <v>8.3581408673378155E-2</v>
      </c>
      <c r="J44" s="54">
        <f t="shared" si="42"/>
        <v>0.1456653062863329</v>
      </c>
      <c r="K44" s="54">
        <f t="shared" si="42"/>
        <v>0.18490266090598317</v>
      </c>
      <c r="L44" s="54">
        <f t="shared" si="42"/>
        <v>-6.1802922891678325E-3</v>
      </c>
      <c r="M44" s="54">
        <f t="shared" si="42"/>
        <v>6.1272640057282057E-2</v>
      </c>
      <c r="N44" s="54">
        <f t="shared" si="42"/>
        <v>3.9119734480437929E-2</v>
      </c>
      <c r="O44" s="54">
        <f t="shared" si="42"/>
        <v>2.3765549092102933E-2</v>
      </c>
      <c r="P44" s="54">
        <f t="shared" si="42"/>
        <v>5.4205973602355018E-2</v>
      </c>
      <c r="Q44" s="54">
        <f t="shared" si="42"/>
        <v>5.2795914144980749E-2</v>
      </c>
      <c r="R44" s="54">
        <f t="shared" si="42"/>
        <v>7.0218931481133451E-2</v>
      </c>
      <c r="S44" s="54">
        <f t="shared" si="42"/>
        <v>4.7787017342891147E-2</v>
      </c>
      <c r="T44" s="54">
        <f t="shared" si="42"/>
        <v>4.0278100483095658E-2</v>
      </c>
      <c r="U44" s="54">
        <f t="shared" si="42"/>
        <v>5.7432413568016427E-2</v>
      </c>
      <c r="V44" s="54">
        <f t="shared" si="42"/>
        <v>8.781858058298031E-2</v>
      </c>
      <c r="W44" s="54">
        <f t="shared" si="42"/>
        <v>6.6139320859784023E-2</v>
      </c>
      <c r="X44" s="54">
        <f t="shared" si="42"/>
        <v>8.1594945287971399E-2</v>
      </c>
      <c r="Y44" s="54">
        <f t="shared" si="42"/>
        <v>6.0655752766637372E-2</v>
      </c>
    </row>
    <row r="45" spans="2:26" x14ac:dyDescent="0.5">
      <c r="B45" s="26"/>
      <c r="C45" s="30" t="s">
        <v>59</v>
      </c>
      <c r="D45" s="31">
        <f>20857781-23381931</f>
        <v>-2524150</v>
      </c>
      <c r="E45" s="56"/>
      <c r="G45" s="9" t="s">
        <v>4</v>
      </c>
      <c r="H45" s="16" t="s">
        <v>32</v>
      </c>
      <c r="I45" s="54">
        <f t="shared" ref="I45:Y45" si="43">(I19/H19)-1</f>
        <v>6.996597981817243E-2</v>
      </c>
      <c r="J45" s="54">
        <f t="shared" si="43"/>
        <v>-0.65854115267487234</v>
      </c>
      <c r="K45" s="54">
        <f t="shared" si="43"/>
        <v>2.9472915799479376</v>
      </c>
      <c r="L45" s="54">
        <f t="shared" si="43"/>
        <v>2.0847164671138341E-3</v>
      </c>
      <c r="M45" s="54">
        <f t="shared" si="43"/>
        <v>5.9351070103219383E-2</v>
      </c>
      <c r="N45" s="54">
        <f t="shared" si="43"/>
        <v>3.9229693510767216E-2</v>
      </c>
      <c r="O45" s="54">
        <f t="shared" si="43"/>
        <v>2.3765549092102933E-2</v>
      </c>
      <c r="P45" s="54">
        <f t="shared" si="43"/>
        <v>5.4205973602355018E-2</v>
      </c>
      <c r="Q45" s="54">
        <f t="shared" si="43"/>
        <v>5.2795914144980527E-2</v>
      </c>
      <c r="R45" s="54">
        <f t="shared" si="43"/>
        <v>7.0218931481133451E-2</v>
      </c>
      <c r="S45" s="54">
        <f t="shared" si="43"/>
        <v>4.7787017342891147E-2</v>
      </c>
      <c r="T45" s="54">
        <f t="shared" si="43"/>
        <v>4.0278100483095658E-2</v>
      </c>
      <c r="U45" s="54">
        <f t="shared" si="43"/>
        <v>5.7432413568016205E-2</v>
      </c>
      <c r="V45" s="54">
        <f t="shared" si="43"/>
        <v>8.781858058298031E-2</v>
      </c>
      <c r="W45" s="54">
        <f t="shared" si="43"/>
        <v>6.6139320859784023E-2</v>
      </c>
      <c r="X45" s="54">
        <f t="shared" si="43"/>
        <v>8.1594945287971621E-2</v>
      </c>
      <c r="Y45" s="54">
        <f t="shared" si="43"/>
        <v>6.0655752766637372E-2</v>
      </c>
    </row>
    <row r="46" spans="2:26" x14ac:dyDescent="0.5">
      <c r="B46" s="26"/>
      <c r="C46" s="30" t="s">
        <v>58</v>
      </c>
      <c r="D46" s="31">
        <f>18976127-18009038</f>
        <v>967089</v>
      </c>
      <c r="E46" s="56"/>
      <c r="G46" s="9" t="s">
        <v>52</v>
      </c>
      <c r="H46" s="17" t="s">
        <v>32</v>
      </c>
      <c r="I46" s="55">
        <f t="shared" ref="I46:Y46" si="44">(I22/H22)-1</f>
        <v>4.2419951746761608E-2</v>
      </c>
      <c r="J46" s="55">
        <f t="shared" si="44"/>
        <v>-0.66975564421666389</v>
      </c>
      <c r="K46" s="55">
        <f t="shared" si="44"/>
        <v>3.0769660340222966</v>
      </c>
      <c r="L46" s="55">
        <f t="shared" si="44"/>
        <v>-8.1603345795344673E-4</v>
      </c>
      <c r="M46" s="55">
        <f t="shared" si="44"/>
        <v>5.7225749564472794E-2</v>
      </c>
      <c r="N46" s="55">
        <f t="shared" si="44"/>
        <v>6.1318084674196749E-2</v>
      </c>
      <c r="O46" s="55">
        <f t="shared" si="44"/>
        <v>2.3765549092102933E-2</v>
      </c>
      <c r="P46" s="55">
        <f t="shared" si="44"/>
        <v>5.4205973602355018E-2</v>
      </c>
      <c r="Q46" s="55">
        <f t="shared" si="44"/>
        <v>5.2795914144980527E-2</v>
      </c>
      <c r="R46" s="55">
        <f t="shared" si="44"/>
        <v>7.0218931481133451E-2</v>
      </c>
      <c r="S46" s="55">
        <f t="shared" si="44"/>
        <v>4.7787017342891147E-2</v>
      </c>
      <c r="T46" s="55">
        <f t="shared" si="44"/>
        <v>4.0278100483095658E-2</v>
      </c>
      <c r="U46" s="55">
        <f t="shared" si="44"/>
        <v>5.7432413568016205E-2</v>
      </c>
      <c r="V46" s="55">
        <f t="shared" si="44"/>
        <v>8.781858058298031E-2</v>
      </c>
      <c r="W46" s="55">
        <f t="shared" si="44"/>
        <v>6.6139320859784023E-2</v>
      </c>
      <c r="X46" s="55">
        <f t="shared" si="44"/>
        <v>8.1594945287971621E-2</v>
      </c>
      <c r="Y46" s="55">
        <f t="shared" si="44"/>
        <v>6.0655752766637372E-2</v>
      </c>
    </row>
    <row r="47" spans="2:26" ht="14.7" thickBot="1" x14ac:dyDescent="0.55000000000000004">
      <c r="B47" s="58"/>
      <c r="C47" s="33" t="s">
        <v>60</v>
      </c>
      <c r="D47" s="34">
        <f>D45-D46</f>
        <v>-3491239</v>
      </c>
      <c r="E47" s="56"/>
      <c r="G47" s="9"/>
      <c r="H47" s="10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spans="2:26" ht="14.7" thickTop="1" x14ac:dyDescent="0.5">
      <c r="B48" s="26"/>
      <c r="C48" s="12" t="s">
        <v>61</v>
      </c>
      <c r="D48" s="22">
        <f>(D41*(1-D42))+D43-D44-D47</f>
        <v>12487769.328560857</v>
      </c>
      <c r="E48" s="56"/>
      <c r="G48" s="15" t="s">
        <v>41</v>
      </c>
      <c r="H48" s="21" t="s">
        <v>31</v>
      </c>
      <c r="I48" s="21" t="str">
        <f t="shared" ref="I48:Y48" si="45">_xlfn.CONCAT(H3,"-",I3)</f>
        <v>2019-2020</v>
      </c>
      <c r="J48" s="21" t="str">
        <f t="shared" si="45"/>
        <v>2020-2021</v>
      </c>
      <c r="K48" s="21" t="str">
        <f t="shared" si="45"/>
        <v>2021-2022</v>
      </c>
      <c r="L48" s="21" t="str">
        <f t="shared" si="45"/>
        <v>2022-2023</v>
      </c>
      <c r="M48" s="21" t="str">
        <f t="shared" si="45"/>
        <v>2023-2024</v>
      </c>
      <c r="N48" s="21" t="str">
        <f t="shared" si="45"/>
        <v>2024-2025</v>
      </c>
      <c r="O48" s="21" t="str">
        <f t="shared" si="45"/>
        <v>2025-2026</v>
      </c>
      <c r="P48" s="21" t="str">
        <f t="shared" si="45"/>
        <v>2026-2027</v>
      </c>
      <c r="Q48" s="21" t="str">
        <f t="shared" si="45"/>
        <v>2027-2028</v>
      </c>
      <c r="R48" s="21" t="str">
        <f t="shared" si="45"/>
        <v>2028-2029</v>
      </c>
      <c r="S48" s="21" t="str">
        <f t="shared" si="45"/>
        <v>2029-2030</v>
      </c>
      <c r="T48" s="21" t="str">
        <f t="shared" si="45"/>
        <v>2030-2031</v>
      </c>
      <c r="U48" s="21" t="str">
        <f t="shared" si="45"/>
        <v>2031-2032</v>
      </c>
      <c r="V48" s="21" t="str">
        <f t="shared" si="45"/>
        <v>2032-2033</v>
      </c>
      <c r="W48" s="21" t="str">
        <f t="shared" si="45"/>
        <v>2033-2034</v>
      </c>
      <c r="X48" s="21" t="str">
        <f t="shared" si="45"/>
        <v>2034-2035</v>
      </c>
      <c r="Y48" s="21" t="str">
        <f t="shared" si="45"/>
        <v>2035-2036</v>
      </c>
    </row>
    <row r="49" spans="2:25" x14ac:dyDescent="0.5">
      <c r="B49" s="26"/>
      <c r="C49" s="6" t="s">
        <v>62</v>
      </c>
      <c r="D49" s="11">
        <f>946229+78628+939198-5004469-5396</f>
        <v>-3045810</v>
      </c>
      <c r="E49" s="29"/>
      <c r="G49" s="9" t="s">
        <v>10</v>
      </c>
      <c r="H49" s="16" t="s">
        <v>32</v>
      </c>
      <c r="I49" s="54">
        <f>(I28/H28)-1</f>
        <v>-0.43822139592532339</v>
      </c>
      <c r="J49" s="54">
        <f t="shared" ref="J49:Y49" si="46">(J28/I28)-1</f>
        <v>-1.7205460562603418</v>
      </c>
      <c r="K49" s="54">
        <f t="shared" si="46"/>
        <v>-0.91629348949362732</v>
      </c>
      <c r="L49" s="54">
        <f t="shared" si="46"/>
        <v>-107.48559670781893</v>
      </c>
      <c r="M49" s="54">
        <f t="shared" si="46"/>
        <v>-8.4149190154755193E-2</v>
      </c>
      <c r="N49" s="54">
        <f t="shared" si="46"/>
        <v>0.30000000000000027</v>
      </c>
      <c r="O49" s="54">
        <f t="shared" si="46"/>
        <v>-0.30000000000000004</v>
      </c>
      <c r="P49" s="54">
        <f t="shared" si="46"/>
        <v>-9.9999999999999978E-2</v>
      </c>
      <c r="Q49" s="54">
        <f t="shared" si="46"/>
        <v>1</v>
      </c>
      <c r="R49" s="54">
        <f t="shared" si="46"/>
        <v>-0.15000000000000013</v>
      </c>
      <c r="S49" s="54">
        <f t="shared" si="46"/>
        <v>1</v>
      </c>
      <c r="T49" s="54">
        <f t="shared" si="46"/>
        <v>-9.9999999999999978E-2</v>
      </c>
      <c r="U49" s="54">
        <f t="shared" si="46"/>
        <v>-9.9999999999999978E-2</v>
      </c>
      <c r="V49" s="54">
        <f t="shared" si="46"/>
        <v>-9.9999999999999978E-2</v>
      </c>
      <c r="W49" s="54">
        <f t="shared" si="46"/>
        <v>-9.9999999999999978E-2</v>
      </c>
      <c r="X49" s="54">
        <f t="shared" si="46"/>
        <v>-9.9999999999999978E-2</v>
      </c>
      <c r="Y49" s="54">
        <f t="shared" si="46"/>
        <v>-9.9999999999999978E-2</v>
      </c>
    </row>
    <row r="50" spans="2:25" ht="14.7" thickBot="1" x14ac:dyDescent="0.55000000000000004">
      <c r="B50" s="38"/>
      <c r="C50" s="39"/>
      <c r="D50" s="39"/>
      <c r="E50" s="40"/>
      <c r="G50" s="9" t="s">
        <v>5</v>
      </c>
      <c r="H50" s="16" t="s">
        <v>32</v>
      </c>
      <c r="I50" s="54">
        <f>(I29/H29)-1</f>
        <v>0.13052628283753909</v>
      </c>
      <c r="J50" s="54">
        <f t="shared" ref="J50:Y53" si="47">(J29/I29)-1</f>
        <v>2.7699667341716707</v>
      </c>
      <c r="K50" s="54">
        <f t="shared" si="47"/>
        <v>-0.63155155332277779</v>
      </c>
      <c r="L50" s="54">
        <f t="shared" si="47"/>
        <v>-3.2350839771711493E-2</v>
      </c>
      <c r="M50" s="54">
        <f t="shared" si="47"/>
        <v>6.7573679582658031E-2</v>
      </c>
      <c r="N50" s="54">
        <f t="shared" si="47"/>
        <v>3.8761943854857428E-2</v>
      </c>
      <c r="O50" s="54">
        <f t="shared" si="47"/>
        <v>2.3765549092102933E-2</v>
      </c>
      <c r="P50" s="54">
        <f t="shared" si="47"/>
        <v>5.4205973602355018E-2</v>
      </c>
      <c r="Q50" s="54">
        <f t="shared" si="47"/>
        <v>5.2795914144980749E-2</v>
      </c>
      <c r="R50" s="54">
        <f t="shared" si="47"/>
        <v>7.0218931481133673E-2</v>
      </c>
      <c r="S50" s="54">
        <f t="shared" si="47"/>
        <v>4.7787017342891147E-2</v>
      </c>
      <c r="T50" s="54">
        <f t="shared" si="47"/>
        <v>4.0278100483095658E-2</v>
      </c>
      <c r="U50" s="54">
        <f t="shared" si="47"/>
        <v>5.7432413568016427E-2</v>
      </c>
      <c r="V50" s="54">
        <f t="shared" si="47"/>
        <v>8.7818580582980088E-2</v>
      </c>
      <c r="W50" s="54">
        <f t="shared" si="47"/>
        <v>6.6139320859784023E-2</v>
      </c>
      <c r="X50" s="54">
        <f t="shared" si="47"/>
        <v>8.1594945287971399E-2</v>
      </c>
      <c r="Y50" s="54">
        <f t="shared" si="47"/>
        <v>6.0655752766637372E-2</v>
      </c>
    </row>
    <row r="51" spans="2:25" x14ac:dyDescent="0.5">
      <c r="G51" s="9" t="s">
        <v>49</v>
      </c>
      <c r="H51" s="16" t="s">
        <v>32</v>
      </c>
      <c r="I51" s="54">
        <f t="shared" ref="I51:X53" si="48">(I30/H30)-1</f>
        <v>0.98611496930866083</v>
      </c>
      <c r="J51" s="54">
        <f t="shared" si="48"/>
        <v>6.6615758401555647E-2</v>
      </c>
      <c r="K51" s="54">
        <f t="shared" si="48"/>
        <v>0.104150605792384</v>
      </c>
      <c r="L51" s="54">
        <f t="shared" si="48"/>
        <v>9.2360656177330247E-2</v>
      </c>
      <c r="M51" s="54">
        <f t="shared" si="48"/>
        <v>-4.9558433815486969E-2</v>
      </c>
      <c r="N51" s="54">
        <f t="shared" si="48"/>
        <v>0.22901397484730435</v>
      </c>
      <c r="O51" s="54">
        <f t="shared" si="48"/>
        <v>0.17240028237424054</v>
      </c>
      <c r="P51" s="54">
        <f t="shared" si="48"/>
        <v>4.6924407106716526E-2</v>
      </c>
      <c r="Q51" s="54">
        <f t="shared" si="48"/>
        <v>4.920645306872995E-2</v>
      </c>
      <c r="R51" s="54">
        <f t="shared" si="48"/>
        <v>7.3269033722324961E-2</v>
      </c>
      <c r="S51" s="54">
        <f t="shared" si="48"/>
        <v>9.7169206273178377E-2</v>
      </c>
      <c r="T51" s="54">
        <f t="shared" si="48"/>
        <v>0.19999999999999996</v>
      </c>
      <c r="U51" s="54">
        <f t="shared" si="48"/>
        <v>0.16666666666666674</v>
      </c>
      <c r="V51" s="54">
        <f t="shared" si="48"/>
        <v>0.14285714285714279</v>
      </c>
      <c r="W51" s="54">
        <f t="shared" si="48"/>
        <v>0.125</v>
      </c>
      <c r="X51" s="54">
        <f t="shared" si="48"/>
        <v>0.11111111111111116</v>
      </c>
      <c r="Y51" s="54">
        <f t="shared" si="47"/>
        <v>-0.27355610914308703</v>
      </c>
    </row>
    <row r="52" spans="2:25" x14ac:dyDescent="0.5">
      <c r="G52" s="9" t="s">
        <v>21</v>
      </c>
      <c r="H52" s="16" t="s">
        <v>32</v>
      </c>
      <c r="I52" s="54">
        <f t="shared" si="48"/>
        <v>0.2021441489082223</v>
      </c>
      <c r="J52" s="54">
        <f t="shared" si="47"/>
        <v>0.13714760383236424</v>
      </c>
      <c r="K52" s="54">
        <f t="shared" si="47"/>
        <v>0.1661504873954962</v>
      </c>
      <c r="L52" s="54">
        <f t="shared" si="47"/>
        <v>-8.7747650526245335E-3</v>
      </c>
      <c r="M52" s="54">
        <f t="shared" si="47"/>
        <v>4.1701865817959982E-2</v>
      </c>
      <c r="N52" s="54">
        <f t="shared" si="47"/>
        <v>6.9671759455105953E-2</v>
      </c>
      <c r="O52" s="54">
        <f t="shared" si="47"/>
        <v>6.2736725780852209E-2</v>
      </c>
      <c r="P52" s="54">
        <f t="shared" si="47"/>
        <v>5.4748164157551571E-2</v>
      </c>
      <c r="Q52" s="54">
        <f t="shared" si="47"/>
        <v>4.0114774844256962E-2</v>
      </c>
      <c r="R52" s="54">
        <f t="shared" si="47"/>
        <v>7.6232626711148388E-2</v>
      </c>
      <c r="S52" s="54">
        <f t="shared" si="47"/>
        <v>4.1336322026469308E-2</v>
      </c>
      <c r="T52" s="54">
        <f t="shared" si="47"/>
        <v>8.5015439861140907E-2</v>
      </c>
      <c r="U52" s="54">
        <f t="shared" si="47"/>
        <v>9.2163555082688919E-2</v>
      </c>
      <c r="V52" s="54">
        <f t="shared" si="47"/>
        <v>0.10863018174003813</v>
      </c>
      <c r="W52" s="54">
        <f t="shared" si="47"/>
        <v>8.7284120397533638E-2</v>
      </c>
      <c r="X52" s="54">
        <f t="shared" si="47"/>
        <v>9.3863199852015411E-2</v>
      </c>
      <c r="Y52" s="54">
        <f>(Y31/X31)-1</f>
        <v>-4.3254153143604035E-2</v>
      </c>
    </row>
    <row r="53" spans="2:25" x14ac:dyDescent="0.5">
      <c r="G53" s="9" t="s">
        <v>44</v>
      </c>
      <c r="H53" s="17" t="s">
        <v>32</v>
      </c>
      <c r="I53" s="55">
        <f t="shared" si="48"/>
        <v>0.21988380912637262</v>
      </c>
      <c r="J53" s="55">
        <f t="shared" si="47"/>
        <v>-0.46722830115439118</v>
      </c>
      <c r="K53" s="55">
        <f t="shared" si="47"/>
        <v>1.4619063759171786</v>
      </c>
      <c r="L53" s="55">
        <f t="shared" si="47"/>
        <v>-3.043385312383684E-3</v>
      </c>
      <c r="M53" s="55">
        <f t="shared" si="47"/>
        <v>3.5597279680538385E-2</v>
      </c>
      <c r="N53" s="55">
        <f t="shared" si="47"/>
        <v>7.7190285715901474E-2</v>
      </c>
      <c r="O53" s="55">
        <f t="shared" si="47"/>
        <v>7.1877930348822616E-2</v>
      </c>
      <c r="P53" s="55">
        <f t="shared" si="47"/>
        <v>5.4869633600244772E-2</v>
      </c>
      <c r="Q53" s="55">
        <f t="shared" si="47"/>
        <v>3.7275548301384465E-2</v>
      </c>
      <c r="R53" s="55">
        <f t="shared" si="47"/>
        <v>7.7599200976821381E-2</v>
      </c>
      <c r="S53" s="55">
        <f t="shared" si="47"/>
        <v>3.9880481779143606E-2</v>
      </c>
      <c r="T53" s="55">
        <f t="shared" si="47"/>
        <v>9.5188858832646606E-2</v>
      </c>
      <c r="U53" s="55">
        <f t="shared" si="47"/>
        <v>9.9665541520374212E-2</v>
      </c>
      <c r="V53" s="55">
        <f t="shared" si="47"/>
        <v>0.11295287793372388</v>
      </c>
      <c r="W53" s="55">
        <f t="shared" si="47"/>
        <v>9.15768396609562E-2</v>
      </c>
      <c r="X53" s="55">
        <f t="shared" si="47"/>
        <v>9.6295803437860483E-2</v>
      </c>
      <c r="Y53" s="55">
        <f t="shared" si="47"/>
        <v>-6.3581580258234127E-2</v>
      </c>
    </row>
    <row r="56" spans="2:25" x14ac:dyDescent="0.5">
      <c r="G56" s="9"/>
      <c r="H56" s="10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spans="2:25" x14ac:dyDescent="0.5">
      <c r="G57" s="9"/>
      <c r="H57" s="10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spans="2:25" x14ac:dyDescent="0.5">
      <c r="G58" s="9"/>
      <c r="H58" s="10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</sheetData>
  <sortState xmlns:xlrd2="http://schemas.microsoft.com/office/spreadsheetml/2017/richdata2" ref="K41:L46">
    <sortCondition ref="K40:K46"/>
  </sortState>
  <mergeCells count="1">
    <mergeCell ref="C36:D37"/>
  </mergeCells>
  <pageMargins left="0.7" right="0.7" top="0.75" bottom="0.75" header="0.3" footer="0.3"/>
  <ignoredErrors>
    <ignoredError sqref="H28:M28" formulaRange="1"/>
    <ignoredError sqref="R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Accenture 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dcterms:created xsi:type="dcterms:W3CDTF">2025-04-15T12:52:15Z</dcterms:created>
  <dcterms:modified xsi:type="dcterms:W3CDTF">2025-07-10T13:58:40Z</dcterms:modified>
</cp:coreProperties>
</file>