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pilc\OneDrive - Louisiana State University\Desktop\models\research\"/>
    </mc:Choice>
  </mc:AlternateContent>
  <xr:revisionPtr revIDLastSave="0" documentId="13_ncr:1_{A5045C54-AD0C-49B3-8623-5D28CEE44CED}" xr6:coauthVersionLast="47" xr6:coauthVersionMax="47" xr10:uidLastSave="{00000000-0000-0000-0000-000000000000}"/>
  <bookViews>
    <workbookView xWindow="-96" yWindow="-96" windowWidth="23232" windowHeight="13872" xr2:uid="{4E2427E6-D2C1-49DA-B21C-AD4FF0F49230}"/>
  </bookViews>
  <sheets>
    <sheet name="MAIN" sheetId="3" r:id="rId1"/>
    <sheet name="EV" sheetId="4" r:id="rId2"/>
    <sheet name="IS - Q" sheetId="1" r:id="rId3"/>
    <sheet name="IS - Y" sheetId="2" r:id="rId4"/>
    <sheet name="BS - Q" sheetId="5" r:id="rId5"/>
    <sheet name="BS - 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7" i="2" l="1"/>
  <c r="S17" i="2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P24" i="2"/>
  <c r="I44" i="2"/>
  <c r="I43" i="2"/>
  <c r="I41" i="2"/>
  <c r="I40" i="2"/>
  <c r="I39" i="2"/>
  <c r="I38" i="2"/>
  <c r="I37" i="2"/>
  <c r="I36" i="2"/>
  <c r="I35" i="2"/>
  <c r="I34" i="2"/>
  <c r="I33" i="2"/>
  <c r="I32" i="2"/>
  <c r="I31" i="2"/>
  <c r="I30" i="2"/>
  <c r="H30" i="2"/>
  <c r="H31" i="2"/>
  <c r="H32" i="2"/>
  <c r="H33" i="2"/>
  <c r="H34" i="2"/>
  <c r="H35" i="2"/>
  <c r="H36" i="2"/>
  <c r="H37" i="2"/>
  <c r="H38" i="2"/>
  <c r="H39" i="2"/>
  <c r="H40" i="2"/>
  <c r="H41" i="2"/>
  <c r="H43" i="2"/>
  <c r="H44" i="2"/>
  <c r="E9" i="4"/>
  <c r="E8" i="4"/>
  <c r="H12" i="2"/>
  <c r="H26" i="2" s="1"/>
  <c r="H13" i="2"/>
  <c r="H23" i="2" s="1"/>
  <c r="H7" i="2"/>
  <c r="H25" i="2" s="1"/>
  <c r="V7" i="1"/>
  <c r="V25" i="1" s="1"/>
  <c r="V26" i="1"/>
  <c r="V16" i="1"/>
  <c r="V15" i="1"/>
  <c r="V14" i="1"/>
  <c r="V12" i="1"/>
  <c r="V11" i="1"/>
  <c r="V10" i="1"/>
  <c r="V9" i="1"/>
  <c r="V8" i="1"/>
  <c r="V6" i="1"/>
  <c r="V5" i="1"/>
  <c r="V4" i="1"/>
  <c r="V3" i="1"/>
  <c r="D31" i="2"/>
  <c r="E31" i="2"/>
  <c r="F31" i="2"/>
  <c r="G31" i="2"/>
  <c r="D32" i="2"/>
  <c r="E32" i="2"/>
  <c r="F32" i="2"/>
  <c r="G32" i="2"/>
  <c r="D33" i="2"/>
  <c r="E33" i="2"/>
  <c r="F33" i="2"/>
  <c r="G33" i="2"/>
  <c r="D35" i="2"/>
  <c r="E35" i="2"/>
  <c r="F35" i="2"/>
  <c r="G35" i="2"/>
  <c r="D36" i="2"/>
  <c r="E36" i="2"/>
  <c r="F36" i="2"/>
  <c r="G36" i="2"/>
  <c r="D37" i="2"/>
  <c r="E37" i="2"/>
  <c r="F37" i="2"/>
  <c r="G37" i="2"/>
  <c r="D38" i="2"/>
  <c r="E38" i="2"/>
  <c r="F38" i="2"/>
  <c r="G38" i="2"/>
  <c r="D41" i="2"/>
  <c r="E41" i="2"/>
  <c r="F41" i="2"/>
  <c r="G41" i="2"/>
  <c r="D43" i="2"/>
  <c r="E43" i="2"/>
  <c r="F43" i="2"/>
  <c r="G43" i="2"/>
  <c r="E30" i="2"/>
  <c r="F30" i="2"/>
  <c r="G30" i="2"/>
  <c r="D30" i="2"/>
  <c r="E7" i="4"/>
  <c r="E10" i="4" s="1"/>
  <c r="C7" i="1"/>
  <c r="E12" i="1"/>
  <c r="E26" i="1" s="1"/>
  <c r="D12" i="1"/>
  <c r="C12" i="1"/>
  <c r="D2" i="2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F16" i="1"/>
  <c r="F15" i="1"/>
  <c r="F14" i="1"/>
  <c r="F11" i="1"/>
  <c r="F10" i="1"/>
  <c r="F9" i="1"/>
  <c r="F8" i="1"/>
  <c r="F6" i="1"/>
  <c r="F5" i="1"/>
  <c r="F4" i="1"/>
  <c r="F3" i="1"/>
  <c r="G1" i="1"/>
  <c r="K1" i="1" s="1"/>
  <c r="O1" i="1" s="1"/>
  <c r="S1" i="1" s="1"/>
  <c r="D7" i="1"/>
  <c r="D2" i="1"/>
  <c r="E2" i="1" s="1"/>
  <c r="F2" i="1" s="1"/>
  <c r="J16" i="1"/>
  <c r="J15" i="1"/>
  <c r="J14" i="1"/>
  <c r="J11" i="1"/>
  <c r="J10" i="1"/>
  <c r="J9" i="1"/>
  <c r="J8" i="1"/>
  <c r="J6" i="1"/>
  <c r="J5" i="1"/>
  <c r="J4" i="1"/>
  <c r="J3" i="1"/>
  <c r="I12" i="1"/>
  <c r="H12" i="1"/>
  <c r="G12" i="1"/>
  <c r="I7" i="1"/>
  <c r="H7" i="1"/>
  <c r="G7" i="1"/>
  <c r="H2" i="1"/>
  <c r="I2" i="1" s="1"/>
  <c r="J2" i="1" s="1"/>
  <c r="T2" i="1"/>
  <c r="U2" i="1" s="1"/>
  <c r="V2" i="1" s="1"/>
  <c r="P2" i="1"/>
  <c r="Q2" i="1" s="1"/>
  <c r="R2" i="1" s="1"/>
  <c r="L2" i="1"/>
  <c r="M2" i="1" s="1"/>
  <c r="N2" i="1" s="1"/>
  <c r="M12" i="1"/>
  <c r="M26" i="1" s="1"/>
  <c r="M7" i="1"/>
  <c r="L12" i="1"/>
  <c r="L7" i="1"/>
  <c r="K12" i="1"/>
  <c r="K7" i="1"/>
  <c r="N16" i="1"/>
  <c r="N15" i="1"/>
  <c r="N14" i="1"/>
  <c r="N11" i="1"/>
  <c r="N10" i="1"/>
  <c r="N9" i="1"/>
  <c r="N8" i="1"/>
  <c r="N6" i="1"/>
  <c r="N5" i="1"/>
  <c r="N4" i="1"/>
  <c r="N3" i="1"/>
  <c r="R15" i="1"/>
  <c r="R16" i="1"/>
  <c r="R14" i="1"/>
  <c r="P12" i="1"/>
  <c r="P26" i="1" s="1"/>
  <c r="Q12" i="1"/>
  <c r="S12" i="1"/>
  <c r="T12" i="1"/>
  <c r="U12" i="1"/>
  <c r="O12" i="1"/>
  <c r="R11" i="1"/>
  <c r="R10" i="1"/>
  <c r="R9" i="1"/>
  <c r="R8" i="1"/>
  <c r="R4" i="1"/>
  <c r="R5" i="1"/>
  <c r="R6" i="1"/>
  <c r="R3" i="1"/>
  <c r="C12" i="2"/>
  <c r="C7" i="2"/>
  <c r="C13" i="2" s="1"/>
  <c r="C17" i="2" s="1"/>
  <c r="C24" i="2" s="1"/>
  <c r="E12" i="2"/>
  <c r="F12" i="2"/>
  <c r="G12" i="2"/>
  <c r="D12" i="2"/>
  <c r="D7" i="2"/>
  <c r="D13" i="2" s="1"/>
  <c r="D17" i="2" s="1"/>
  <c r="D24" i="2" s="1"/>
  <c r="E7" i="2"/>
  <c r="E13" i="2" s="1"/>
  <c r="E17" i="2" s="1"/>
  <c r="E24" i="2" s="1"/>
  <c r="F7" i="2"/>
  <c r="F13" i="2" s="1"/>
  <c r="F17" i="2" s="1"/>
  <c r="F24" i="2" s="1"/>
  <c r="G7" i="2"/>
  <c r="G13" i="2" s="1"/>
  <c r="G17" i="2" s="1"/>
  <c r="G24" i="2" s="1"/>
  <c r="O7" i="1"/>
  <c r="P7" i="1"/>
  <c r="Q7" i="1"/>
  <c r="Q25" i="1" s="1"/>
  <c r="S7" i="1"/>
  <c r="T7" i="1"/>
  <c r="U7" i="1"/>
  <c r="U25" i="1" s="1"/>
  <c r="H17" i="2" l="1"/>
  <c r="D39" i="2"/>
  <c r="G39" i="2"/>
  <c r="V13" i="1"/>
  <c r="E34" i="2"/>
  <c r="D34" i="2"/>
  <c r="E39" i="2"/>
  <c r="F39" i="2"/>
  <c r="F34" i="2"/>
  <c r="G40" i="2"/>
  <c r="F40" i="2"/>
  <c r="E40" i="2"/>
  <c r="G44" i="2"/>
  <c r="F44" i="2"/>
  <c r="D40" i="2"/>
  <c r="E44" i="2"/>
  <c r="D44" i="2"/>
  <c r="G34" i="2"/>
  <c r="F26" i="2"/>
  <c r="D26" i="2"/>
  <c r="E26" i="2"/>
  <c r="D23" i="2"/>
  <c r="G23" i="2"/>
  <c r="G26" i="2"/>
  <c r="I25" i="1"/>
  <c r="T25" i="1"/>
  <c r="U26" i="1"/>
  <c r="T26" i="1"/>
  <c r="H25" i="1"/>
  <c r="D26" i="1"/>
  <c r="M25" i="1"/>
  <c r="L26" i="1"/>
  <c r="Q26" i="1"/>
  <c r="I26" i="1"/>
  <c r="H26" i="1"/>
  <c r="D25" i="1"/>
  <c r="D25" i="2"/>
  <c r="G25" i="2"/>
  <c r="F25" i="2"/>
  <c r="F23" i="2"/>
  <c r="E25" i="2"/>
  <c r="E23" i="2"/>
  <c r="C23" i="2"/>
  <c r="P25" i="1"/>
  <c r="L25" i="1"/>
  <c r="E7" i="1"/>
  <c r="E25" i="1" s="1"/>
  <c r="D13" i="1"/>
  <c r="S13" i="1"/>
  <c r="S23" i="1" s="1"/>
  <c r="T13" i="1"/>
  <c r="T23" i="1" s="1"/>
  <c r="I13" i="1"/>
  <c r="I23" i="1" s="1"/>
  <c r="H13" i="1"/>
  <c r="H17" i="1" s="1"/>
  <c r="H24" i="1" s="1"/>
  <c r="G13" i="1"/>
  <c r="G23" i="1" s="1"/>
  <c r="C13" i="1"/>
  <c r="F12" i="1"/>
  <c r="F26" i="1" s="1"/>
  <c r="M13" i="1"/>
  <c r="M17" i="1" s="1"/>
  <c r="M24" i="1" s="1"/>
  <c r="R12" i="1"/>
  <c r="R26" i="1" s="1"/>
  <c r="O13" i="1"/>
  <c r="O23" i="1" s="1"/>
  <c r="J12" i="1"/>
  <c r="J7" i="1"/>
  <c r="J25" i="1" s="1"/>
  <c r="K13" i="1"/>
  <c r="Q13" i="1"/>
  <c r="Q23" i="1" s="1"/>
  <c r="L13" i="1"/>
  <c r="N12" i="1"/>
  <c r="N26" i="1" s="1"/>
  <c r="N7" i="1"/>
  <c r="N25" i="1" s="1"/>
  <c r="P13" i="1"/>
  <c r="U13" i="1"/>
  <c r="R7" i="1"/>
  <c r="R25" i="1" s="1"/>
  <c r="I17" i="2" l="1"/>
  <c r="J17" i="2" s="1"/>
  <c r="K17" i="2" s="1"/>
  <c r="L17" i="2" s="1"/>
  <c r="M17" i="2" s="1"/>
  <c r="N17" i="2" s="1"/>
  <c r="O17" i="2" s="1"/>
  <c r="P17" i="2" s="1"/>
  <c r="Q17" i="2" s="1"/>
  <c r="H24" i="2"/>
  <c r="V23" i="1"/>
  <c r="V17" i="1"/>
  <c r="V24" i="1" s="1"/>
  <c r="G26" i="1"/>
  <c r="O25" i="1"/>
  <c r="K26" i="1"/>
  <c r="J26" i="1"/>
  <c r="S25" i="1"/>
  <c r="K25" i="1"/>
  <c r="O26" i="1"/>
  <c r="S26" i="1"/>
  <c r="D23" i="1"/>
  <c r="F7" i="1"/>
  <c r="C23" i="1"/>
  <c r="E13" i="1"/>
  <c r="T17" i="1"/>
  <c r="T24" i="1" s="1"/>
  <c r="D17" i="1"/>
  <c r="I17" i="1"/>
  <c r="I24" i="1" s="1"/>
  <c r="O17" i="1"/>
  <c r="O24" i="1" s="1"/>
  <c r="S17" i="1"/>
  <c r="S24" i="1" s="1"/>
  <c r="M23" i="1"/>
  <c r="H23" i="1"/>
  <c r="G17" i="1"/>
  <c r="G24" i="1" s="1"/>
  <c r="Q17" i="1"/>
  <c r="Q24" i="1" s="1"/>
  <c r="J13" i="1"/>
  <c r="J17" i="1" s="1"/>
  <c r="J24" i="1" s="1"/>
  <c r="R13" i="1"/>
  <c r="R23" i="1" s="1"/>
  <c r="U17" i="1"/>
  <c r="U24" i="1" s="1"/>
  <c r="U23" i="1"/>
  <c r="P17" i="1"/>
  <c r="P24" i="1" s="1"/>
  <c r="P23" i="1"/>
  <c r="L17" i="1"/>
  <c r="L24" i="1" s="1"/>
  <c r="L23" i="1"/>
  <c r="K17" i="1"/>
  <c r="K24" i="1" s="1"/>
  <c r="K23" i="1"/>
  <c r="N13" i="1"/>
  <c r="P22" i="2" l="1"/>
  <c r="P23" i="2" s="1"/>
  <c r="P25" i="2" s="1"/>
  <c r="F25" i="1"/>
  <c r="G25" i="1"/>
  <c r="D24" i="1"/>
  <c r="E23" i="1"/>
  <c r="E17" i="1"/>
  <c r="F13" i="1"/>
  <c r="C17" i="1"/>
  <c r="J23" i="1"/>
  <c r="N17" i="1"/>
  <c r="N24" i="1" s="1"/>
  <c r="N23" i="1"/>
  <c r="R17" i="1"/>
  <c r="R24" i="1" s="1"/>
  <c r="C24" i="1" l="1"/>
  <c r="F23" i="1"/>
  <c r="F17" i="1"/>
  <c r="E24" i="1"/>
  <c r="F24" i="1" l="1"/>
</calcChain>
</file>

<file path=xl/sharedStrings.xml><?xml version="1.0" encoding="utf-8"?>
<sst xmlns="http://schemas.openxmlformats.org/spreadsheetml/2006/main" count="172" uniqueCount="51">
  <si>
    <t>PREMIUMS</t>
  </si>
  <si>
    <t>PRODUCTS</t>
  </si>
  <si>
    <t>SERVICES</t>
  </si>
  <si>
    <t>INVESTMENTS</t>
  </si>
  <si>
    <t>TOTAL REVENUES</t>
  </si>
  <si>
    <t>MEDICAL COSTS</t>
  </si>
  <si>
    <t>OPERATING COSTS</t>
  </si>
  <si>
    <t>COST OF PRODUCTS SOLD</t>
  </si>
  <si>
    <t>DEPRECIATION</t>
  </si>
  <si>
    <t>TOTAL OPERATING COSTS</t>
  </si>
  <si>
    <t>OPERATING INCOME</t>
  </si>
  <si>
    <t>INTEREST EXPENSE</t>
  </si>
  <si>
    <t>LOSS ON SALE</t>
  </si>
  <si>
    <t>TAX</t>
  </si>
  <si>
    <t>NET INCOME</t>
  </si>
  <si>
    <t>FY</t>
  </si>
  <si>
    <t>NET MARGIN</t>
  </si>
  <si>
    <t>DEBT</t>
  </si>
  <si>
    <t>CASH</t>
  </si>
  <si>
    <t>EV</t>
  </si>
  <si>
    <t>PRICE</t>
  </si>
  <si>
    <t>SHARES</t>
  </si>
  <si>
    <t>MC</t>
  </si>
  <si>
    <t>Y/Y REVENUE GROWTH</t>
  </si>
  <si>
    <t>Y/Y COST GROWTH</t>
  </si>
  <si>
    <t>Q/Q REVENUE GROWTH</t>
  </si>
  <si>
    <t>Q/Q COST GROWTH</t>
  </si>
  <si>
    <t>EBIT MARGIN</t>
  </si>
  <si>
    <t>MAIN</t>
  </si>
  <si>
    <t>QUARTERS</t>
  </si>
  <si>
    <t>YEARS</t>
  </si>
  <si>
    <t>INCOME</t>
  </si>
  <si>
    <t>STATEMENTS</t>
  </si>
  <si>
    <t>BALANCE</t>
  </si>
  <si>
    <t>SHEET</t>
  </si>
  <si>
    <t>FLOW</t>
  </si>
  <si>
    <t>ENTERPRISE VALUE</t>
  </si>
  <si>
    <t>ENTERPRISE</t>
  </si>
  <si>
    <t>VALUE</t>
  </si>
  <si>
    <t>(in millions)</t>
  </si>
  <si>
    <t>GROWTH RATES</t>
  </si>
  <si>
    <t>MATURITY</t>
  </si>
  <si>
    <t>DISCOUNT</t>
  </si>
  <si>
    <t>NPV</t>
  </si>
  <si>
    <t>AVG</t>
  </si>
  <si>
    <t>DCF MODEL</t>
  </si>
  <si>
    <t>Q225</t>
  </si>
  <si>
    <t>AS OF 09/01/2025</t>
  </si>
  <si>
    <t>IMPL PRICE</t>
  </si>
  <si>
    <t>CURR PRICE</t>
  </si>
  <si>
    <t>UNDERVAL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</si>
</sst>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&quot;Q&quot;#"/>
    <numFmt numFmtId="165" formatCode="&quot;FY&quot;\ #"/>
    <numFmt numFmtId="166" formatCode="0.0%"/>
  </numFmts>
  <fonts count="7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rgb="FF0000FF"/>
      <name val="Calibri"/>
      <family val="2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b/>
      <i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0">
    <xf numFmtId="0" fontId="0" fillId="0" borderId="0" xfId="0"/>
    <xf numFmtId="38" fontId="0" fillId="0" borderId="0" xfId="0" applyNumberFormat="1"/>
    <xf numFmtId="0" fontId="1" fillId="0" borderId="2" xfId="0" applyFont="1" applyBorder="1" applyAlignment="1">
      <alignment horizontal="centerContinuous"/>
    </xf>
    <xf numFmtId="0" fontId="1" fillId="0" borderId="3" xfId="0" applyFont="1" applyBorder="1" applyAlignment="1">
      <alignment horizontal="centerContinuous"/>
    </xf>
    <xf numFmtId="164" fontId="1" fillId="0" borderId="1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Continuous"/>
    </xf>
    <xf numFmtId="166" fontId="0" fillId="0" borderId="0" xfId="0" applyNumberFormat="1"/>
    <xf numFmtId="0" fontId="1" fillId="0" borderId="0" xfId="0" applyFont="1"/>
    <xf numFmtId="38" fontId="1" fillId="0" borderId="0" xfId="0" applyNumberFormat="1" applyFont="1"/>
    <xf numFmtId="38" fontId="1" fillId="0" borderId="8" xfId="0" applyNumberFormat="1" applyFont="1" applyBorder="1"/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0" borderId="6" xfId="1" applyNumberFormat="1" applyFont="1" applyBorder="1" applyAlignment="1">
      <alignment horizontal="center"/>
    </xf>
    <xf numFmtId="0" fontId="3" fillId="0" borderId="7" xfId="1" applyNumberFormat="1" applyFont="1" applyBorder="1" applyAlignment="1">
      <alignment horizontal="center"/>
    </xf>
    <xf numFmtId="0" fontId="3" fillId="0" borderId="5" xfId="1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3" fillId="2" borderId="4" xfId="1" applyNumberFormat="1" applyFont="1" applyFill="1" applyBorder="1" applyAlignment="1">
      <alignment horizontal="center"/>
    </xf>
    <xf numFmtId="0" fontId="3" fillId="2" borderId="5" xfId="1" applyNumberFormat="1" applyFont="1" applyFill="1" applyBorder="1" applyAlignment="1">
      <alignment horizontal="center"/>
    </xf>
    <xf numFmtId="0" fontId="3" fillId="0" borderId="0" xfId="1" applyNumberFormat="1" applyFont="1" applyBorder="1" applyAlignment="1">
      <alignment horizontal="center"/>
    </xf>
    <xf numFmtId="0" fontId="1" fillId="0" borderId="9" xfId="0" applyFont="1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0" borderId="11" xfId="0" applyBorder="1" applyAlignment="1">
      <alignment horizontal="centerContinuous"/>
    </xf>
    <xf numFmtId="0" fontId="1" fillId="0" borderId="10" xfId="0" applyFont="1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4" fillId="0" borderId="16" xfId="0" applyFont="1" applyBorder="1" applyAlignment="1">
      <alignment horizontal="centerContinuous"/>
    </xf>
    <xf numFmtId="0" fontId="4" fillId="0" borderId="0" xfId="0" applyFont="1" applyAlignment="1">
      <alignment horizontal="centerContinuous"/>
    </xf>
    <xf numFmtId="14" fontId="4" fillId="0" borderId="0" xfId="0" applyNumberFormat="1" applyFont="1" applyAlignment="1">
      <alignment horizontal="centerContinuous"/>
    </xf>
    <xf numFmtId="0" fontId="5" fillId="0" borderId="15" xfId="0" applyFont="1" applyBorder="1" applyAlignment="1">
      <alignment horizontal="centerContinuous"/>
    </xf>
    <xf numFmtId="0" fontId="0" fillId="0" borderId="12" xfId="0" applyBorder="1"/>
    <xf numFmtId="0" fontId="0" fillId="0" borderId="16" xfId="0" applyBorder="1"/>
    <xf numFmtId="4" fontId="0" fillId="0" borderId="4" xfId="0" applyNumberFormat="1" applyBorder="1"/>
    <xf numFmtId="3" fontId="0" fillId="0" borderId="7" xfId="0" applyNumberFormat="1" applyBorder="1"/>
    <xf numFmtId="3" fontId="0" fillId="0" borderId="5" xfId="0" applyNumberFormat="1" applyBorder="1"/>
    <xf numFmtId="0" fontId="0" fillId="0" borderId="4" xfId="0" applyBorder="1"/>
    <xf numFmtId="0" fontId="0" fillId="0" borderId="7" xfId="0" applyBorder="1"/>
    <xf numFmtId="0" fontId="0" fillId="0" borderId="5" xfId="0" applyBorder="1"/>
    <xf numFmtId="10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10" fontId="0" fillId="0" borderId="7" xfId="0" applyNumberFormat="1" applyBorder="1"/>
    <xf numFmtId="0" fontId="1" fillId="0" borderId="16" xfId="0" applyFont="1" applyBorder="1"/>
    <xf numFmtId="0" fontId="1" fillId="0" borderId="12" xfId="0" applyFont="1" applyBorder="1"/>
    <xf numFmtId="0" fontId="0" fillId="0" borderId="13" xfId="0" applyBorder="1"/>
    <xf numFmtId="8" fontId="0" fillId="0" borderId="0" xfId="0" applyNumberFormat="1"/>
    <xf numFmtId="0" fontId="0" fillId="0" borderId="9" xfId="0" applyBorder="1"/>
    <xf numFmtId="9" fontId="0" fillId="0" borderId="11" xfId="0" applyNumberFormat="1" applyBorder="1"/>
    <xf numFmtId="10" fontId="0" fillId="0" borderId="15" xfId="0" applyNumberFormat="1" applyBorder="1"/>
    <xf numFmtId="4" fontId="0" fillId="0" borderId="14" xfId="0" applyNumberFormat="1" applyBorder="1"/>
    <xf numFmtId="0" fontId="0" fillId="0" borderId="0" xfId="0" applyAlignment="1">
      <alignment horizontal="right"/>
    </xf>
    <xf numFmtId="38" fontId="1" fillId="0" borderId="8" xfId="0" applyNumberFormat="1" applyFont="1" applyBorder="1" applyAlignment="1">
      <alignment horizontal="right"/>
    </xf>
    <xf numFmtId="0" fontId="0" fillId="0" borderId="4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38" fontId="0" fillId="0" borderId="0" xfId="0" applyNumberFormat="1" applyFill="1" applyBorder="1"/>
    <xf numFmtId="10" fontId="1" fillId="0" borderId="0" xfId="0" applyNumberFormat="1" applyFont="1"/>
    <xf numFmtId="10" fontId="1" fillId="0" borderId="7" xfId="0" applyNumberFormat="1" applyFont="1" applyBorder="1"/>
    <xf numFmtId="10" fontId="1" fillId="0" borderId="13" xfId="0" applyNumberFormat="1" applyFont="1" applyBorder="1"/>
    <xf numFmtId="10" fontId="1" fillId="0" borderId="5" xfId="0" applyNumberFormat="1" applyFont="1" applyBorder="1"/>
    <xf numFmtId="0" fontId="0" fillId="0" borderId="16" xfId="0" applyFill="1" applyBorder="1"/>
    <xf numFmtId="0" fontId="6" fillId="0" borderId="9" xfId="0" applyFont="1" applyBorder="1" applyAlignment="1">
      <alignment horizontal="centerContinuous"/>
    </xf>
    <xf numFmtId="38" fontId="0" fillId="0" borderId="14" xfId="0" applyNumberFormat="1" applyBorder="1" applyAlignment="1">
      <alignment horizontal="right"/>
    </xf>
    <xf numFmtId="4" fontId="0" fillId="0" borderId="11" xfId="0" applyNumberFormat="1" applyBorder="1"/>
    <xf numFmtId="4" fontId="0" fillId="0" borderId="15" xfId="0" applyNumberFormat="1" applyBorder="1"/>
    <xf numFmtId="0" fontId="0" fillId="0" borderId="1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548640</xdr:colOff>
      <xdr:row>0</xdr:row>
      <xdr:rowOff>0</xdr:rowOff>
    </xdr:from>
    <xdr:to>
      <xdr:col>20</xdr:col>
      <xdr:colOff>548640</xdr:colOff>
      <xdr:row>73</xdr:row>
      <xdr:rowOff>121596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3794E35-4D9A-FE4A-B093-1BCDACAFEDEF}"/>
            </a:ext>
          </a:extLst>
        </xdr:cNvPr>
        <xdr:cNvCxnSpPr/>
      </xdr:nvCxnSpPr>
      <xdr:spPr>
        <a:xfrm>
          <a:off x="10885170" y="0"/>
          <a:ext cx="0" cy="12747936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0</xdr:row>
      <xdr:rowOff>0</xdr:rowOff>
    </xdr:from>
    <xdr:to>
      <xdr:col>7</xdr:col>
      <xdr:colOff>552450</xdr:colOff>
      <xdr:row>92</xdr:row>
      <xdr:rowOff>125406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300854C8-E0C6-4B54-8F52-70EB0897013C}"/>
            </a:ext>
          </a:extLst>
        </xdr:cNvPr>
        <xdr:cNvCxnSpPr/>
      </xdr:nvCxnSpPr>
      <xdr:spPr>
        <a:xfrm>
          <a:off x="5715000" y="0"/>
          <a:ext cx="0" cy="16996086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F21CD-610D-47B9-BC33-2921E8D59334}">
  <dimension ref="A1:C19"/>
  <sheetViews>
    <sheetView tabSelected="1" workbookViewId="0"/>
  </sheetViews>
  <sheetFormatPr defaultRowHeight="14.4" x14ac:dyDescent="0.55000000000000004"/>
  <cols>
    <col min="1" max="1" width="6.15625" bestFit="1" customWidth="1"/>
    <col min="2" max="2" width="8.83984375" customWidth="1"/>
    <col min="3" max="3" width="12.578125" bestFit="1" customWidth="1"/>
    <col min="5" max="8" width="8.83984375" customWidth="1"/>
    <col min="11" max="13" width="8.83984375" customWidth="1"/>
    <col min="15" max="17" width="8.83984375" customWidth="1"/>
  </cols>
  <sheetData>
    <row r="1" spans="1:3" ht="14.7" thickBot="1" x14ac:dyDescent="0.6">
      <c r="A1" s="20" t="s">
        <v>28</v>
      </c>
    </row>
    <row r="2" spans="1:3" ht="14.7" thickBot="1" x14ac:dyDescent="0.6">
      <c r="A2" s="19"/>
    </row>
    <row r="3" spans="1:3" x14ac:dyDescent="0.55000000000000004">
      <c r="C3" s="21" t="s">
        <v>37</v>
      </c>
    </row>
    <row r="4" spans="1:3" ht="14.7" thickBot="1" x14ac:dyDescent="0.6">
      <c r="C4" s="22" t="s">
        <v>38</v>
      </c>
    </row>
    <row r="5" spans="1:3" ht="14.7" thickBot="1" x14ac:dyDescent="0.6"/>
    <row r="6" spans="1:3" x14ac:dyDescent="0.55000000000000004">
      <c r="C6" s="14" t="s">
        <v>31</v>
      </c>
    </row>
    <row r="7" spans="1:3" ht="14.7" thickBot="1" x14ac:dyDescent="0.6">
      <c r="C7" s="15" t="s">
        <v>32</v>
      </c>
    </row>
    <row r="8" spans="1:3" x14ac:dyDescent="0.55000000000000004">
      <c r="C8" s="17" t="s">
        <v>29</v>
      </c>
    </row>
    <row r="9" spans="1:3" ht="14.7" thickBot="1" x14ac:dyDescent="0.6">
      <c r="C9" s="18" t="s">
        <v>30</v>
      </c>
    </row>
    <row r="10" spans="1:3" ht="14.7" thickBot="1" x14ac:dyDescent="0.6"/>
    <row r="11" spans="1:3" x14ac:dyDescent="0.55000000000000004">
      <c r="C11" s="14" t="s">
        <v>33</v>
      </c>
    </row>
    <row r="12" spans="1:3" ht="14.7" thickBot="1" x14ac:dyDescent="0.6">
      <c r="C12" s="15" t="s">
        <v>34</v>
      </c>
    </row>
    <row r="13" spans="1:3" x14ac:dyDescent="0.55000000000000004">
      <c r="C13" s="12" t="s">
        <v>29</v>
      </c>
    </row>
    <row r="14" spans="1:3" ht="14.7" thickBot="1" x14ac:dyDescent="0.6">
      <c r="C14" s="13" t="s">
        <v>30</v>
      </c>
    </row>
    <row r="15" spans="1:3" ht="14.7" thickBot="1" x14ac:dyDescent="0.6"/>
    <row r="16" spans="1:3" x14ac:dyDescent="0.55000000000000004">
      <c r="C16" s="14" t="s">
        <v>18</v>
      </c>
    </row>
    <row r="17" spans="3:3" ht="14.7" thickBot="1" x14ac:dyDescent="0.6">
      <c r="C17" s="15" t="s">
        <v>35</v>
      </c>
    </row>
    <row r="18" spans="3:3" x14ac:dyDescent="0.55000000000000004">
      <c r="C18" s="12" t="s">
        <v>29</v>
      </c>
    </row>
    <row r="19" spans="3:3" ht="14.7" thickBot="1" x14ac:dyDescent="0.6">
      <c r="C19" s="13" t="s">
        <v>30</v>
      </c>
    </row>
  </sheetData>
  <hyperlinks>
    <hyperlink ref="A1" location="MAIN!A1" tooltip="click to travel to main page" display="MAIN" xr:uid="{AED050EB-C792-44C3-AB00-E8FC80156753}"/>
    <hyperlink ref="C8" location="'IS - Q'!A1" tooltip="click to travel to quarterly income statements" display="QUARTERS" xr:uid="{11061093-6770-40EC-AEDA-6D71A071A799}"/>
    <hyperlink ref="C9" location="'IS - Y'!A1" tooltip="click to travel to yearly income statements" display="YEARS" xr:uid="{3C9B5299-FD94-4A6F-839E-61FB941396BF}"/>
    <hyperlink ref="C3:C4" location="EV!A1" tooltip="click to travel to enterprise value" display="ENTERPRISE" xr:uid="{B452A9F4-6782-4070-A13A-30CB90403C6F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55B29-20EC-4477-824A-1DD17EAC389C}">
  <dimension ref="A1:F10"/>
  <sheetViews>
    <sheetView workbookViewId="0">
      <selection activeCell="E7" sqref="E7"/>
    </sheetView>
  </sheetViews>
  <sheetFormatPr defaultRowHeight="14.4" x14ac:dyDescent="0.55000000000000004"/>
  <cols>
    <col min="1" max="1" width="6.15625" bestFit="1" customWidth="1"/>
    <col min="3" max="3" width="7.68359375" bestFit="1" customWidth="1"/>
    <col min="4" max="4" width="3.68359375" bestFit="1" customWidth="1"/>
    <col min="5" max="5" width="7.578125" bestFit="1" customWidth="1"/>
    <col min="6" max="6" width="5.41796875" bestFit="1" customWidth="1"/>
    <col min="9" max="12" width="8.83984375" customWidth="1"/>
  </cols>
  <sheetData>
    <row r="1" spans="1:6" ht="14.7" thickBot="1" x14ac:dyDescent="0.6">
      <c r="A1" s="16" t="s">
        <v>28</v>
      </c>
    </row>
    <row r="2" spans="1:6" ht="14.7" thickBot="1" x14ac:dyDescent="0.6">
      <c r="A2" s="23"/>
    </row>
    <row r="3" spans="1:6" x14ac:dyDescent="0.55000000000000004">
      <c r="C3" s="24" t="s">
        <v>36</v>
      </c>
      <c r="D3" s="27"/>
      <c r="E3" s="25"/>
      <c r="F3" s="26"/>
    </row>
    <row r="4" spans="1:6" ht="14.7" thickBot="1" x14ac:dyDescent="0.6">
      <c r="C4" s="29" t="s">
        <v>47</v>
      </c>
      <c r="D4" s="30"/>
      <c r="E4" s="31"/>
      <c r="F4" s="32"/>
    </row>
    <row r="5" spans="1:6" ht="14.7" thickBot="1" x14ac:dyDescent="0.6">
      <c r="C5" s="28" t="s">
        <v>20</v>
      </c>
      <c r="D5" s="26"/>
      <c r="E5" s="35">
        <v>309.87</v>
      </c>
      <c r="F5" s="38"/>
    </row>
    <row r="6" spans="1:6" x14ac:dyDescent="0.55000000000000004">
      <c r="C6" s="34" t="s">
        <v>21</v>
      </c>
      <c r="D6" s="56" t="s">
        <v>39</v>
      </c>
      <c r="E6" s="36">
        <v>905.67352500000004</v>
      </c>
      <c r="F6" s="39" t="s">
        <v>46</v>
      </c>
    </row>
    <row r="7" spans="1:6" x14ac:dyDescent="0.55000000000000004">
      <c r="C7" s="34" t="s">
        <v>22</v>
      </c>
      <c r="D7" s="57"/>
      <c r="E7" s="36">
        <f>E5*E6</f>
        <v>280641.05519175</v>
      </c>
      <c r="F7" s="39"/>
    </row>
    <row r="8" spans="1:6" x14ac:dyDescent="0.55000000000000004">
      <c r="C8" s="34" t="s">
        <v>18</v>
      </c>
      <c r="D8" s="57"/>
      <c r="E8" s="36">
        <f>28596+3424</f>
        <v>32020</v>
      </c>
      <c r="F8" s="39" t="s">
        <v>46</v>
      </c>
    </row>
    <row r="9" spans="1:6" x14ac:dyDescent="0.55000000000000004">
      <c r="C9" s="34" t="s">
        <v>17</v>
      </c>
      <c r="D9" s="57"/>
      <c r="E9" s="36">
        <f>73495+5698</f>
        <v>79193</v>
      </c>
      <c r="F9" s="39" t="s">
        <v>46</v>
      </c>
    </row>
    <row r="10" spans="1:6" ht="14.7" thickBot="1" x14ac:dyDescent="0.6">
      <c r="C10" s="33" t="s">
        <v>19</v>
      </c>
      <c r="D10" s="58"/>
      <c r="E10" s="37">
        <f>E7-E8+E9</f>
        <v>327814.05519175</v>
      </c>
      <c r="F10" s="40"/>
    </row>
  </sheetData>
  <mergeCells count="1">
    <mergeCell ref="D6:D10"/>
  </mergeCells>
  <hyperlinks>
    <hyperlink ref="A1" location="MAIN!A1" tooltip="click to travel to main page" display="MAIN" xr:uid="{9CE72511-9816-4AAD-9304-5E46F55A9BA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7390C-CED7-4546-A332-1B8314A04998}">
  <dimension ref="A1:V26"/>
  <sheetViews>
    <sheetView zoomScaleNormal="100" workbookViewId="0">
      <pane xSplit="2" ySplit="2" topLeftCell="Q18" activePane="bottomRight" state="frozen"/>
      <selection pane="topRight" activeCell="C1" sqref="C1"/>
      <selection pane="bottomLeft" activeCell="A3" sqref="A3"/>
      <selection pane="bottomRight" activeCell="V24" sqref="V24"/>
    </sheetView>
  </sheetViews>
  <sheetFormatPr defaultRowHeight="14.4" x14ac:dyDescent="0.55000000000000004"/>
  <cols>
    <col min="1" max="1" width="6.15625" bestFit="1" customWidth="1"/>
    <col min="2" max="2" width="23.83984375" bestFit="1" customWidth="1"/>
    <col min="3" max="20" width="7.26171875" bestFit="1" customWidth="1"/>
    <col min="21" max="21" width="8.26171875" bestFit="1" customWidth="1"/>
    <col min="22" max="22" width="7.734375" bestFit="1" customWidth="1"/>
  </cols>
  <sheetData>
    <row r="1" spans="1:22" ht="14.7" thickBot="1" x14ac:dyDescent="0.6">
      <c r="A1" s="16" t="s">
        <v>28</v>
      </c>
      <c r="C1" s="7">
        <v>2020</v>
      </c>
      <c r="D1" s="2"/>
      <c r="E1" s="2"/>
      <c r="F1" s="3"/>
      <c r="G1" s="7">
        <f>C1+1</f>
        <v>2021</v>
      </c>
      <c r="H1" s="2"/>
      <c r="I1" s="2"/>
      <c r="J1" s="3"/>
      <c r="K1" s="7">
        <f>G1+1</f>
        <v>2022</v>
      </c>
      <c r="L1" s="2"/>
      <c r="M1" s="2"/>
      <c r="N1" s="3"/>
      <c r="O1" s="7">
        <f>K1+1</f>
        <v>2023</v>
      </c>
      <c r="P1" s="2"/>
      <c r="Q1" s="2"/>
      <c r="R1" s="3"/>
      <c r="S1" s="7">
        <f>O1+1</f>
        <v>2024</v>
      </c>
      <c r="T1" s="2"/>
      <c r="U1" s="2"/>
      <c r="V1" s="3"/>
    </row>
    <row r="2" spans="1:22" ht="14.7" thickBot="1" x14ac:dyDescent="0.6">
      <c r="C2" s="4">
        <v>1</v>
      </c>
      <c r="D2" s="5">
        <f>C2+1</f>
        <v>2</v>
      </c>
      <c r="E2" s="5">
        <f t="shared" ref="E2:F2" si="0">D2+1</f>
        <v>3</v>
      </c>
      <c r="F2" s="6">
        <f t="shared" si="0"/>
        <v>4</v>
      </c>
      <c r="G2" s="4">
        <v>1</v>
      </c>
      <c r="H2" s="5">
        <f>G2+1</f>
        <v>2</v>
      </c>
      <c r="I2" s="5">
        <f t="shared" ref="I2:J2" si="1">H2+1</f>
        <v>3</v>
      </c>
      <c r="J2" s="6">
        <f t="shared" si="1"/>
        <v>4</v>
      </c>
      <c r="K2" s="4">
        <v>1</v>
      </c>
      <c r="L2" s="5">
        <f>K2+1</f>
        <v>2</v>
      </c>
      <c r="M2" s="5">
        <f t="shared" ref="M2:N2" si="2">L2+1</f>
        <v>3</v>
      </c>
      <c r="N2" s="6">
        <f t="shared" si="2"/>
        <v>4</v>
      </c>
      <c r="O2" s="4">
        <v>1</v>
      </c>
      <c r="P2" s="5">
        <f>O2+1</f>
        <v>2</v>
      </c>
      <c r="Q2" s="5">
        <f t="shared" ref="Q2:R2" si="3">P2+1</f>
        <v>3</v>
      </c>
      <c r="R2" s="6">
        <f t="shared" si="3"/>
        <v>4</v>
      </c>
      <c r="S2" s="4">
        <v>1</v>
      </c>
      <c r="T2" s="5">
        <f>S2+1</f>
        <v>2</v>
      </c>
      <c r="U2" s="5">
        <f t="shared" ref="U2:V2" si="4">T2+1</f>
        <v>3</v>
      </c>
      <c r="V2" s="6">
        <f t="shared" si="4"/>
        <v>4</v>
      </c>
    </row>
    <row r="3" spans="1:22" x14ac:dyDescent="0.55000000000000004">
      <c r="B3" t="s">
        <v>0</v>
      </c>
      <c r="C3" s="1">
        <v>50640</v>
      </c>
      <c r="D3" s="1">
        <v>49394</v>
      </c>
      <c r="E3" s="1">
        <v>50863</v>
      </c>
      <c r="F3" s="1">
        <f>'IS - Y'!D3-SUM('IS - Q'!C3:E3)</f>
        <v>50581</v>
      </c>
      <c r="G3" s="1">
        <v>55486</v>
      </c>
      <c r="H3" s="1">
        <v>56233</v>
      </c>
      <c r="I3" s="1">
        <v>56967</v>
      </c>
      <c r="J3" s="1">
        <f>'IS - Y'!E3-SUM('IS - Q'!G3:I3)</f>
        <v>57547</v>
      </c>
      <c r="K3" s="1">
        <v>64070</v>
      </c>
      <c r="L3" s="1">
        <v>63896</v>
      </c>
      <c r="M3" s="1">
        <v>64491</v>
      </c>
      <c r="N3" s="1">
        <f>'IS - Y'!F3-SUM('IS - Q'!K3:M3)</f>
        <v>64700</v>
      </c>
      <c r="O3" s="1">
        <v>72786</v>
      </c>
      <c r="P3" s="1">
        <v>72474</v>
      </c>
      <c r="Q3" s="1">
        <v>72339</v>
      </c>
      <c r="R3" s="1">
        <f>'IS - Y'!G3-SUM('IS - Q'!O3:Q3)</f>
        <v>73228</v>
      </c>
      <c r="S3" s="1">
        <v>77988</v>
      </c>
      <c r="T3" s="1">
        <v>76897</v>
      </c>
      <c r="U3" s="1">
        <v>77442</v>
      </c>
      <c r="V3" s="1">
        <f>308810-SUM(S3:U3)</f>
        <v>76483</v>
      </c>
    </row>
    <row r="4" spans="1:22" x14ac:dyDescent="0.55000000000000004">
      <c r="B4" t="s">
        <v>1</v>
      </c>
      <c r="C4" s="1">
        <v>8431</v>
      </c>
      <c r="D4" s="1">
        <v>8247</v>
      </c>
      <c r="E4" s="1">
        <v>8777</v>
      </c>
      <c r="F4" s="1">
        <f>'IS - Y'!D4-SUM('IS - Q'!C4:E4)</f>
        <v>8690</v>
      </c>
      <c r="G4" s="1">
        <v>8340</v>
      </c>
      <c r="H4" s="1">
        <v>8433</v>
      </c>
      <c r="I4" s="1">
        <v>8703</v>
      </c>
      <c r="J4" s="1">
        <f>'IS - Y'!E4-SUM('IS - Q'!G4:I4)</f>
        <v>8961</v>
      </c>
      <c r="K4" s="1">
        <v>9340</v>
      </c>
      <c r="L4" s="1">
        <v>9496</v>
      </c>
      <c r="M4" s="1">
        <v>9190</v>
      </c>
      <c r="N4" s="1">
        <f>'IS - Y'!F4-SUM('IS - Q'!K4:M4)</f>
        <v>9398</v>
      </c>
      <c r="O4" s="1">
        <v>10267</v>
      </c>
      <c r="P4" s="1">
        <v>10651</v>
      </c>
      <c r="Q4" s="1">
        <v>10354</v>
      </c>
      <c r="R4" s="1">
        <f>'IS - Y'!G4-SUM('IS - Q'!O4:Q4)</f>
        <v>11311</v>
      </c>
      <c r="S4" s="1">
        <v>11909</v>
      </c>
      <c r="T4" s="1">
        <v>12211</v>
      </c>
      <c r="U4" s="1">
        <v>12631</v>
      </c>
      <c r="V4" s="1">
        <f>50226-SUM(S4:U4)</f>
        <v>13475</v>
      </c>
    </row>
    <row r="5" spans="1:22" x14ac:dyDescent="0.55000000000000004">
      <c r="B5" t="s">
        <v>2</v>
      </c>
      <c r="C5" s="1">
        <v>4985</v>
      </c>
      <c r="D5" s="1">
        <v>4156</v>
      </c>
      <c r="E5" s="1">
        <v>5124</v>
      </c>
      <c r="F5" s="1">
        <f>'IS - Y'!D5-SUM('IS - Q'!C5:E5)</f>
        <v>5751</v>
      </c>
      <c r="G5" s="1">
        <v>5918</v>
      </c>
      <c r="H5" s="1">
        <v>6099</v>
      </c>
      <c r="I5" s="1">
        <v>6164</v>
      </c>
      <c r="J5" s="1">
        <f>'IS - Y'!E5-SUM('IS - Q'!G5:I5)</f>
        <v>6422</v>
      </c>
      <c r="K5" s="1">
        <v>6372</v>
      </c>
      <c r="L5" s="1">
        <v>6645</v>
      </c>
      <c r="M5" s="1">
        <v>6700</v>
      </c>
      <c r="N5" s="1">
        <f>'IS - Y'!F5-SUM('IS - Q'!K5:M5)</f>
        <v>7834</v>
      </c>
      <c r="O5" s="1">
        <v>8080</v>
      </c>
      <c r="P5" s="1">
        <v>8663</v>
      </c>
      <c r="Q5" s="1">
        <v>8671</v>
      </c>
      <c r="R5" s="1">
        <f>'IS - Y'!G5-SUM('IS - Q'!O5:Q5)</f>
        <v>8709</v>
      </c>
      <c r="S5" s="1">
        <v>8888</v>
      </c>
      <c r="T5" s="1">
        <v>8750</v>
      </c>
      <c r="U5" s="1">
        <v>9104</v>
      </c>
      <c r="V5" s="1">
        <f>36040-SUM(S5:U5)</f>
        <v>9298</v>
      </c>
    </row>
    <row r="6" spans="1:22" x14ac:dyDescent="0.55000000000000004">
      <c r="B6" t="s">
        <v>3</v>
      </c>
      <c r="C6" s="1">
        <v>365</v>
      </c>
      <c r="D6" s="1">
        <v>341</v>
      </c>
      <c r="E6" s="1">
        <v>351</v>
      </c>
      <c r="F6" s="1">
        <f>'IS - Y'!D6-SUM('IS - Q'!C6:E6)</f>
        <v>445</v>
      </c>
      <c r="G6" s="1">
        <v>452</v>
      </c>
      <c r="H6" s="1">
        <v>556</v>
      </c>
      <c r="I6" s="1">
        <v>503</v>
      </c>
      <c r="J6" s="1">
        <f>'IS - Y'!E6-SUM('IS - Q'!G6:I6)</f>
        <v>813</v>
      </c>
      <c r="K6" s="1">
        <v>367</v>
      </c>
      <c r="L6" s="1">
        <v>295</v>
      </c>
      <c r="M6" s="1">
        <v>513</v>
      </c>
      <c r="N6" s="1">
        <f>'IS - Y'!F6-SUM('IS - Q'!K6:M6)</f>
        <v>855</v>
      </c>
      <c r="O6" s="1">
        <v>798</v>
      </c>
      <c r="P6" s="1">
        <v>1115</v>
      </c>
      <c r="Q6" s="1">
        <v>997</v>
      </c>
      <c r="R6" s="1">
        <f>'IS - Y'!G6-SUM('IS - Q'!O6:Q6)</f>
        <v>1179</v>
      </c>
      <c r="S6" s="1">
        <v>1011</v>
      </c>
      <c r="T6" s="1">
        <v>997</v>
      </c>
      <c r="U6" s="1">
        <v>1643</v>
      </c>
      <c r="V6" s="1">
        <f>5202-SUM(S6:U6)</f>
        <v>1551</v>
      </c>
    </row>
    <row r="7" spans="1:22" x14ac:dyDescent="0.55000000000000004">
      <c r="B7" s="9" t="s">
        <v>4</v>
      </c>
      <c r="C7" s="10">
        <f t="shared" ref="C7:V7" si="5">SUM(C3:C6)</f>
        <v>64421</v>
      </c>
      <c r="D7" s="10">
        <f t="shared" si="5"/>
        <v>62138</v>
      </c>
      <c r="E7" s="10">
        <f t="shared" si="5"/>
        <v>65115</v>
      </c>
      <c r="F7" s="10">
        <f t="shared" si="5"/>
        <v>65467</v>
      </c>
      <c r="G7" s="10">
        <f t="shared" si="5"/>
        <v>70196</v>
      </c>
      <c r="H7" s="10">
        <f t="shared" si="5"/>
        <v>71321</v>
      </c>
      <c r="I7" s="10">
        <f t="shared" si="5"/>
        <v>72337</v>
      </c>
      <c r="J7" s="10">
        <f t="shared" si="5"/>
        <v>73743</v>
      </c>
      <c r="K7" s="10">
        <f t="shared" si="5"/>
        <v>80149</v>
      </c>
      <c r="L7" s="10">
        <f t="shared" si="5"/>
        <v>80332</v>
      </c>
      <c r="M7" s="10">
        <f t="shared" si="5"/>
        <v>80894</v>
      </c>
      <c r="N7" s="10">
        <f t="shared" si="5"/>
        <v>82787</v>
      </c>
      <c r="O7" s="10">
        <f t="shared" si="5"/>
        <v>91931</v>
      </c>
      <c r="P7" s="10">
        <f t="shared" si="5"/>
        <v>92903</v>
      </c>
      <c r="Q7" s="10">
        <f t="shared" si="5"/>
        <v>92361</v>
      </c>
      <c r="R7" s="10">
        <f t="shared" si="5"/>
        <v>94427</v>
      </c>
      <c r="S7" s="10">
        <f t="shared" si="5"/>
        <v>99796</v>
      </c>
      <c r="T7" s="10">
        <f t="shared" si="5"/>
        <v>98855</v>
      </c>
      <c r="U7" s="10">
        <f t="shared" si="5"/>
        <v>100820</v>
      </c>
      <c r="V7" s="10">
        <f t="shared" si="5"/>
        <v>100807</v>
      </c>
    </row>
    <row r="8" spans="1:22" x14ac:dyDescent="0.55000000000000004">
      <c r="B8" t="s">
        <v>5</v>
      </c>
      <c r="C8" s="1">
        <v>41000</v>
      </c>
      <c r="D8" s="1">
        <v>34678</v>
      </c>
      <c r="E8" s="1">
        <v>41636</v>
      </c>
      <c r="F8" s="1">
        <f>'IS - Y'!D8-SUM('IS - Q'!C8:E8)</f>
        <v>42082</v>
      </c>
      <c r="G8" s="1">
        <v>44904</v>
      </c>
      <c r="H8" s="1">
        <v>46546</v>
      </c>
      <c r="I8" s="1">
        <v>47302</v>
      </c>
      <c r="J8" s="1">
        <f>'IS - Y'!E8-SUM('IS - Q'!G8:I8)</f>
        <v>48159</v>
      </c>
      <c r="K8" s="1">
        <v>52523</v>
      </c>
      <c r="L8" s="1">
        <v>52093</v>
      </c>
      <c r="M8" s="1">
        <v>52635</v>
      </c>
      <c r="N8" s="1">
        <f>'IS - Y'!F8-SUM('IS - Q'!K8:M8)</f>
        <v>53591</v>
      </c>
      <c r="O8" s="1">
        <v>59845</v>
      </c>
      <c r="P8" s="1">
        <v>60268</v>
      </c>
      <c r="Q8" s="1">
        <v>59550</v>
      </c>
      <c r="R8" s="1">
        <f>'IS - Y'!G8-SUM('IS - Q'!O8:Q8)</f>
        <v>62231</v>
      </c>
      <c r="S8" s="1">
        <v>65735</v>
      </c>
      <c r="T8" s="1">
        <v>65458</v>
      </c>
      <c r="U8" s="1">
        <v>65957</v>
      </c>
      <c r="V8" s="1">
        <f>264185-SUM(S8:U8)</f>
        <v>67035</v>
      </c>
    </row>
    <row r="9" spans="1:22" x14ac:dyDescent="0.55000000000000004">
      <c r="B9" t="s">
        <v>6</v>
      </c>
      <c r="C9" s="1">
        <v>10015</v>
      </c>
      <c r="D9" s="1">
        <v>10001</v>
      </c>
      <c r="E9" s="1">
        <v>10174</v>
      </c>
      <c r="F9" s="1">
        <f>'IS - Y'!D9-SUM('IS - Q'!C9:E9)</f>
        <v>11514</v>
      </c>
      <c r="G9" s="1">
        <v>10223</v>
      </c>
      <c r="H9" s="1">
        <v>10359</v>
      </c>
      <c r="I9" s="1">
        <v>10725</v>
      </c>
      <c r="J9" s="1">
        <f>'IS - Y'!E9-SUM('IS - Q'!G9:I9)</f>
        <v>11272</v>
      </c>
      <c r="K9" s="1">
        <v>11401</v>
      </c>
      <c r="L9" s="1">
        <v>11709</v>
      </c>
      <c r="M9" s="1">
        <v>11663</v>
      </c>
      <c r="N9" s="1">
        <f>'IS - Y'!F9-SUM('IS - Q'!K9:M9)</f>
        <v>13009</v>
      </c>
      <c r="O9" s="1">
        <v>13625</v>
      </c>
      <c r="P9" s="1">
        <v>13809</v>
      </c>
      <c r="Q9" s="1">
        <v>13855</v>
      </c>
      <c r="R9" s="1">
        <f>'IS - Y'!G9-SUM('IS - Q'!O9:Q9)</f>
        <v>13339</v>
      </c>
      <c r="S9" s="1">
        <v>14077</v>
      </c>
      <c r="T9" s="1">
        <v>13162</v>
      </c>
      <c r="U9" s="1">
        <v>13280</v>
      </c>
      <c r="V9" s="1">
        <f>53013-SUM(S9:U9)</f>
        <v>12494</v>
      </c>
    </row>
    <row r="10" spans="1:22" x14ac:dyDescent="0.55000000000000004">
      <c r="B10" t="s">
        <v>7</v>
      </c>
      <c r="C10" s="1">
        <v>7687</v>
      </c>
      <c r="D10" s="1">
        <v>7501</v>
      </c>
      <c r="E10" s="1">
        <v>7935</v>
      </c>
      <c r="F10" s="1">
        <f>'IS - Y'!D10-SUM('IS - Q'!C10:E10)</f>
        <v>7622</v>
      </c>
      <c r="G10" s="1">
        <v>7572</v>
      </c>
      <c r="H10" s="1">
        <v>7660</v>
      </c>
      <c r="I10" s="1">
        <v>7802</v>
      </c>
      <c r="J10" s="1">
        <f>'IS - Y'!E10-SUM('IS - Q'!G10:I10)</f>
        <v>8000</v>
      </c>
      <c r="K10" s="1">
        <v>8487</v>
      </c>
      <c r="L10" s="1">
        <v>8596</v>
      </c>
      <c r="M10" s="1">
        <v>8306</v>
      </c>
      <c r="N10" s="1">
        <f>'IS - Y'!F10-SUM('IS - Q'!K10:M10)</f>
        <v>8314</v>
      </c>
      <c r="O10" s="1">
        <v>9405</v>
      </c>
      <c r="P10" s="1">
        <v>9748</v>
      </c>
      <c r="Q10" s="1">
        <v>9423</v>
      </c>
      <c r="R10" s="1">
        <f>'IS - Y'!G10-SUM('IS - Q'!O10:Q10)</f>
        <v>10194</v>
      </c>
      <c r="S10" s="1">
        <v>11056</v>
      </c>
      <c r="T10" s="1">
        <v>11340</v>
      </c>
      <c r="U10" s="1">
        <v>11834</v>
      </c>
      <c r="V10" s="1">
        <f>46694-SUM(S10:U10)</f>
        <v>12464</v>
      </c>
    </row>
    <row r="11" spans="1:22" x14ac:dyDescent="0.55000000000000004">
      <c r="B11" t="s">
        <v>8</v>
      </c>
      <c r="C11" s="1">
        <v>723</v>
      </c>
      <c r="D11" s="1">
        <v>717</v>
      </c>
      <c r="E11" s="1">
        <v>719</v>
      </c>
      <c r="F11" s="1">
        <f>'IS - Y'!D11-SUM('IS - Q'!C11:E11)</f>
        <v>732</v>
      </c>
      <c r="G11" s="1">
        <v>758</v>
      </c>
      <c r="H11" s="1">
        <v>778</v>
      </c>
      <c r="I11" s="1">
        <v>796</v>
      </c>
      <c r="J11" s="1">
        <f>'IS - Y'!E11-SUM('IS - Q'!G11:I11)</f>
        <v>771</v>
      </c>
      <c r="K11" s="1">
        <v>788</v>
      </c>
      <c r="L11" s="1">
        <v>802</v>
      </c>
      <c r="M11" s="1">
        <v>828</v>
      </c>
      <c r="N11" s="1">
        <f>'IS - Y'!F11-SUM('IS - Q'!K11:M11)</f>
        <v>982</v>
      </c>
      <c r="O11" s="1">
        <v>970</v>
      </c>
      <c r="P11" s="1">
        <v>1021</v>
      </c>
      <c r="Q11" s="1">
        <v>1007</v>
      </c>
      <c r="R11" s="1">
        <f>'IS - Y'!G11-SUM('IS - Q'!O11:Q11)</f>
        <v>974</v>
      </c>
      <c r="S11" s="1">
        <v>997</v>
      </c>
      <c r="T11" s="1">
        <v>1020</v>
      </c>
      <c r="U11" s="1">
        <v>1041</v>
      </c>
      <c r="V11" s="1">
        <f>4099-SUM(S11:U11)</f>
        <v>1041</v>
      </c>
    </row>
    <row r="12" spans="1:22" x14ac:dyDescent="0.55000000000000004">
      <c r="B12" s="9" t="s">
        <v>9</v>
      </c>
      <c r="C12" s="10">
        <f t="shared" ref="C12:V12" si="6">SUM(C8:C11)</f>
        <v>59425</v>
      </c>
      <c r="D12" s="10">
        <f t="shared" si="6"/>
        <v>52897</v>
      </c>
      <c r="E12" s="10">
        <f t="shared" si="6"/>
        <v>60464</v>
      </c>
      <c r="F12" s="10">
        <f t="shared" si="6"/>
        <v>61950</v>
      </c>
      <c r="G12" s="10">
        <f t="shared" si="6"/>
        <v>63457</v>
      </c>
      <c r="H12" s="10">
        <f t="shared" si="6"/>
        <v>65343</v>
      </c>
      <c r="I12" s="10">
        <f t="shared" si="6"/>
        <v>66625</v>
      </c>
      <c r="J12" s="10">
        <f t="shared" si="6"/>
        <v>68202</v>
      </c>
      <c r="K12" s="10">
        <f t="shared" si="6"/>
        <v>73199</v>
      </c>
      <c r="L12" s="10">
        <f t="shared" si="6"/>
        <v>73200</v>
      </c>
      <c r="M12" s="10">
        <f t="shared" si="6"/>
        <v>73432</v>
      </c>
      <c r="N12" s="10">
        <f t="shared" si="6"/>
        <v>75896</v>
      </c>
      <c r="O12" s="10">
        <f t="shared" si="6"/>
        <v>83845</v>
      </c>
      <c r="P12" s="10">
        <f t="shared" si="6"/>
        <v>84846</v>
      </c>
      <c r="Q12" s="10">
        <f t="shared" si="6"/>
        <v>83835</v>
      </c>
      <c r="R12" s="10">
        <f t="shared" si="6"/>
        <v>86738</v>
      </c>
      <c r="S12" s="10">
        <f t="shared" si="6"/>
        <v>91865</v>
      </c>
      <c r="T12" s="10">
        <f t="shared" si="6"/>
        <v>90980</v>
      </c>
      <c r="U12" s="10">
        <f t="shared" si="6"/>
        <v>92112</v>
      </c>
      <c r="V12" s="10">
        <f t="shared" si="6"/>
        <v>93034</v>
      </c>
    </row>
    <row r="13" spans="1:22" ht="14.7" thickBot="1" x14ac:dyDescent="0.6">
      <c r="B13" s="9" t="s">
        <v>10</v>
      </c>
      <c r="C13" s="11">
        <f t="shared" ref="C13:V13" si="7">C7-C12</f>
        <v>4996</v>
      </c>
      <c r="D13" s="11">
        <f t="shared" si="7"/>
        <v>9241</v>
      </c>
      <c r="E13" s="11">
        <f t="shared" si="7"/>
        <v>4651</v>
      </c>
      <c r="F13" s="11">
        <f t="shared" si="7"/>
        <v>3517</v>
      </c>
      <c r="G13" s="11">
        <f t="shared" si="7"/>
        <v>6739</v>
      </c>
      <c r="H13" s="11">
        <f t="shared" si="7"/>
        <v>5978</v>
      </c>
      <c r="I13" s="11">
        <f t="shared" si="7"/>
        <v>5712</v>
      </c>
      <c r="J13" s="11">
        <f t="shared" si="7"/>
        <v>5541</v>
      </c>
      <c r="K13" s="11">
        <f t="shared" si="7"/>
        <v>6950</v>
      </c>
      <c r="L13" s="11">
        <f t="shared" si="7"/>
        <v>7132</v>
      </c>
      <c r="M13" s="11">
        <f t="shared" si="7"/>
        <v>7462</v>
      </c>
      <c r="N13" s="11">
        <f t="shared" si="7"/>
        <v>6891</v>
      </c>
      <c r="O13" s="11">
        <f t="shared" si="7"/>
        <v>8086</v>
      </c>
      <c r="P13" s="11">
        <f t="shared" si="7"/>
        <v>8057</v>
      </c>
      <c r="Q13" s="11">
        <f t="shared" si="7"/>
        <v>8526</v>
      </c>
      <c r="R13" s="11">
        <f t="shared" si="7"/>
        <v>7689</v>
      </c>
      <c r="S13" s="11">
        <f t="shared" si="7"/>
        <v>7931</v>
      </c>
      <c r="T13" s="11">
        <f t="shared" si="7"/>
        <v>7875</v>
      </c>
      <c r="U13" s="11">
        <f t="shared" si="7"/>
        <v>8708</v>
      </c>
      <c r="V13" s="11">
        <f t="shared" si="7"/>
        <v>7773</v>
      </c>
    </row>
    <row r="14" spans="1:22" ht="14.7" thickTop="1" x14ac:dyDescent="0.55000000000000004">
      <c r="B14" t="s">
        <v>11</v>
      </c>
      <c r="C14" s="1">
        <v>-437</v>
      </c>
      <c r="D14" s="1">
        <v>-430</v>
      </c>
      <c r="E14" s="1">
        <v>-395</v>
      </c>
      <c r="F14" s="1">
        <f>'IS - Y'!D14-SUM('IS - Q'!C14:E14)</f>
        <v>-401</v>
      </c>
      <c r="G14" s="1">
        <v>-397</v>
      </c>
      <c r="H14" s="1">
        <v>-410</v>
      </c>
      <c r="I14" s="1">
        <v>-422</v>
      </c>
      <c r="J14" s="1">
        <f>'IS - Y'!E14-SUM('IS - Q'!G14:I14)</f>
        <v>-431</v>
      </c>
      <c r="K14" s="1">
        <v>-433</v>
      </c>
      <c r="L14" s="1">
        <v>-467</v>
      </c>
      <c r="M14" s="1">
        <v>-516</v>
      </c>
      <c r="N14" s="1">
        <f>'IS - Y'!F14-SUM('IS - Q'!K14:M14)</f>
        <v>-676</v>
      </c>
      <c r="O14" s="1">
        <v>-754</v>
      </c>
      <c r="P14" s="1">
        <v>-828</v>
      </c>
      <c r="Q14" s="1">
        <v>-834</v>
      </c>
      <c r="R14" s="1">
        <f>'IS - Y'!G14-SUM('IS - Q'!O14:Q14)</f>
        <v>-830</v>
      </c>
      <c r="S14" s="1">
        <v>-844</v>
      </c>
      <c r="T14" s="1">
        <v>-985</v>
      </c>
      <c r="U14" s="1">
        <v>-1074</v>
      </c>
      <c r="V14" s="1">
        <f>-3906-SUM(S14:U14)</f>
        <v>-1003</v>
      </c>
    </row>
    <row r="15" spans="1:22" x14ac:dyDescent="0.55000000000000004">
      <c r="B15" t="s">
        <v>12</v>
      </c>
      <c r="C15" s="1">
        <v>0</v>
      </c>
      <c r="D15" s="1">
        <v>0</v>
      </c>
      <c r="E15" s="1">
        <v>0</v>
      </c>
      <c r="F15" s="1">
        <f>'IS - Y'!D15-SUM('IS - Q'!C15:E15)</f>
        <v>0</v>
      </c>
      <c r="G15" s="1">
        <v>0</v>
      </c>
      <c r="H15" s="1">
        <v>0</v>
      </c>
      <c r="I15" s="1">
        <v>0</v>
      </c>
      <c r="J15" s="1">
        <f>'IS - Y'!E15-SUM('IS - Q'!G15:I15)</f>
        <v>0</v>
      </c>
      <c r="K15" s="1">
        <v>0</v>
      </c>
      <c r="L15" s="1">
        <v>0</v>
      </c>
      <c r="M15" s="1">
        <v>0</v>
      </c>
      <c r="N15" s="1">
        <f>'IS - Y'!F15-SUM('IS - Q'!K15:M15)</f>
        <v>0</v>
      </c>
      <c r="O15" s="1">
        <v>0</v>
      </c>
      <c r="P15" s="1">
        <v>0</v>
      </c>
      <c r="Q15" s="1">
        <v>0</v>
      </c>
      <c r="R15" s="1">
        <f>'IS - Y'!G15-SUM('IS - Q'!O15:Q15)</f>
        <v>0</v>
      </c>
      <c r="S15" s="1">
        <v>-7086</v>
      </c>
      <c r="T15" s="1">
        <v>-1225</v>
      </c>
      <c r="U15" s="1">
        <v>-20</v>
      </c>
      <c r="V15" s="1">
        <f>-8310-SUM(S15:U15)</f>
        <v>21</v>
      </c>
    </row>
    <row r="16" spans="1:22" x14ac:dyDescent="0.55000000000000004">
      <c r="B16" t="s">
        <v>13</v>
      </c>
      <c r="C16" s="1">
        <v>-1094</v>
      </c>
      <c r="D16" s="1">
        <v>-2115</v>
      </c>
      <c r="E16" s="1">
        <v>-1000</v>
      </c>
      <c r="F16" s="1">
        <f>'IS - Y'!D16-SUM('IS - Q'!C16:E16)</f>
        <v>-764</v>
      </c>
      <c r="G16" s="1">
        <v>-1364</v>
      </c>
      <c r="H16" s="1">
        <v>-1196</v>
      </c>
      <c r="I16" s="1">
        <v>-1562</v>
      </c>
      <c r="J16" s="1">
        <f>'IS - Y'!E16-SUM('IS - Q'!G16:I16)</f>
        <v>-456</v>
      </c>
      <c r="K16" s="1">
        <v>-1369</v>
      </c>
      <c r="L16" s="1">
        <v>-1466</v>
      </c>
      <c r="M16" s="1">
        <v>-1562</v>
      </c>
      <c r="N16" s="1">
        <f>'IS - Y'!F16-SUM('IS - Q'!K16:M16)</f>
        <v>-1307</v>
      </c>
      <c r="O16" s="1">
        <v>-1558</v>
      </c>
      <c r="P16" s="1">
        <v>-1572</v>
      </c>
      <c r="Q16" s="1">
        <v>-1654</v>
      </c>
      <c r="R16" s="1">
        <f>'IS - Y'!G16-SUM('IS - Q'!O16:Q16)</f>
        <v>-1184</v>
      </c>
      <c r="S16" s="1">
        <v>-1222</v>
      </c>
      <c r="T16" s="1">
        <v>-1244</v>
      </c>
      <c r="U16" s="1">
        <v>-1356</v>
      </c>
      <c r="V16" s="1">
        <f>-4829-SUM(S16:U16)</f>
        <v>-1007</v>
      </c>
    </row>
    <row r="17" spans="2:22" ht="14.7" thickBot="1" x14ac:dyDescent="0.6">
      <c r="B17" s="9" t="s">
        <v>14</v>
      </c>
      <c r="C17" s="11">
        <f t="shared" ref="C17:V17" si="8">SUM(C13:C16)</f>
        <v>3465</v>
      </c>
      <c r="D17" s="11">
        <f t="shared" si="8"/>
        <v>6696</v>
      </c>
      <c r="E17" s="11">
        <f t="shared" si="8"/>
        <v>3256</v>
      </c>
      <c r="F17" s="11">
        <f t="shared" si="8"/>
        <v>2352</v>
      </c>
      <c r="G17" s="11">
        <f t="shared" si="8"/>
        <v>4978</v>
      </c>
      <c r="H17" s="11">
        <f t="shared" si="8"/>
        <v>4372</v>
      </c>
      <c r="I17" s="11">
        <f t="shared" si="8"/>
        <v>3728</v>
      </c>
      <c r="J17" s="11">
        <f t="shared" si="8"/>
        <v>4654</v>
      </c>
      <c r="K17" s="11">
        <f t="shared" si="8"/>
        <v>5148</v>
      </c>
      <c r="L17" s="11">
        <f t="shared" si="8"/>
        <v>5199</v>
      </c>
      <c r="M17" s="11">
        <f t="shared" si="8"/>
        <v>5384</v>
      </c>
      <c r="N17" s="11">
        <f t="shared" si="8"/>
        <v>4908</v>
      </c>
      <c r="O17" s="11">
        <f t="shared" si="8"/>
        <v>5774</v>
      </c>
      <c r="P17" s="11">
        <f t="shared" si="8"/>
        <v>5657</v>
      </c>
      <c r="Q17" s="11">
        <f t="shared" si="8"/>
        <v>6038</v>
      </c>
      <c r="R17" s="11">
        <f t="shared" si="8"/>
        <v>5675</v>
      </c>
      <c r="S17" s="11">
        <f t="shared" si="8"/>
        <v>-1221</v>
      </c>
      <c r="T17" s="11">
        <f t="shared" si="8"/>
        <v>4421</v>
      </c>
      <c r="U17" s="11">
        <f t="shared" si="8"/>
        <v>6258</v>
      </c>
      <c r="V17" s="11">
        <f t="shared" si="8"/>
        <v>5784</v>
      </c>
    </row>
    <row r="18" spans="2:22" ht="14.7" thickTop="1" x14ac:dyDescent="0.55000000000000004"/>
    <row r="23" spans="2:22" x14ac:dyDescent="0.55000000000000004">
      <c r="B23" t="s">
        <v>27</v>
      </c>
      <c r="C23" s="8">
        <f t="shared" ref="C23:U23" si="9">C13/C7</f>
        <v>7.7552350941463191E-2</v>
      </c>
      <c r="D23" s="8">
        <f t="shared" si="9"/>
        <v>0.14871737101290675</v>
      </c>
      <c r="E23" s="8">
        <f t="shared" si="9"/>
        <v>7.1427474468248486E-2</v>
      </c>
      <c r="F23" s="8">
        <f t="shared" si="9"/>
        <v>5.3721722394488823E-2</v>
      </c>
      <c r="G23" s="8">
        <f t="shared" si="9"/>
        <v>9.600262123197903E-2</v>
      </c>
      <c r="H23" s="8">
        <f t="shared" si="9"/>
        <v>8.3818230254763676E-2</v>
      </c>
      <c r="I23" s="8">
        <f t="shared" si="9"/>
        <v>7.8963739165295768E-2</v>
      </c>
      <c r="J23" s="8">
        <f t="shared" si="9"/>
        <v>7.5139335258939829E-2</v>
      </c>
      <c r="K23" s="8">
        <f t="shared" si="9"/>
        <v>8.6713496113488622E-2</v>
      </c>
      <c r="L23" s="8">
        <f t="shared" si="9"/>
        <v>8.878155654035752E-2</v>
      </c>
      <c r="M23" s="8">
        <f t="shared" si="9"/>
        <v>9.2244171384775142E-2</v>
      </c>
      <c r="N23" s="8">
        <f t="shared" si="9"/>
        <v>8.3237706403179249E-2</v>
      </c>
      <c r="O23" s="8">
        <f t="shared" si="9"/>
        <v>8.7957272302052622E-2</v>
      </c>
      <c r="P23" s="8">
        <f t="shared" si="9"/>
        <v>8.6724863567376728E-2</v>
      </c>
      <c r="Q23" s="8">
        <f t="shared" si="9"/>
        <v>9.2311689999025559E-2</v>
      </c>
      <c r="R23" s="8">
        <f t="shared" si="9"/>
        <v>8.1427981403623964E-2</v>
      </c>
      <c r="S23" s="8">
        <f t="shared" si="9"/>
        <v>7.9472123131187622E-2</v>
      </c>
      <c r="T23" s="8">
        <f t="shared" si="9"/>
        <v>7.9662131404582476E-2</v>
      </c>
      <c r="U23" s="8">
        <f t="shared" si="9"/>
        <v>8.6371751636580049E-2</v>
      </c>
      <c r="V23" s="8">
        <f t="shared" ref="V23" si="10">V13/V7</f>
        <v>7.7107740533891495E-2</v>
      </c>
    </row>
    <row r="24" spans="2:22" x14ac:dyDescent="0.55000000000000004">
      <c r="B24" t="s">
        <v>16</v>
      </c>
      <c r="C24" s="8">
        <f t="shared" ref="C24:U24" si="11">C17/C7</f>
        <v>5.3786808649353472E-2</v>
      </c>
      <c r="D24" s="8">
        <f t="shared" si="11"/>
        <v>0.10776014677009238</v>
      </c>
      <c r="E24" s="8">
        <f t="shared" si="11"/>
        <v>5.0003839361130308E-2</v>
      </c>
      <c r="F24" s="8">
        <f t="shared" si="11"/>
        <v>3.5926497319260085E-2</v>
      </c>
      <c r="G24" s="8">
        <f t="shared" si="11"/>
        <v>7.0915721693543793E-2</v>
      </c>
      <c r="H24" s="8">
        <f t="shared" si="11"/>
        <v>6.1300318279328671E-2</v>
      </c>
      <c r="I24" s="8">
        <f t="shared" si="11"/>
        <v>5.1536558054660821E-2</v>
      </c>
      <c r="J24" s="8">
        <f t="shared" si="11"/>
        <v>6.3111074949486728E-2</v>
      </c>
      <c r="K24" s="8">
        <f t="shared" si="11"/>
        <v>6.4230370934135167E-2</v>
      </c>
      <c r="L24" s="8">
        <f t="shared" si="11"/>
        <v>6.4718916496539367E-2</v>
      </c>
      <c r="M24" s="8">
        <f t="shared" si="11"/>
        <v>6.6556234084110072E-2</v>
      </c>
      <c r="N24" s="8">
        <f t="shared" si="11"/>
        <v>5.9284670298476817E-2</v>
      </c>
      <c r="O24" s="8">
        <f t="shared" si="11"/>
        <v>6.2807975546877545E-2</v>
      </c>
      <c r="P24" s="8">
        <f t="shared" si="11"/>
        <v>6.0891467444538924E-2</v>
      </c>
      <c r="Q24" s="8">
        <f t="shared" si="11"/>
        <v>6.5373913231775313E-2</v>
      </c>
      <c r="R24" s="8">
        <f t="shared" si="11"/>
        <v>6.0099335995001432E-2</v>
      </c>
      <c r="S24" s="8">
        <f t="shared" si="11"/>
        <v>-1.2234959317006694E-2</v>
      </c>
      <c r="T24" s="8">
        <f t="shared" si="11"/>
        <v>4.4722067674877346E-2</v>
      </c>
      <c r="U24" s="8">
        <f t="shared" si="11"/>
        <v>6.2071017655227136E-2</v>
      </c>
      <c r="V24" s="8">
        <f t="shared" ref="V24" si="12">V17/V7</f>
        <v>5.737696786929479E-2</v>
      </c>
    </row>
    <row r="25" spans="2:22" x14ac:dyDescent="0.55000000000000004">
      <c r="B25" t="s">
        <v>25</v>
      </c>
      <c r="C25" s="8"/>
      <c r="D25" s="8">
        <f>D7/C7-1</f>
        <v>-3.5438754443426812E-2</v>
      </c>
      <c r="E25" s="8">
        <f t="shared" ref="E25:V25" si="13">E7/D7-1</f>
        <v>4.7909491776368718E-2</v>
      </c>
      <c r="F25" s="8">
        <f t="shared" si="13"/>
        <v>5.4058204714735325E-3</v>
      </c>
      <c r="G25" s="8">
        <f t="shared" si="13"/>
        <v>7.2234866421250432E-2</v>
      </c>
      <c r="H25" s="8">
        <f t="shared" si="13"/>
        <v>1.6026554219613631E-2</v>
      </c>
      <c r="I25" s="8">
        <f t="shared" si="13"/>
        <v>1.4245453653201734E-2</v>
      </c>
      <c r="J25" s="8">
        <f t="shared" si="13"/>
        <v>1.9436802742718085E-2</v>
      </c>
      <c r="K25" s="8">
        <f t="shared" si="13"/>
        <v>8.6869262167256656E-2</v>
      </c>
      <c r="L25" s="8">
        <f t="shared" si="13"/>
        <v>2.2832474516214507E-3</v>
      </c>
      <c r="M25" s="8">
        <f t="shared" si="13"/>
        <v>6.9959667380370405E-3</v>
      </c>
      <c r="N25" s="8">
        <f t="shared" si="13"/>
        <v>2.3400993893242905E-2</v>
      </c>
      <c r="O25" s="8">
        <f t="shared" si="13"/>
        <v>0.11045212412576855</v>
      </c>
      <c r="P25" s="8">
        <f t="shared" si="13"/>
        <v>1.0573147251743187E-2</v>
      </c>
      <c r="Q25" s="8">
        <f t="shared" si="13"/>
        <v>-5.8340419577408431E-3</v>
      </c>
      <c r="R25" s="8">
        <f t="shared" si="13"/>
        <v>2.236874871428407E-2</v>
      </c>
      <c r="S25" s="8">
        <f t="shared" si="13"/>
        <v>5.6858737437385454E-2</v>
      </c>
      <c r="T25" s="8">
        <f t="shared" si="13"/>
        <v>-9.4292356407070788E-3</v>
      </c>
      <c r="U25" s="8">
        <f t="shared" si="13"/>
        <v>1.9877598502857641E-2</v>
      </c>
      <c r="V25" s="8">
        <f t="shared" si="13"/>
        <v>-1.289426701051033E-4</v>
      </c>
    </row>
    <row r="26" spans="2:22" x14ac:dyDescent="0.55000000000000004">
      <c r="B26" t="s">
        <v>26</v>
      </c>
      <c r="C26" s="8"/>
      <c r="D26" s="8">
        <f>D12/C12-1</f>
        <v>-0.10985275557425322</v>
      </c>
      <c r="E26" s="8">
        <f t="shared" ref="E26:V26" si="14">E12/D12-1</f>
        <v>0.14305159082745722</v>
      </c>
      <c r="F26" s="8">
        <f t="shared" si="14"/>
        <v>2.457660756813973E-2</v>
      </c>
      <c r="G26" s="8">
        <f t="shared" si="14"/>
        <v>2.4326069410815165E-2</v>
      </c>
      <c r="H26" s="8">
        <f t="shared" si="14"/>
        <v>2.9720913374410962E-2</v>
      </c>
      <c r="I26" s="8">
        <f t="shared" si="14"/>
        <v>1.9619546087568773E-2</v>
      </c>
      <c r="J26" s="8">
        <f t="shared" si="14"/>
        <v>2.3669793621013069E-2</v>
      </c>
      <c r="K26" s="8">
        <f t="shared" si="14"/>
        <v>7.3267646110084739E-2</v>
      </c>
      <c r="L26" s="8">
        <f t="shared" si="14"/>
        <v>1.3661388816865738E-5</v>
      </c>
      <c r="M26" s="8">
        <f t="shared" si="14"/>
        <v>3.1693989071037709E-3</v>
      </c>
      <c r="N26" s="8">
        <f t="shared" si="14"/>
        <v>3.3554853469876855E-2</v>
      </c>
      <c r="O26" s="8">
        <f t="shared" si="14"/>
        <v>0.10473542742700537</v>
      </c>
      <c r="P26" s="8">
        <f t="shared" si="14"/>
        <v>1.1938696404078852E-2</v>
      </c>
      <c r="Q26" s="8">
        <f t="shared" si="14"/>
        <v>-1.1915706102821555E-2</v>
      </c>
      <c r="R26" s="8">
        <f t="shared" si="14"/>
        <v>3.4627542195980299E-2</v>
      </c>
      <c r="S26" s="8">
        <f t="shared" si="14"/>
        <v>5.9109041020083408E-2</v>
      </c>
      <c r="T26" s="8">
        <f t="shared" si="14"/>
        <v>-9.6337016273879694E-3</v>
      </c>
      <c r="U26" s="8">
        <f t="shared" si="14"/>
        <v>1.2442295009892357E-2</v>
      </c>
      <c r="V26" s="8">
        <f t="shared" si="14"/>
        <v>1.0009553586937558E-2</v>
      </c>
    </row>
  </sheetData>
  <hyperlinks>
    <hyperlink ref="A1" location="MAIN!A1" tooltip="click to travel to main page" display="MAIN" xr:uid="{B932A32B-A988-4C38-8A86-28BEB0F67675}"/>
  </hyperlinks>
  <pageMargins left="0.7" right="0.7" top="0.75" bottom="0.75" header="0.3" footer="0.3"/>
  <ignoredErrors>
    <ignoredError sqref="T7:U7 O7:S7 K7 G7 C7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88499-3247-4B46-B85D-44CAD6C9F224}">
  <dimension ref="A1:CB44"/>
  <sheetViews>
    <sheetView zoomScaleNormal="100" workbookViewId="0"/>
  </sheetViews>
  <sheetFormatPr defaultRowHeight="14.4" x14ac:dyDescent="0.55000000000000004"/>
  <cols>
    <col min="1" max="1" width="6.15625" bestFit="1" customWidth="1"/>
    <col min="2" max="2" width="23.83984375" bestFit="1" customWidth="1"/>
    <col min="3" max="7" width="8.26171875" bestFit="1" customWidth="1"/>
    <col min="8" max="8" width="7.734375" bestFit="1" customWidth="1"/>
    <col min="9" max="14" width="7.26171875" bestFit="1" customWidth="1"/>
    <col min="15" max="15" width="10.15625" bestFit="1" customWidth="1"/>
    <col min="16" max="16" width="8.26171875" bestFit="1" customWidth="1"/>
    <col min="17" max="27" width="7.26171875" bestFit="1" customWidth="1"/>
    <col min="28" max="100" width="6.83984375" bestFit="1" customWidth="1"/>
  </cols>
  <sheetData>
    <row r="1" spans="1:80" ht="14.7" thickBot="1" x14ac:dyDescent="0.6">
      <c r="A1" s="16" t="s">
        <v>28</v>
      </c>
      <c r="C1" s="14" t="s">
        <v>15</v>
      </c>
      <c r="D1" s="14" t="s">
        <v>15</v>
      </c>
      <c r="E1" s="14" t="s">
        <v>15</v>
      </c>
      <c r="F1" s="14" t="s">
        <v>15</v>
      </c>
      <c r="G1" s="14" t="s">
        <v>15</v>
      </c>
      <c r="H1" s="14" t="s">
        <v>15</v>
      </c>
      <c r="I1" s="14" t="s">
        <v>15</v>
      </c>
      <c r="J1" s="14" t="s">
        <v>15</v>
      </c>
      <c r="K1" s="14" t="s">
        <v>15</v>
      </c>
      <c r="L1" s="14" t="s">
        <v>15</v>
      </c>
      <c r="M1" s="14" t="s">
        <v>15</v>
      </c>
      <c r="N1" s="14" t="s">
        <v>15</v>
      </c>
      <c r="O1" s="14" t="s">
        <v>15</v>
      </c>
      <c r="P1" s="14" t="s">
        <v>15</v>
      </c>
      <c r="Q1" s="14" t="s">
        <v>15</v>
      </c>
      <c r="R1" s="14" t="s">
        <v>15</v>
      </c>
      <c r="S1" s="14" t="s">
        <v>15</v>
      </c>
      <c r="T1" s="14" t="s">
        <v>15</v>
      </c>
      <c r="U1" s="14" t="s">
        <v>15</v>
      </c>
      <c r="V1" s="14" t="s">
        <v>15</v>
      </c>
      <c r="W1" s="14" t="s">
        <v>15</v>
      </c>
      <c r="X1" s="14" t="s">
        <v>15</v>
      </c>
      <c r="Y1" s="14" t="s">
        <v>15</v>
      </c>
      <c r="Z1" s="14" t="s">
        <v>15</v>
      </c>
      <c r="AA1" s="14" t="s">
        <v>15</v>
      </c>
      <c r="AB1" s="14" t="s">
        <v>15</v>
      </c>
      <c r="AC1" s="14" t="s">
        <v>15</v>
      </c>
      <c r="AD1" s="14" t="s">
        <v>15</v>
      </c>
      <c r="AE1" s="14" t="s">
        <v>15</v>
      </c>
      <c r="AF1" s="14" t="s">
        <v>15</v>
      </c>
      <c r="AG1" s="14" t="s">
        <v>15</v>
      </c>
      <c r="AH1" s="14" t="s">
        <v>15</v>
      </c>
      <c r="AI1" s="14" t="s">
        <v>15</v>
      </c>
      <c r="AJ1" s="14" t="s">
        <v>15</v>
      </c>
      <c r="AK1" s="14" t="s">
        <v>15</v>
      </c>
      <c r="AL1" s="14" t="s">
        <v>15</v>
      </c>
      <c r="AM1" s="14" t="s">
        <v>15</v>
      </c>
      <c r="AN1" s="14" t="s">
        <v>15</v>
      </c>
      <c r="AO1" s="14" t="s">
        <v>15</v>
      </c>
      <c r="AP1" s="14" t="s">
        <v>15</v>
      </c>
      <c r="AQ1" s="14" t="s">
        <v>15</v>
      </c>
      <c r="AR1" s="14" t="s">
        <v>15</v>
      </c>
      <c r="AS1" s="14" t="s">
        <v>15</v>
      </c>
      <c r="AT1" s="14" t="s">
        <v>15</v>
      </c>
      <c r="AU1" s="14" t="s">
        <v>15</v>
      </c>
      <c r="AV1" s="14" t="s">
        <v>15</v>
      </c>
      <c r="AW1" s="14" t="s">
        <v>15</v>
      </c>
      <c r="AX1" s="14" t="s">
        <v>15</v>
      </c>
      <c r="AY1" s="14" t="s">
        <v>15</v>
      </c>
      <c r="AZ1" s="14" t="s">
        <v>15</v>
      </c>
      <c r="BA1" s="14" t="s">
        <v>15</v>
      </c>
      <c r="BB1" s="14" t="s">
        <v>15</v>
      </c>
      <c r="BC1" s="14" t="s">
        <v>15</v>
      </c>
      <c r="BD1" s="14" t="s">
        <v>15</v>
      </c>
      <c r="BE1" s="14" t="s">
        <v>15</v>
      </c>
      <c r="BF1" s="14" t="s">
        <v>15</v>
      </c>
      <c r="BG1" s="14" t="s">
        <v>15</v>
      </c>
      <c r="BH1" s="14" t="s">
        <v>15</v>
      </c>
      <c r="BI1" s="14" t="s">
        <v>15</v>
      </c>
      <c r="BJ1" s="14" t="s">
        <v>15</v>
      </c>
      <c r="BK1" s="14" t="s">
        <v>15</v>
      </c>
      <c r="BL1" s="14" t="s">
        <v>15</v>
      </c>
      <c r="BM1" s="14" t="s">
        <v>15</v>
      </c>
      <c r="BN1" s="14" t="s">
        <v>15</v>
      </c>
      <c r="BO1" s="14" t="s">
        <v>15</v>
      </c>
      <c r="BP1" s="14" t="s">
        <v>15</v>
      </c>
      <c r="BQ1" s="14" t="s">
        <v>15</v>
      </c>
      <c r="BR1" s="14" t="s">
        <v>15</v>
      </c>
      <c r="BS1" s="14" t="s">
        <v>15</v>
      </c>
      <c r="BT1" s="14" t="s">
        <v>15</v>
      </c>
      <c r="BU1" s="14" t="s">
        <v>15</v>
      </c>
      <c r="BV1" s="14" t="s">
        <v>15</v>
      </c>
      <c r="BW1" s="14" t="s">
        <v>15</v>
      </c>
      <c r="BX1" s="14" t="s">
        <v>15</v>
      </c>
      <c r="BY1" s="14" t="s">
        <v>15</v>
      </c>
      <c r="BZ1" s="14" t="s">
        <v>15</v>
      </c>
      <c r="CA1" s="14" t="s">
        <v>15</v>
      </c>
      <c r="CB1" s="14" t="s">
        <v>15</v>
      </c>
    </row>
    <row r="2" spans="1:80" ht="14.7" thickBot="1" x14ac:dyDescent="0.6">
      <c r="C2" s="15">
        <v>2019</v>
      </c>
      <c r="D2" s="15">
        <f>C2+1</f>
        <v>2020</v>
      </c>
      <c r="E2" s="15">
        <f t="shared" ref="E2:G2" si="0">D2+1</f>
        <v>2021</v>
      </c>
      <c r="F2" s="15">
        <f t="shared" si="0"/>
        <v>2022</v>
      </c>
      <c r="G2" s="15">
        <f t="shared" si="0"/>
        <v>2023</v>
      </c>
      <c r="H2" s="15">
        <f>G2+1</f>
        <v>2024</v>
      </c>
      <c r="I2" s="15">
        <f t="shared" ref="I2:M2" si="1">H2+1</f>
        <v>2025</v>
      </c>
      <c r="J2" s="15">
        <f t="shared" si="1"/>
        <v>2026</v>
      </c>
      <c r="K2" s="15">
        <f t="shared" si="1"/>
        <v>2027</v>
      </c>
      <c r="L2" s="15">
        <f t="shared" si="1"/>
        <v>2028</v>
      </c>
      <c r="M2" s="15">
        <f t="shared" si="1"/>
        <v>2029</v>
      </c>
      <c r="N2" s="15">
        <f t="shared" ref="N2" si="2">M2+1</f>
        <v>2030</v>
      </c>
      <c r="O2" s="15">
        <f t="shared" ref="O2" si="3">N2+1</f>
        <v>2031</v>
      </c>
      <c r="P2" s="15">
        <f t="shared" ref="P2" si="4">O2+1</f>
        <v>2032</v>
      </c>
      <c r="Q2" s="15">
        <f t="shared" ref="Q2" si="5">P2+1</f>
        <v>2033</v>
      </c>
      <c r="R2" s="15">
        <f t="shared" ref="R2" si="6">Q2+1</f>
        <v>2034</v>
      </c>
      <c r="S2" s="15">
        <f t="shared" ref="S2" si="7">R2+1</f>
        <v>2035</v>
      </c>
      <c r="T2" s="15">
        <f t="shared" ref="T2" si="8">S2+1</f>
        <v>2036</v>
      </c>
      <c r="U2" s="15">
        <f t="shared" ref="U2" si="9">T2+1</f>
        <v>2037</v>
      </c>
      <c r="V2" s="15">
        <f t="shared" ref="V2" si="10">U2+1</f>
        <v>2038</v>
      </c>
      <c r="W2" s="15">
        <f t="shared" ref="W2" si="11">V2+1</f>
        <v>2039</v>
      </c>
      <c r="X2" s="15">
        <f t="shared" ref="X2" si="12">W2+1</f>
        <v>2040</v>
      </c>
      <c r="Y2" s="15">
        <f t="shared" ref="Y2" si="13">X2+1</f>
        <v>2041</v>
      </c>
      <c r="Z2" s="15">
        <f t="shared" ref="Z2" si="14">Y2+1</f>
        <v>2042</v>
      </c>
      <c r="AA2" s="15">
        <f t="shared" ref="AA2" si="15">Z2+1</f>
        <v>2043</v>
      </c>
      <c r="AB2" s="15">
        <f t="shared" ref="AB2" si="16">AA2+1</f>
        <v>2044</v>
      </c>
      <c r="AC2" s="15">
        <f t="shared" ref="AC2" si="17">AB2+1</f>
        <v>2045</v>
      </c>
      <c r="AD2" s="15">
        <f t="shared" ref="AD2" si="18">AC2+1</f>
        <v>2046</v>
      </c>
      <c r="AE2" s="15">
        <f t="shared" ref="AE2" si="19">AD2+1</f>
        <v>2047</v>
      </c>
      <c r="AF2" s="15">
        <f t="shared" ref="AF2" si="20">AE2+1</f>
        <v>2048</v>
      </c>
      <c r="AG2" s="15">
        <f t="shared" ref="AG2" si="21">AF2+1</f>
        <v>2049</v>
      </c>
      <c r="AH2" s="15">
        <f t="shared" ref="AH2" si="22">AG2+1</f>
        <v>2050</v>
      </c>
      <c r="AI2" s="15">
        <f t="shared" ref="AI2" si="23">AH2+1</f>
        <v>2051</v>
      </c>
      <c r="AJ2" s="15">
        <f t="shared" ref="AJ2" si="24">AI2+1</f>
        <v>2052</v>
      </c>
      <c r="AK2" s="15">
        <f t="shared" ref="AK2" si="25">AJ2+1</f>
        <v>2053</v>
      </c>
      <c r="AL2" s="15">
        <f t="shared" ref="AL2" si="26">AK2+1</f>
        <v>2054</v>
      </c>
      <c r="AM2" s="15">
        <f t="shared" ref="AM2" si="27">AL2+1</f>
        <v>2055</v>
      </c>
      <c r="AN2" s="15">
        <f t="shared" ref="AN2" si="28">AM2+1</f>
        <v>2056</v>
      </c>
      <c r="AO2" s="15">
        <f t="shared" ref="AO2" si="29">AN2+1</f>
        <v>2057</v>
      </c>
      <c r="AP2" s="15">
        <f t="shared" ref="AP2" si="30">AO2+1</f>
        <v>2058</v>
      </c>
      <c r="AQ2" s="15">
        <f t="shared" ref="AQ2" si="31">AP2+1</f>
        <v>2059</v>
      </c>
      <c r="AR2" s="15">
        <f t="shared" ref="AR2" si="32">AQ2+1</f>
        <v>2060</v>
      </c>
      <c r="AS2" s="15">
        <f t="shared" ref="AS2" si="33">AR2+1</f>
        <v>2061</v>
      </c>
      <c r="AT2" s="15">
        <f t="shared" ref="AT2" si="34">AS2+1</f>
        <v>2062</v>
      </c>
      <c r="AU2" s="15">
        <f t="shared" ref="AU2" si="35">AT2+1</f>
        <v>2063</v>
      </c>
      <c r="AV2" s="15">
        <f t="shared" ref="AV2" si="36">AU2+1</f>
        <v>2064</v>
      </c>
      <c r="AW2" s="15">
        <f t="shared" ref="AW2" si="37">AV2+1</f>
        <v>2065</v>
      </c>
      <c r="AX2" s="15">
        <f t="shared" ref="AX2" si="38">AW2+1</f>
        <v>2066</v>
      </c>
      <c r="AY2" s="15">
        <f t="shared" ref="AY2" si="39">AX2+1</f>
        <v>2067</v>
      </c>
      <c r="AZ2" s="15">
        <f t="shared" ref="AZ2" si="40">AY2+1</f>
        <v>2068</v>
      </c>
      <c r="BA2" s="15">
        <f t="shared" ref="BA2" si="41">AZ2+1</f>
        <v>2069</v>
      </c>
      <c r="BB2" s="15">
        <f t="shared" ref="BB2" si="42">BA2+1</f>
        <v>2070</v>
      </c>
      <c r="BC2" s="15">
        <f t="shared" ref="BC2" si="43">BB2+1</f>
        <v>2071</v>
      </c>
      <c r="BD2" s="15">
        <f t="shared" ref="BD2" si="44">BC2+1</f>
        <v>2072</v>
      </c>
      <c r="BE2" s="15">
        <f t="shared" ref="BE2" si="45">BD2+1</f>
        <v>2073</v>
      </c>
      <c r="BF2" s="15">
        <f t="shared" ref="BF2" si="46">BE2+1</f>
        <v>2074</v>
      </c>
      <c r="BG2" s="15">
        <f t="shared" ref="BG2" si="47">BF2+1</f>
        <v>2075</v>
      </c>
      <c r="BH2" s="15">
        <f t="shared" ref="BH2" si="48">BG2+1</f>
        <v>2076</v>
      </c>
      <c r="BI2" s="15">
        <f t="shared" ref="BI2" si="49">BH2+1</f>
        <v>2077</v>
      </c>
      <c r="BJ2" s="15">
        <f t="shared" ref="BJ2" si="50">BI2+1</f>
        <v>2078</v>
      </c>
      <c r="BK2" s="15">
        <f t="shared" ref="BK2" si="51">BJ2+1</f>
        <v>2079</v>
      </c>
      <c r="BL2" s="15">
        <f t="shared" ref="BL2" si="52">BK2+1</f>
        <v>2080</v>
      </c>
      <c r="BM2" s="15">
        <f t="shared" ref="BM2" si="53">BL2+1</f>
        <v>2081</v>
      </c>
      <c r="BN2" s="15">
        <f t="shared" ref="BN2" si="54">BM2+1</f>
        <v>2082</v>
      </c>
      <c r="BO2" s="15">
        <f t="shared" ref="BO2" si="55">BN2+1</f>
        <v>2083</v>
      </c>
      <c r="BP2" s="15">
        <f t="shared" ref="BP2" si="56">BO2+1</f>
        <v>2084</v>
      </c>
      <c r="BQ2" s="15">
        <f t="shared" ref="BQ2" si="57">BP2+1</f>
        <v>2085</v>
      </c>
      <c r="BR2" s="15">
        <f t="shared" ref="BR2" si="58">BQ2+1</f>
        <v>2086</v>
      </c>
      <c r="BS2" s="15">
        <f t="shared" ref="BS2" si="59">BR2+1</f>
        <v>2087</v>
      </c>
      <c r="BT2" s="15">
        <f t="shared" ref="BT2" si="60">BS2+1</f>
        <v>2088</v>
      </c>
      <c r="BU2" s="15">
        <f t="shared" ref="BU2" si="61">BT2+1</f>
        <v>2089</v>
      </c>
      <c r="BV2" s="15">
        <f t="shared" ref="BV2" si="62">BU2+1</f>
        <v>2090</v>
      </c>
      <c r="BW2" s="15">
        <f t="shared" ref="BW2" si="63">BV2+1</f>
        <v>2091</v>
      </c>
      <c r="BX2" s="15">
        <f t="shared" ref="BX2" si="64">BW2+1</f>
        <v>2092</v>
      </c>
      <c r="BY2" s="15">
        <f t="shared" ref="BY2" si="65">BX2+1</f>
        <v>2093</v>
      </c>
      <c r="BZ2" s="15">
        <f t="shared" ref="BZ2" si="66">BY2+1</f>
        <v>2094</v>
      </c>
      <c r="CA2" s="15">
        <f t="shared" ref="CA2" si="67">BZ2+1</f>
        <v>2095</v>
      </c>
      <c r="CB2" s="15">
        <f t="shared" ref="CB2" si="68">CA2+1</f>
        <v>2096</v>
      </c>
    </row>
    <row r="3" spans="1:80" x14ac:dyDescent="0.55000000000000004">
      <c r="B3" t="s">
        <v>0</v>
      </c>
      <c r="C3" s="1">
        <v>189699</v>
      </c>
      <c r="D3" s="1">
        <v>201478</v>
      </c>
      <c r="E3" s="1">
        <v>226233</v>
      </c>
      <c r="F3" s="1">
        <v>257157</v>
      </c>
      <c r="G3" s="1">
        <v>290827</v>
      </c>
      <c r="H3" s="1">
        <v>308810</v>
      </c>
    </row>
    <row r="4" spans="1:80" x14ac:dyDescent="0.55000000000000004">
      <c r="B4" t="s">
        <v>1</v>
      </c>
      <c r="C4" s="1">
        <v>31597</v>
      </c>
      <c r="D4" s="1">
        <v>34145</v>
      </c>
      <c r="E4" s="1">
        <v>34437</v>
      </c>
      <c r="F4" s="1">
        <v>37424</v>
      </c>
      <c r="G4" s="1">
        <v>42583</v>
      </c>
      <c r="H4" s="1">
        <v>50226</v>
      </c>
    </row>
    <row r="5" spans="1:80" x14ac:dyDescent="0.55000000000000004">
      <c r="B5" t="s">
        <v>2</v>
      </c>
      <c r="C5" s="1">
        <v>18973</v>
      </c>
      <c r="D5" s="1">
        <v>20016</v>
      </c>
      <c r="E5" s="1">
        <v>24603</v>
      </c>
      <c r="F5" s="1">
        <v>27551</v>
      </c>
      <c r="G5" s="1">
        <v>34123</v>
      </c>
      <c r="H5" s="1">
        <v>36040</v>
      </c>
    </row>
    <row r="6" spans="1:80" x14ac:dyDescent="0.55000000000000004">
      <c r="B6" t="s">
        <v>3</v>
      </c>
      <c r="C6" s="1">
        <v>1886</v>
      </c>
      <c r="D6" s="1">
        <v>1502</v>
      </c>
      <c r="E6" s="1">
        <v>2324</v>
      </c>
      <c r="F6" s="1">
        <v>2030</v>
      </c>
      <c r="G6" s="1">
        <v>4089</v>
      </c>
      <c r="H6" s="59">
        <v>5202</v>
      </c>
    </row>
    <row r="7" spans="1:80" x14ac:dyDescent="0.55000000000000004">
      <c r="B7" s="9" t="s">
        <v>4</v>
      </c>
      <c r="C7" s="10">
        <f>SUM(C3:C6)</f>
        <v>242155</v>
      </c>
      <c r="D7" s="10">
        <f>SUM(D3:D6)</f>
        <v>257141</v>
      </c>
      <c r="E7" s="10">
        <f>SUM(E3:E6)</f>
        <v>287597</v>
      </c>
      <c r="F7" s="10">
        <f>SUM(F3:F6)</f>
        <v>324162</v>
      </c>
      <c r="G7" s="10">
        <f>SUM(G3:G6)</f>
        <v>371622</v>
      </c>
      <c r="H7" s="10">
        <f>SUM(H3:H6)</f>
        <v>400278</v>
      </c>
    </row>
    <row r="8" spans="1:80" x14ac:dyDescent="0.55000000000000004">
      <c r="B8" t="s">
        <v>5</v>
      </c>
      <c r="C8" s="1">
        <v>156440</v>
      </c>
      <c r="D8" s="1">
        <v>159396</v>
      </c>
      <c r="E8" s="1">
        <v>186911</v>
      </c>
      <c r="F8" s="1">
        <v>210842</v>
      </c>
      <c r="G8" s="1">
        <v>241894</v>
      </c>
      <c r="H8" s="59">
        <v>264185</v>
      </c>
    </row>
    <row r="9" spans="1:80" x14ac:dyDescent="0.55000000000000004">
      <c r="B9" t="s">
        <v>6</v>
      </c>
      <c r="C9" s="1">
        <v>35193</v>
      </c>
      <c r="D9" s="1">
        <v>41704</v>
      </c>
      <c r="E9" s="1">
        <v>42579</v>
      </c>
      <c r="F9" s="1">
        <v>47782</v>
      </c>
      <c r="G9" s="1">
        <v>54628</v>
      </c>
      <c r="H9" s="59">
        <v>53013</v>
      </c>
    </row>
    <row r="10" spans="1:80" x14ac:dyDescent="0.55000000000000004">
      <c r="B10" t="s">
        <v>7</v>
      </c>
      <c r="C10" s="1">
        <v>28117</v>
      </c>
      <c r="D10" s="1">
        <v>30745</v>
      </c>
      <c r="E10" s="1">
        <v>31034</v>
      </c>
      <c r="F10" s="1">
        <v>33703</v>
      </c>
      <c r="G10" s="1">
        <v>38770</v>
      </c>
      <c r="H10" s="59">
        <v>46694</v>
      </c>
    </row>
    <row r="11" spans="1:80" x14ac:dyDescent="0.55000000000000004">
      <c r="B11" t="s">
        <v>8</v>
      </c>
      <c r="C11" s="1">
        <v>2720</v>
      </c>
      <c r="D11" s="1">
        <v>2891</v>
      </c>
      <c r="E11" s="1">
        <v>3103</v>
      </c>
      <c r="F11" s="1">
        <v>3400</v>
      </c>
      <c r="G11" s="1">
        <v>3972</v>
      </c>
      <c r="H11" s="59">
        <v>4099</v>
      </c>
    </row>
    <row r="12" spans="1:80" x14ac:dyDescent="0.55000000000000004">
      <c r="B12" s="9" t="s">
        <v>9</v>
      </c>
      <c r="C12" s="10">
        <f>SUM(C8:C11)</f>
        <v>222470</v>
      </c>
      <c r="D12" s="10">
        <f>SUM(D8:D11)</f>
        <v>234736</v>
      </c>
      <c r="E12" s="10">
        <f t="shared" ref="E12:G12" si="69">SUM(E8:E11)</f>
        <v>263627</v>
      </c>
      <c r="F12" s="10">
        <f t="shared" si="69"/>
        <v>295727</v>
      </c>
      <c r="G12" s="10">
        <f t="shared" si="69"/>
        <v>339264</v>
      </c>
      <c r="H12" s="10">
        <f t="shared" ref="H12" si="70">SUM(H8:H11)</f>
        <v>367991</v>
      </c>
    </row>
    <row r="13" spans="1:80" ht="14.7" thickBot="1" x14ac:dyDescent="0.6">
      <c r="B13" s="9" t="s">
        <v>10</v>
      </c>
      <c r="C13" s="11">
        <f>C7-C8-C9-C10-C11</f>
        <v>19685</v>
      </c>
      <c r="D13" s="11">
        <f>D7-D8-D9-D10-D11</f>
        <v>22405</v>
      </c>
      <c r="E13" s="11">
        <f>E7-E8-E9-E10-E11</f>
        <v>23970</v>
      </c>
      <c r="F13" s="11">
        <f>F7-F8-F9-F10-F11</f>
        <v>28435</v>
      </c>
      <c r="G13" s="11">
        <f>G7-G8-G9-G10-G11</f>
        <v>32358</v>
      </c>
      <c r="H13" s="11">
        <f>H7-H8-H9-H10-H11</f>
        <v>32287</v>
      </c>
    </row>
    <row r="14" spans="1:80" ht="14.7" thickTop="1" x14ac:dyDescent="0.55000000000000004">
      <c r="B14" t="s">
        <v>11</v>
      </c>
      <c r="C14" s="1">
        <v>-1704</v>
      </c>
      <c r="D14" s="1">
        <v>-1663</v>
      </c>
      <c r="E14" s="1">
        <v>-1660</v>
      </c>
      <c r="F14" s="1">
        <v>-2092</v>
      </c>
      <c r="G14" s="1">
        <v>-3246</v>
      </c>
      <c r="H14" s="59">
        <v>-3906</v>
      </c>
    </row>
    <row r="15" spans="1:80" x14ac:dyDescent="0.55000000000000004">
      <c r="B15" t="s">
        <v>12</v>
      </c>
      <c r="C15" s="1"/>
      <c r="D15" s="1"/>
      <c r="E15" s="1"/>
      <c r="F15" s="1"/>
      <c r="G15" s="1"/>
      <c r="H15" s="59">
        <v>-8310</v>
      </c>
    </row>
    <row r="16" spans="1:80" x14ac:dyDescent="0.55000000000000004">
      <c r="B16" t="s">
        <v>13</v>
      </c>
      <c r="C16" s="1">
        <v>-3742</v>
      </c>
      <c r="D16" s="1">
        <v>-4973</v>
      </c>
      <c r="E16" s="1">
        <v>-4578</v>
      </c>
      <c r="F16" s="1">
        <v>-5704</v>
      </c>
      <c r="G16" s="1">
        <v>-5968</v>
      </c>
      <c r="H16" s="59">
        <v>-4829</v>
      </c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</row>
    <row r="17" spans="2:80" ht="14.7" thickBot="1" x14ac:dyDescent="0.6">
      <c r="B17" s="9" t="s">
        <v>14</v>
      </c>
      <c r="C17" s="11">
        <f>SUM(C13:C16)</f>
        <v>14239</v>
      </c>
      <c r="D17" s="11">
        <f>SUM(D13:D16)</f>
        <v>15769</v>
      </c>
      <c r="E17" s="11">
        <f>SUM(E13:E16)</f>
        <v>17732</v>
      </c>
      <c r="F17" s="11">
        <f>SUM(F13:F16)</f>
        <v>20639</v>
      </c>
      <c r="G17" s="11">
        <f>SUM(G13:G16)</f>
        <v>23144</v>
      </c>
      <c r="H17" s="11">
        <f>SUM(H13:H16)</f>
        <v>15242</v>
      </c>
      <c r="I17" s="55">
        <f>H17*$I$21</f>
        <v>16766.2</v>
      </c>
      <c r="J17" s="55">
        <f t="shared" ref="J17:R17" si="71">I17*$I$21</f>
        <v>18442.820000000003</v>
      </c>
      <c r="K17" s="55">
        <f t="shared" si="71"/>
        <v>20287.102000000006</v>
      </c>
      <c r="L17" s="55">
        <f t="shared" si="71"/>
        <v>22315.812200000008</v>
      </c>
      <c r="M17" s="55">
        <f t="shared" si="71"/>
        <v>24547.393420000011</v>
      </c>
      <c r="N17" s="55">
        <f t="shared" si="71"/>
        <v>27002.132762000016</v>
      </c>
      <c r="O17" s="55">
        <f t="shared" si="71"/>
        <v>29702.346038200019</v>
      </c>
      <c r="P17" s="55">
        <f t="shared" si="71"/>
        <v>32672.580642020024</v>
      </c>
      <c r="Q17" s="55">
        <f t="shared" si="71"/>
        <v>35939.838706222028</v>
      </c>
      <c r="R17" s="55">
        <f t="shared" si="71"/>
        <v>39533.822576844235</v>
      </c>
      <c r="S17" s="55">
        <f t="shared" ref="S17:V17" si="72">R17*$R$21</f>
        <v>39533.822576844235</v>
      </c>
      <c r="T17" s="55">
        <f t="shared" si="72"/>
        <v>39533.822576844235</v>
      </c>
      <c r="U17" s="55">
        <f t="shared" si="72"/>
        <v>39533.822576844235</v>
      </c>
      <c r="V17" s="55">
        <f t="shared" si="72"/>
        <v>39533.822576844235</v>
      </c>
      <c r="W17" s="55">
        <f>V17*$W$21</f>
        <v>39533.822576844235</v>
      </c>
      <c r="X17" s="55">
        <f t="shared" ref="X17:AA17" si="73">W17*$W$21</f>
        <v>39533.822576844235</v>
      </c>
      <c r="Y17" s="55">
        <f t="shared" si="73"/>
        <v>39533.822576844235</v>
      </c>
      <c r="Z17" s="55">
        <f t="shared" si="73"/>
        <v>39533.822576844235</v>
      </c>
      <c r="AA17" s="55">
        <f t="shared" si="73"/>
        <v>39533.822576844235</v>
      </c>
      <c r="AB17" s="55">
        <f t="shared" ref="AB17" si="74">AA17*$W$21</f>
        <v>39533.822576844235</v>
      </c>
      <c r="AC17" s="55">
        <f t="shared" ref="AC17" si="75">AB17*$W$21</f>
        <v>39533.822576844235</v>
      </c>
      <c r="AD17" s="55">
        <f t="shared" ref="AD17" si="76">AC17*$W$21</f>
        <v>39533.822576844235</v>
      </c>
      <c r="AE17" s="55">
        <f t="shared" ref="AE17" si="77">AD17*$W$21</f>
        <v>39533.822576844235</v>
      </c>
      <c r="AF17" s="55">
        <f t="shared" ref="AF17" si="78">AE17*$W$21</f>
        <v>39533.822576844235</v>
      </c>
      <c r="AG17" s="55">
        <f t="shared" ref="AG17" si="79">AF17*$W$21</f>
        <v>39533.822576844235</v>
      </c>
      <c r="AH17" s="55">
        <f t="shared" ref="AH17" si="80">AG17*$W$21</f>
        <v>39533.822576844235</v>
      </c>
      <c r="AI17" s="55">
        <f t="shared" ref="AI17" si="81">AH17*$W$21</f>
        <v>39533.822576844235</v>
      </c>
      <c r="AJ17" s="55">
        <f t="shared" ref="AJ17" si="82">AI17*$W$21</f>
        <v>39533.822576844235</v>
      </c>
      <c r="AK17" s="55">
        <f t="shared" ref="AK17" si="83">AJ17*$W$21</f>
        <v>39533.822576844235</v>
      </c>
      <c r="AL17" s="55">
        <f t="shared" ref="AL17" si="84">AK17*$W$21</f>
        <v>39533.822576844235</v>
      </c>
      <c r="AM17" s="55">
        <f t="shared" ref="AM17" si="85">AL17*$W$21</f>
        <v>39533.822576844235</v>
      </c>
      <c r="AN17" s="55">
        <f t="shared" ref="AN17" si="86">AM17*$W$21</f>
        <v>39533.822576844235</v>
      </c>
      <c r="AO17" s="55">
        <f t="shared" ref="AO17" si="87">AN17*$W$21</f>
        <v>39533.822576844235</v>
      </c>
      <c r="AP17" s="55">
        <f t="shared" ref="AP17" si="88">AO17*$W$21</f>
        <v>39533.822576844235</v>
      </c>
      <c r="AQ17" s="55">
        <f t="shared" ref="AQ17" si="89">AP17*$W$21</f>
        <v>39533.822576844235</v>
      </c>
      <c r="AR17" s="55">
        <f t="shared" ref="AR17" si="90">AQ17*$W$21</f>
        <v>39533.822576844235</v>
      </c>
      <c r="AS17" s="55">
        <f t="shared" ref="AS17" si="91">AR17*$W$21</f>
        <v>39533.822576844235</v>
      </c>
      <c r="AT17" s="55">
        <f t="shared" ref="AT17" si="92">AS17*$W$21</f>
        <v>39533.822576844235</v>
      </c>
      <c r="AU17" s="55">
        <f t="shared" ref="AU17" si="93">AT17*$W$21</f>
        <v>39533.822576844235</v>
      </c>
      <c r="AV17" s="55">
        <f t="shared" ref="AV17" si="94">AU17*$W$21</f>
        <v>39533.822576844235</v>
      </c>
      <c r="AW17" s="55">
        <f t="shared" ref="AW17" si="95">AV17*$W$21</f>
        <v>39533.822576844235</v>
      </c>
      <c r="AX17" s="55">
        <f t="shared" ref="AX17" si="96">AW17*$W$21</f>
        <v>39533.822576844235</v>
      </c>
      <c r="AY17" s="55">
        <f t="shared" ref="AY17" si="97">AX17*$W$21</f>
        <v>39533.822576844235</v>
      </c>
      <c r="AZ17" s="55">
        <f t="shared" ref="AZ17" si="98">AY17*$W$21</f>
        <v>39533.822576844235</v>
      </c>
      <c r="BA17" s="55">
        <f t="shared" ref="BA17" si="99">AZ17*$W$21</f>
        <v>39533.822576844235</v>
      </c>
      <c r="BB17" s="55">
        <f t="shared" ref="BB17" si="100">BA17*$W$21</f>
        <v>39533.822576844235</v>
      </c>
      <c r="BC17" s="55">
        <f t="shared" ref="BC17" si="101">BB17*$W$21</f>
        <v>39533.822576844235</v>
      </c>
      <c r="BD17" s="55">
        <f t="shared" ref="BD17" si="102">BC17*$W$21</f>
        <v>39533.822576844235</v>
      </c>
      <c r="BE17" s="55">
        <f t="shared" ref="BE17" si="103">BD17*$W$21</f>
        <v>39533.822576844235</v>
      </c>
      <c r="BF17" s="55">
        <f t="shared" ref="BF17" si="104">BE17*$W$21</f>
        <v>39533.822576844235</v>
      </c>
      <c r="BG17" s="55">
        <f t="shared" ref="BG17" si="105">BF17*$W$21</f>
        <v>39533.822576844235</v>
      </c>
      <c r="BH17" s="55">
        <f t="shared" ref="BH17" si="106">BG17*$W$21</f>
        <v>39533.822576844235</v>
      </c>
      <c r="BI17" s="55">
        <f t="shared" ref="BI17" si="107">BH17*$W$21</f>
        <v>39533.822576844235</v>
      </c>
      <c r="BJ17" s="55">
        <f t="shared" ref="BJ17" si="108">BI17*$W$21</f>
        <v>39533.822576844235</v>
      </c>
      <c r="BK17" s="55">
        <f t="shared" ref="BK17" si="109">BJ17*$W$21</f>
        <v>39533.822576844235</v>
      </c>
      <c r="BL17" s="55">
        <f t="shared" ref="BL17" si="110">BK17*$W$21</f>
        <v>39533.822576844235</v>
      </c>
      <c r="BM17" s="55">
        <f t="shared" ref="BM17" si="111">BL17*$W$21</f>
        <v>39533.822576844235</v>
      </c>
      <c r="BN17" s="55">
        <f t="shared" ref="BN17" si="112">BM17*$W$21</f>
        <v>39533.822576844235</v>
      </c>
      <c r="BO17" s="55">
        <f t="shared" ref="BO17" si="113">BN17*$W$21</f>
        <v>39533.822576844235</v>
      </c>
      <c r="BP17" s="55">
        <f t="shared" ref="BP17" si="114">BO17*$W$21</f>
        <v>39533.822576844235</v>
      </c>
      <c r="BQ17" s="55">
        <f t="shared" ref="BQ17" si="115">BP17*$W$21</f>
        <v>39533.822576844235</v>
      </c>
      <c r="BR17" s="55">
        <f t="shared" ref="BR17" si="116">BQ17*$W$21</f>
        <v>39533.822576844235</v>
      </c>
      <c r="BS17" s="55">
        <f t="shared" ref="BS17" si="117">BR17*$W$21</f>
        <v>39533.822576844235</v>
      </c>
      <c r="BT17" s="55">
        <f t="shared" ref="BT17" si="118">BS17*$W$21</f>
        <v>39533.822576844235</v>
      </c>
      <c r="BU17" s="55">
        <f t="shared" ref="BU17" si="119">BT17*$W$21</f>
        <v>39533.822576844235</v>
      </c>
      <c r="BV17" s="55">
        <f t="shared" ref="BV17" si="120">BU17*$W$21</f>
        <v>39533.822576844235</v>
      </c>
      <c r="BW17" s="55">
        <f t="shared" ref="BW17" si="121">BV17*$W$21</f>
        <v>39533.822576844235</v>
      </c>
      <c r="BX17" s="55">
        <f t="shared" ref="BX17" si="122">BW17*$W$21</f>
        <v>39533.822576844235</v>
      </c>
      <c r="BY17" s="55">
        <f t="shared" ref="BY17" si="123">BX17*$W$21</f>
        <v>39533.822576844235</v>
      </c>
      <c r="BZ17" s="55">
        <f t="shared" ref="BZ17" si="124">BY17*$W$21</f>
        <v>39533.822576844235</v>
      </c>
      <c r="CA17" s="55">
        <f t="shared" ref="CA17" si="125">BZ17*$W$21</f>
        <v>39533.822576844235</v>
      </c>
      <c r="CB17" s="55">
        <f t="shared" ref="CB17" si="126">CA17*$W$21</f>
        <v>39533.822576844235</v>
      </c>
    </row>
    <row r="18" spans="2:80" ht="15" thickTop="1" thickBot="1" x14ac:dyDescent="0.6"/>
    <row r="19" spans="2:80" ht="14.7" thickBot="1" x14ac:dyDescent="0.6">
      <c r="O19" s="65" t="s">
        <v>45</v>
      </c>
      <c r="P19" s="26"/>
    </row>
    <row r="20" spans="2:80" x14ac:dyDescent="0.55000000000000004">
      <c r="H20" s="41"/>
      <c r="J20" s="41"/>
      <c r="K20" s="41"/>
      <c r="L20" s="41"/>
      <c r="M20" s="41"/>
      <c r="O20" s="50" t="s">
        <v>41</v>
      </c>
      <c r="P20" s="51">
        <v>0.01</v>
      </c>
    </row>
    <row r="21" spans="2:80" x14ac:dyDescent="0.55000000000000004">
      <c r="I21" s="42">
        <v>1.1000000000000001</v>
      </c>
      <c r="O21" s="34" t="s">
        <v>42</v>
      </c>
      <c r="P21" s="52">
        <v>7.8200000000000006E-2</v>
      </c>
      <c r="R21">
        <v>1</v>
      </c>
      <c r="W21">
        <v>1</v>
      </c>
    </row>
    <row r="22" spans="2:80" ht="14.7" thickBot="1" x14ac:dyDescent="0.6">
      <c r="O22" s="33" t="s">
        <v>43</v>
      </c>
      <c r="P22" s="66">
        <f>NPV(P21,H17:CV17)</f>
        <v>390977.59268140903</v>
      </c>
      <c r="W22" s="49"/>
    </row>
    <row r="23" spans="2:80" x14ac:dyDescent="0.55000000000000004">
      <c r="B23" t="s">
        <v>27</v>
      </c>
      <c r="C23" s="8">
        <f>C13/C7</f>
        <v>8.1290908715492147E-2</v>
      </c>
      <c r="D23" s="8">
        <f>D13/D7</f>
        <v>8.7131184836334932E-2</v>
      </c>
      <c r="E23" s="8">
        <f>E13/E7</f>
        <v>8.3345792897700596E-2</v>
      </c>
      <c r="F23" s="8">
        <f>F13/F7</f>
        <v>8.7718486435794454E-2</v>
      </c>
      <c r="G23" s="8">
        <f>G13/G7</f>
        <v>8.7072347708155057E-2</v>
      </c>
      <c r="H23" s="8">
        <f>H13/H7</f>
        <v>8.0661440298992207E-2</v>
      </c>
      <c r="O23" s="50" t="s">
        <v>48</v>
      </c>
      <c r="P23" s="67">
        <f>P22/EV!E6</f>
        <v>431.69815820928301</v>
      </c>
    </row>
    <row r="24" spans="2:80" x14ac:dyDescent="0.55000000000000004">
      <c r="B24" t="s">
        <v>16</v>
      </c>
      <c r="C24" s="8">
        <f>C17/C7</f>
        <v>5.8801181061716667E-2</v>
      </c>
      <c r="D24" s="8">
        <f>D17/D7</f>
        <v>6.1324331786840686E-2</v>
      </c>
      <c r="E24" s="8">
        <f>E17/E7</f>
        <v>6.1655719635462125E-2</v>
      </c>
      <c r="F24" s="8">
        <f>F17/F7</f>
        <v>6.3668782892504369E-2</v>
      </c>
      <c r="G24" s="8">
        <f>G17/G7</f>
        <v>6.2278336589330019E-2</v>
      </c>
      <c r="H24" s="8">
        <f>H17/H7</f>
        <v>3.8078535417884571E-2</v>
      </c>
      <c r="O24" s="64" t="s">
        <v>49</v>
      </c>
      <c r="P24" s="68">
        <f>EV!E5</f>
        <v>309.87</v>
      </c>
    </row>
    <row r="25" spans="2:80" ht="14.7" thickBot="1" x14ac:dyDescent="0.6">
      <c r="B25" t="s">
        <v>23</v>
      </c>
      <c r="C25" s="8"/>
      <c r="D25" s="8">
        <f>D7/C7-1</f>
        <v>6.1885982118890848E-2</v>
      </c>
      <c r="E25" s="8">
        <f>E7/D7-1</f>
        <v>0.11844085540617799</v>
      </c>
      <c r="F25" s="8">
        <f>F7/E7-1</f>
        <v>0.12713971286209524</v>
      </c>
      <c r="G25" s="8">
        <f>G7/F7-1</f>
        <v>0.14640827734281014</v>
      </c>
      <c r="H25" s="8">
        <f>H7/G7-1</f>
        <v>7.7110612396467326E-2</v>
      </c>
      <c r="O25" s="69" t="s">
        <v>50</v>
      </c>
      <c r="P25" s="53">
        <f>P23-P24</f>
        <v>121.828158209283</v>
      </c>
    </row>
    <row r="26" spans="2:80" x14ac:dyDescent="0.55000000000000004">
      <c r="B26" t="s">
        <v>24</v>
      </c>
      <c r="C26" s="8"/>
      <c r="D26" s="8">
        <f>D12/C12-1</f>
        <v>5.5135523890861737E-2</v>
      </c>
      <c r="E26" s="8">
        <f>E12/D12-1</f>
        <v>0.12307869265898708</v>
      </c>
      <c r="F26" s="8">
        <f>F12/E12-1</f>
        <v>0.12176294537357712</v>
      </c>
      <c r="G26" s="8">
        <f>G12/F12-1</f>
        <v>0.14722024028918557</v>
      </c>
      <c r="H26" s="8">
        <f>H12/G12-1</f>
        <v>8.4674471797774098E-2</v>
      </c>
    </row>
    <row r="28" spans="2:80" ht="14.7" thickBot="1" x14ac:dyDescent="0.6"/>
    <row r="29" spans="2:80" ht="14.7" thickBot="1" x14ac:dyDescent="0.6">
      <c r="B29" s="43" t="s">
        <v>40</v>
      </c>
      <c r="C29" s="44"/>
      <c r="D29" s="44"/>
      <c r="E29" s="44"/>
      <c r="F29" s="44"/>
      <c r="G29" s="44"/>
      <c r="H29" s="44"/>
      <c r="I29" s="20" t="s">
        <v>44</v>
      </c>
    </row>
    <row r="30" spans="2:80" x14ac:dyDescent="0.55000000000000004">
      <c r="B30" s="34" t="s">
        <v>0</v>
      </c>
      <c r="D30" s="41">
        <f t="shared" ref="D30:H41" si="127">D3/C3-1</f>
        <v>6.2093105393280945E-2</v>
      </c>
      <c r="E30" s="41">
        <f t="shared" si="127"/>
        <v>0.12286701277558842</v>
      </c>
      <c r="F30" s="41">
        <f t="shared" si="127"/>
        <v>0.13669093368341478</v>
      </c>
      <c r="G30" s="41">
        <f t="shared" si="127"/>
        <v>0.13093168764606844</v>
      </c>
      <c r="H30" s="41">
        <f t="shared" si="127"/>
        <v>6.1834011285059498E-2</v>
      </c>
      <c r="I30" s="45">
        <f>AVERAGE(D30:H30)</f>
        <v>0.10288335015668242</v>
      </c>
    </row>
    <row r="31" spans="2:80" x14ac:dyDescent="0.55000000000000004">
      <c r="B31" s="34" t="s">
        <v>1</v>
      </c>
      <c r="D31" s="41">
        <f t="shared" si="127"/>
        <v>8.0640567142450159E-2</v>
      </c>
      <c r="E31" s="41">
        <f t="shared" si="127"/>
        <v>8.5517645336066206E-3</v>
      </c>
      <c r="F31" s="41">
        <f t="shared" si="127"/>
        <v>8.6738101460638317E-2</v>
      </c>
      <c r="G31" s="41">
        <f t="shared" si="127"/>
        <v>0.13785271483539985</v>
      </c>
      <c r="H31" s="41">
        <f t="shared" si="127"/>
        <v>0.17948477091797188</v>
      </c>
      <c r="I31" s="45">
        <f t="shared" ref="I31:I44" si="128">AVERAGE(D31:H31)</f>
        <v>9.8653583778013365E-2</v>
      </c>
    </row>
    <row r="32" spans="2:80" x14ac:dyDescent="0.55000000000000004">
      <c r="B32" s="34" t="s">
        <v>2</v>
      </c>
      <c r="D32" s="41">
        <f t="shared" si="127"/>
        <v>5.4972856164022588E-2</v>
      </c>
      <c r="E32" s="41">
        <f t="shared" si="127"/>
        <v>0.22916666666666674</v>
      </c>
      <c r="F32" s="41">
        <f t="shared" si="127"/>
        <v>0.1198227858391252</v>
      </c>
      <c r="G32" s="41">
        <f t="shared" si="127"/>
        <v>0.23853943595513782</v>
      </c>
      <c r="H32" s="41">
        <f t="shared" si="127"/>
        <v>5.6179116724789813E-2</v>
      </c>
      <c r="I32" s="45">
        <f t="shared" si="128"/>
        <v>0.13973617226994844</v>
      </c>
    </row>
    <row r="33" spans="2:9" x14ac:dyDescent="0.55000000000000004">
      <c r="B33" s="34" t="s">
        <v>3</v>
      </c>
      <c r="D33" s="41">
        <f t="shared" si="127"/>
        <v>-0.2036055143160127</v>
      </c>
      <c r="E33" s="41">
        <f t="shared" si="127"/>
        <v>0.54727030625832218</v>
      </c>
      <c r="F33" s="41">
        <f t="shared" si="127"/>
        <v>-0.12650602409638556</v>
      </c>
      <c r="G33" s="41">
        <f t="shared" si="127"/>
        <v>1.0142857142857142</v>
      </c>
      <c r="H33" s="41">
        <f t="shared" si="127"/>
        <v>0.27219369038884822</v>
      </c>
      <c r="I33" s="45">
        <f t="shared" si="128"/>
        <v>0.30072763450409729</v>
      </c>
    </row>
    <row r="34" spans="2:9" x14ac:dyDescent="0.55000000000000004">
      <c r="B34" s="46" t="s">
        <v>4</v>
      </c>
      <c r="D34" s="60">
        <f t="shared" si="127"/>
        <v>6.1885982118890848E-2</v>
      </c>
      <c r="E34" s="60">
        <f t="shared" si="127"/>
        <v>0.11844085540617799</v>
      </c>
      <c r="F34" s="60">
        <f t="shared" si="127"/>
        <v>0.12713971286209524</v>
      </c>
      <c r="G34" s="60">
        <f t="shared" si="127"/>
        <v>0.14640827734281014</v>
      </c>
      <c r="H34" s="60">
        <f t="shared" si="127"/>
        <v>7.7110612396467326E-2</v>
      </c>
      <c r="I34" s="61">
        <f t="shared" si="128"/>
        <v>0.10619708802528831</v>
      </c>
    </row>
    <row r="35" spans="2:9" x14ac:dyDescent="0.55000000000000004">
      <c r="B35" s="34" t="s">
        <v>5</v>
      </c>
      <c r="D35" s="41">
        <f t="shared" si="127"/>
        <v>1.8895423165430802E-2</v>
      </c>
      <c r="E35" s="41">
        <f t="shared" si="127"/>
        <v>0.17262039197972356</v>
      </c>
      <c r="F35" s="41">
        <f t="shared" si="127"/>
        <v>0.12803419809428007</v>
      </c>
      <c r="G35" s="41">
        <f t="shared" si="127"/>
        <v>0.14727615939898131</v>
      </c>
      <c r="H35" s="41">
        <f t="shared" si="127"/>
        <v>9.215193431833768E-2</v>
      </c>
      <c r="I35" s="45">
        <f t="shared" si="128"/>
        <v>0.11179562139135069</v>
      </c>
    </row>
    <row r="36" spans="2:9" x14ac:dyDescent="0.55000000000000004">
      <c r="B36" s="34" t="s">
        <v>6</v>
      </c>
      <c r="D36" s="41">
        <f t="shared" si="127"/>
        <v>0.18500838234876249</v>
      </c>
      <c r="E36" s="41">
        <f t="shared" si="127"/>
        <v>2.0981200844043757E-2</v>
      </c>
      <c r="F36" s="41">
        <f t="shared" si="127"/>
        <v>0.12219638789074416</v>
      </c>
      <c r="G36" s="41">
        <f t="shared" si="127"/>
        <v>0.14327571051860533</v>
      </c>
      <c r="H36" s="41">
        <f t="shared" si="127"/>
        <v>-2.956359376144102E-2</v>
      </c>
      <c r="I36" s="45">
        <f t="shared" si="128"/>
        <v>8.8379617568142943E-2</v>
      </c>
    </row>
    <row r="37" spans="2:9" x14ac:dyDescent="0.55000000000000004">
      <c r="B37" s="34" t="s">
        <v>7</v>
      </c>
      <c r="D37" s="41">
        <f t="shared" si="127"/>
        <v>9.3466586051143441E-2</v>
      </c>
      <c r="E37" s="41">
        <f t="shared" si="127"/>
        <v>9.3999024231581352E-3</v>
      </c>
      <c r="F37" s="41">
        <f t="shared" si="127"/>
        <v>8.6002448926983277E-2</v>
      </c>
      <c r="G37" s="41">
        <f t="shared" si="127"/>
        <v>0.15034269946295575</v>
      </c>
      <c r="H37" s="41">
        <f t="shared" si="127"/>
        <v>0.2043848336342533</v>
      </c>
      <c r="I37" s="45">
        <f t="shared" si="128"/>
        <v>0.10871929409969878</v>
      </c>
    </row>
    <row r="38" spans="2:9" x14ac:dyDescent="0.55000000000000004">
      <c r="B38" s="34" t="s">
        <v>8</v>
      </c>
      <c r="D38" s="41">
        <f t="shared" si="127"/>
        <v>6.2867647058823639E-2</v>
      </c>
      <c r="E38" s="41">
        <f t="shared" si="127"/>
        <v>7.3331027326184683E-2</v>
      </c>
      <c r="F38" s="41">
        <f t="shared" si="127"/>
        <v>9.5713825330325575E-2</v>
      </c>
      <c r="G38" s="41">
        <f t="shared" si="127"/>
        <v>0.16823529411764704</v>
      </c>
      <c r="H38" s="41">
        <f t="shared" si="127"/>
        <v>3.1973816717019155E-2</v>
      </c>
      <c r="I38" s="45">
        <f t="shared" si="128"/>
        <v>8.6424322110000021E-2</v>
      </c>
    </row>
    <row r="39" spans="2:9" x14ac:dyDescent="0.55000000000000004">
      <c r="B39" s="46" t="s">
        <v>9</v>
      </c>
      <c r="D39" s="60">
        <f t="shared" si="127"/>
        <v>5.5135523890861737E-2</v>
      </c>
      <c r="E39" s="60">
        <f t="shared" si="127"/>
        <v>0.12307869265898708</v>
      </c>
      <c r="F39" s="60">
        <f t="shared" si="127"/>
        <v>0.12176294537357712</v>
      </c>
      <c r="G39" s="60">
        <f t="shared" si="127"/>
        <v>0.14722024028918557</v>
      </c>
      <c r="H39" s="60">
        <f t="shared" si="127"/>
        <v>8.4674471797774098E-2</v>
      </c>
      <c r="I39" s="61">
        <f t="shared" si="128"/>
        <v>0.10637437480207712</v>
      </c>
    </row>
    <row r="40" spans="2:9" x14ac:dyDescent="0.55000000000000004">
      <c r="B40" s="46" t="s">
        <v>10</v>
      </c>
      <c r="D40" s="60">
        <f t="shared" si="127"/>
        <v>0.1381762763525527</v>
      </c>
      <c r="E40" s="60">
        <f t="shared" si="127"/>
        <v>6.9850479803615251E-2</v>
      </c>
      <c r="F40" s="60">
        <f t="shared" si="127"/>
        <v>0.18627450980392157</v>
      </c>
      <c r="G40" s="60">
        <f t="shared" si="127"/>
        <v>0.13796377703534368</v>
      </c>
      <c r="H40" s="60">
        <f t="shared" si="127"/>
        <v>-2.1942023610853623E-3</v>
      </c>
      <c r="I40" s="61">
        <f t="shared" si="128"/>
        <v>0.10601416812686956</v>
      </c>
    </row>
    <row r="41" spans="2:9" x14ac:dyDescent="0.55000000000000004">
      <c r="B41" s="34" t="s">
        <v>11</v>
      </c>
      <c r="D41" s="41">
        <f t="shared" si="127"/>
        <v>-2.4061032863849752E-2</v>
      </c>
      <c r="E41" s="41">
        <f t="shared" si="127"/>
        <v>-1.8039687312086938E-3</v>
      </c>
      <c r="F41" s="41">
        <f t="shared" si="127"/>
        <v>0.26024096385542173</v>
      </c>
      <c r="G41" s="41">
        <f t="shared" si="127"/>
        <v>0.55162523900573612</v>
      </c>
      <c r="H41" s="41">
        <f t="shared" si="127"/>
        <v>0.20332717190388161</v>
      </c>
      <c r="I41" s="45">
        <f t="shared" si="128"/>
        <v>0.19786567463399621</v>
      </c>
    </row>
    <row r="42" spans="2:9" x14ac:dyDescent="0.55000000000000004">
      <c r="B42" s="34" t="s">
        <v>12</v>
      </c>
      <c r="D42" s="41"/>
      <c r="E42" s="41"/>
      <c r="F42" s="41"/>
      <c r="G42" s="41"/>
      <c r="H42" s="41"/>
      <c r="I42" s="45"/>
    </row>
    <row r="43" spans="2:9" x14ac:dyDescent="0.55000000000000004">
      <c r="B43" s="34" t="s">
        <v>13</v>
      </c>
      <c r="D43" s="41">
        <f t="shared" ref="D43:H44" si="129">D16/C16-1</f>
        <v>0.32896846606093</v>
      </c>
      <c r="E43" s="41">
        <f t="shared" si="129"/>
        <v>-7.9428916147194828E-2</v>
      </c>
      <c r="F43" s="41">
        <f t="shared" si="129"/>
        <v>0.24595893403232849</v>
      </c>
      <c r="G43" s="41">
        <f t="shared" si="129"/>
        <v>4.628330995792429E-2</v>
      </c>
      <c r="H43" s="41">
        <f t="shared" si="129"/>
        <v>-0.1908512064343163</v>
      </c>
      <c r="I43" s="45">
        <f t="shared" si="128"/>
        <v>7.018611749393433E-2</v>
      </c>
    </row>
    <row r="44" spans="2:9" ht="14.7" thickBot="1" x14ac:dyDescent="0.6">
      <c r="B44" s="47" t="s">
        <v>14</v>
      </c>
      <c r="C44" s="48"/>
      <c r="D44" s="62">
        <f t="shared" si="129"/>
        <v>0.10745136596671112</v>
      </c>
      <c r="E44" s="62">
        <f t="shared" si="129"/>
        <v>0.12448474855729597</v>
      </c>
      <c r="F44" s="62">
        <f t="shared" si="129"/>
        <v>0.16394089781186549</v>
      </c>
      <c r="G44" s="62">
        <f t="shared" si="129"/>
        <v>0.12137215950385194</v>
      </c>
      <c r="H44" s="62">
        <f t="shared" si="129"/>
        <v>-0.34142758382302107</v>
      </c>
      <c r="I44" s="63">
        <f t="shared" si="128"/>
        <v>3.516431760334069E-2</v>
      </c>
    </row>
  </sheetData>
  <hyperlinks>
    <hyperlink ref="A1" location="MAIN!A1" tooltip="click to travel to main page" display="MAIN" xr:uid="{111E8870-67FD-4E3C-8020-90F6F8E485FD}"/>
  </hyperlinks>
  <pageMargins left="0.7" right="0.7" top="0.75" bottom="0.75" header="0.3" footer="0.3"/>
  <ignoredErrors>
    <ignoredError sqref="C7:G7" formulaRange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CB0F8-471E-4D10-9F41-086C9BDD21E6}">
  <dimension ref="A1"/>
  <sheetViews>
    <sheetView workbookViewId="0"/>
  </sheetViews>
  <sheetFormatPr defaultRowHeight="14.4" x14ac:dyDescent="0.55000000000000004"/>
  <cols>
    <col min="1" max="1" width="5.26171875" bestFit="1" customWidth="1"/>
  </cols>
  <sheetData>
    <row r="1" spans="1:1" ht="14.7" thickBot="1" x14ac:dyDescent="0.6">
      <c r="A1" s="16" t="s">
        <v>28</v>
      </c>
    </row>
  </sheetData>
  <hyperlinks>
    <hyperlink ref="A1" location="MAIN!A1" tooltip="click to travel to main page" display="MAIN" xr:uid="{51356D3E-2D1B-4BF6-BDDE-9A51828ADB0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380CA-09E5-48CD-990F-12F3D39EF67D}">
  <dimension ref="A1"/>
  <sheetViews>
    <sheetView workbookViewId="0"/>
  </sheetViews>
  <sheetFormatPr defaultRowHeight="14.4" x14ac:dyDescent="0.55000000000000004"/>
  <cols>
    <col min="1" max="1" width="5.26171875" bestFit="1" customWidth="1"/>
  </cols>
  <sheetData>
    <row r="1" spans="1:1" ht="14.7" thickBot="1" x14ac:dyDescent="0.6">
      <c r="A1" s="16" t="s">
        <v>28</v>
      </c>
    </row>
  </sheetData>
  <hyperlinks>
    <hyperlink ref="A1" location="MAIN!A1" tooltip="click to travel to main page" display="MAIN" xr:uid="{A6D7709B-BDCD-4C7C-8244-98BBD0D179D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EV</vt:lpstr>
      <vt:lpstr>IS - Q</vt:lpstr>
      <vt:lpstr>IS - Y</vt:lpstr>
      <vt:lpstr>BS - Q</vt:lpstr>
      <vt:lpstr>BS - 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E Pilcher</dc:creator>
  <cp:lastModifiedBy>Joshua E Pilcher</cp:lastModifiedBy>
  <cp:lastPrinted>2024-12-12T07:26:07Z</cp:lastPrinted>
  <dcterms:created xsi:type="dcterms:W3CDTF">2024-12-12T05:34:27Z</dcterms:created>
  <dcterms:modified xsi:type="dcterms:W3CDTF">2025-09-01T18:00:45Z</dcterms:modified>
</cp:coreProperties>
</file>