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T25208\Downloads\"/>
    </mc:Choice>
  </mc:AlternateContent>
  <bookViews>
    <workbookView xWindow="0" yWindow="0" windowWidth="28800" windowHeight="11685" tabRatio="631"/>
  </bookViews>
  <sheets>
    <sheet name="Dependientes" sheetId="1" r:id="rId1"/>
    <sheet name="Independientes" sheetId="6" state="hidden" r:id="rId2"/>
    <sheet name="CONFIG" sheetId="9" state="hidden" r:id="rId3"/>
    <sheet name="Independiente" sheetId="11" r:id="rId4"/>
    <sheet name="Fecha de Pago" sheetId="8" r:id="rId5"/>
  </sheets>
  <definedNames>
    <definedName name="_xlnm.Print_Area" localSheetId="0">Dependientes!$A$2:$U$172</definedName>
    <definedName name="_xlnm.Print_Area" localSheetId="1">Independientes!$A$2:$U$159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01" i="1" l="1"/>
  <c r="P101" i="1"/>
  <c r="Q100" i="1"/>
  <c r="B102" i="1" s="1"/>
  <c r="Q98" i="1"/>
  <c r="E72" i="11"/>
  <c r="C72" i="11"/>
  <c r="B101" i="11"/>
  <c r="O98" i="11"/>
  <c r="N98" i="11"/>
  <c r="M98" i="11"/>
  <c r="P98" i="11"/>
  <c r="Q97" i="11"/>
  <c r="Q95" i="11"/>
  <c r="B98" i="11" s="1"/>
  <c r="M101" i="1"/>
  <c r="D68" i="11"/>
  <c r="B68" i="11"/>
  <c r="E74" i="1" l="1"/>
  <c r="C74" i="1"/>
  <c r="B22" i="1"/>
  <c r="E79" i="11" l="1"/>
  <c r="E78" i="11"/>
  <c r="E77" i="11"/>
  <c r="E76" i="11"/>
  <c r="E75" i="11"/>
  <c r="E74" i="11"/>
  <c r="E73" i="11"/>
  <c r="E71" i="11"/>
  <c r="Q98" i="11" s="1"/>
  <c r="E70" i="11"/>
  <c r="E75" i="1"/>
  <c r="N101" i="1" s="1"/>
  <c r="C75" i="1"/>
  <c r="E81" i="1"/>
  <c r="E80" i="1"/>
  <c r="E79" i="1"/>
  <c r="E78" i="1"/>
  <c r="E77" i="1"/>
  <c r="E76" i="1"/>
  <c r="E73" i="1"/>
  <c r="Q101" i="1" s="1"/>
  <c r="E72" i="1"/>
  <c r="B50" i="11" l="1"/>
  <c r="B49" i="1"/>
  <c r="C73" i="11" l="1"/>
  <c r="T83" i="1"/>
  <c r="T81" i="1"/>
  <c r="Q80" i="1"/>
  <c r="T80" i="1"/>
  <c r="B76" i="1" l="1"/>
  <c r="P97" i="11" l="1"/>
  <c r="P95" i="11"/>
  <c r="B100" i="11"/>
  <c r="P100" i="1"/>
  <c r="P98" i="1"/>
  <c r="I81" i="1" l="1"/>
  <c r="K28" i="1" l="1"/>
  <c r="K24" i="1"/>
  <c r="K23" i="1"/>
  <c r="K32" i="1" l="1"/>
  <c r="K27" i="11" l="1"/>
  <c r="K29" i="11"/>
  <c r="K28" i="11"/>
  <c r="K36" i="11"/>
  <c r="K35" i="11"/>
  <c r="K34" i="11"/>
  <c r="K33" i="11"/>
  <c r="K30" i="11"/>
  <c r="K35" i="1"/>
  <c r="K34" i="1"/>
  <c r="B48" i="1"/>
  <c r="K33" i="1"/>
  <c r="B47" i="1"/>
  <c r="B46" i="1"/>
  <c r="K29" i="1"/>
  <c r="B35" i="1"/>
  <c r="B32" i="1"/>
  <c r="B31" i="1"/>
  <c r="B30" i="1"/>
  <c r="B34" i="1"/>
  <c r="K145" i="11"/>
  <c r="K146" i="11"/>
  <c r="K147" i="11"/>
  <c r="K148" i="11"/>
  <c r="L112" i="1"/>
  <c r="L113" i="1"/>
  <c r="L114" i="1"/>
  <c r="L115" i="1"/>
  <c r="L116" i="1"/>
  <c r="B49" i="11" l="1"/>
  <c r="B48" i="11"/>
  <c r="B47" i="11"/>
  <c r="B42" i="11"/>
  <c r="B38" i="11"/>
  <c r="B33" i="1"/>
  <c r="K83" i="1"/>
  <c r="L102" i="1"/>
  <c r="M102" i="1"/>
  <c r="N102" i="1"/>
  <c r="L103" i="1"/>
  <c r="M103" i="1"/>
  <c r="N103" i="1"/>
  <c r="L104" i="1"/>
  <c r="M104" i="1"/>
  <c r="N104" i="1"/>
  <c r="O102" i="1"/>
  <c r="O103" i="1"/>
  <c r="O104" i="1"/>
  <c r="B39" i="11"/>
  <c r="B37" i="11"/>
  <c r="M100" i="1" l="1"/>
  <c r="B40" i="1"/>
  <c r="B93" i="11"/>
  <c r="I83" i="11"/>
  <c r="I82" i="11"/>
  <c r="I81" i="11"/>
  <c r="I80" i="11"/>
  <c r="I79" i="11"/>
  <c r="K144" i="11" s="1"/>
  <c r="C70" i="11"/>
  <c r="C71" i="11"/>
  <c r="Q96" i="11" s="1"/>
  <c r="C75" i="11"/>
  <c r="P96" i="11" s="1"/>
  <c r="C76" i="11"/>
  <c r="C77" i="11"/>
  <c r="C78" i="11"/>
  <c r="C79" i="11"/>
  <c r="L105" i="1" l="1"/>
  <c r="D91" i="1"/>
  <c r="C104" i="1"/>
  <c r="I85" i="1"/>
  <c r="I84" i="1"/>
  <c r="I83" i="1"/>
  <c r="I82" i="1"/>
  <c r="L19" i="1" l="1"/>
  <c r="L184" i="11" l="1"/>
  <c r="M186" i="11" l="1"/>
  <c r="L186" i="11"/>
  <c r="L200" i="1"/>
  <c r="L202" i="1" l="1"/>
  <c r="M202" i="1"/>
  <c r="O101" i="11" l="1"/>
  <c r="S169" i="11"/>
  <c r="R169" i="11"/>
  <c r="Q169" i="11"/>
  <c r="P169" i="11"/>
  <c r="T168" i="11"/>
  <c r="S168" i="11"/>
  <c r="R168" i="11"/>
  <c r="Q168" i="11"/>
  <c r="P168" i="11"/>
  <c r="O168" i="11"/>
  <c r="T167" i="11"/>
  <c r="S167" i="11"/>
  <c r="R167" i="11"/>
  <c r="Q167" i="11"/>
  <c r="P167" i="11"/>
  <c r="O167" i="11"/>
  <c r="T166" i="11"/>
  <c r="S166" i="11"/>
  <c r="R166" i="11"/>
  <c r="Q166" i="11"/>
  <c r="P166" i="11"/>
  <c r="O166" i="11"/>
  <c r="T165" i="11"/>
  <c r="S165" i="11"/>
  <c r="R165" i="11"/>
  <c r="Q165" i="11"/>
  <c r="P165" i="11"/>
  <c r="O165" i="11"/>
  <c r="T164" i="11"/>
  <c r="S164" i="11"/>
  <c r="R164" i="11"/>
  <c r="Q164" i="11"/>
  <c r="P164" i="11"/>
  <c r="O164" i="11"/>
  <c r="T163" i="11"/>
  <c r="S163" i="11"/>
  <c r="R163" i="11"/>
  <c r="Q163" i="11"/>
  <c r="P163" i="11"/>
  <c r="O163" i="11"/>
  <c r="T162" i="11"/>
  <c r="S162" i="11"/>
  <c r="R162" i="11"/>
  <c r="Q162" i="11"/>
  <c r="P162" i="11"/>
  <c r="O162" i="11"/>
  <c r="T161" i="11"/>
  <c r="O161" i="11"/>
  <c r="A153" i="11" a="1"/>
  <c r="A157" i="11" s="1"/>
  <c r="C133" i="11"/>
  <c r="C142" i="11" s="1"/>
  <c r="C113" i="11"/>
  <c r="C125" i="11" s="1"/>
  <c r="L103" i="11"/>
  <c r="L102" i="11"/>
  <c r="N101" i="11"/>
  <c r="M101" i="11"/>
  <c r="L101" i="11"/>
  <c r="M99" i="11"/>
  <c r="C100" i="11"/>
  <c r="M97" i="11"/>
  <c r="N95" i="11"/>
  <c r="L190" i="11" s="1"/>
  <c r="M95" i="11"/>
  <c r="D88" i="11"/>
  <c r="M81" i="11"/>
  <c r="N97" i="11"/>
  <c r="N96" i="11"/>
  <c r="M100" i="11"/>
  <c r="Q64" i="11"/>
  <c r="B44" i="11"/>
  <c r="B41" i="11"/>
  <c r="B40" i="11"/>
  <c r="B31" i="11"/>
  <c r="B30" i="11"/>
  <c r="B29" i="11"/>
  <c r="D26" i="11"/>
  <c r="D27" i="11" s="1"/>
  <c r="D28" i="11" s="1"/>
  <c r="B74" i="11" s="1"/>
  <c r="C26" i="11"/>
  <c r="C27" i="11" s="1"/>
  <c r="C28" i="11" s="1"/>
  <c r="L187" i="11" l="1"/>
  <c r="K192" i="11" s="1"/>
  <c r="M187" i="11"/>
  <c r="M192" i="11" s="1"/>
  <c r="B32" i="11"/>
  <c r="C117" i="11"/>
  <c r="C74" i="11"/>
  <c r="C143" i="11"/>
  <c r="C122" i="11"/>
  <c r="C123" i="11"/>
  <c r="A155" i="11"/>
  <c r="A158" i="11"/>
  <c r="A159" i="11"/>
  <c r="C126" i="11"/>
  <c r="C145" i="11"/>
  <c r="A154" i="11"/>
  <c r="Z162" i="11"/>
  <c r="Y163" i="11" s="1"/>
  <c r="Z164" i="11"/>
  <c r="Y165" i="11" s="1"/>
  <c r="Z166" i="11"/>
  <c r="Y167" i="11" s="1"/>
  <c r="Z168" i="11"/>
  <c r="B99" i="11"/>
  <c r="O95" i="11"/>
  <c r="Z161" i="11"/>
  <c r="Y162" i="11" s="1"/>
  <c r="Z163" i="11"/>
  <c r="Y164" i="11" s="1"/>
  <c r="Z165" i="11"/>
  <c r="Y166" i="11" s="1"/>
  <c r="Z167" i="11"/>
  <c r="Y168" i="11" s="1"/>
  <c r="Y169" i="11"/>
  <c r="M96" i="11"/>
  <c r="B97" i="11" s="1"/>
  <c r="N100" i="11"/>
  <c r="C120" i="11"/>
  <c r="C124" i="11"/>
  <c r="C136" i="11"/>
  <c r="C141" i="11"/>
  <c r="C144" i="11"/>
  <c r="C146" i="11"/>
  <c r="A156" i="11"/>
  <c r="C140" i="11"/>
  <c r="C116" i="11"/>
  <c r="C121" i="11"/>
  <c r="C137" i="11"/>
  <c r="A153" i="11"/>
  <c r="K59" i="1"/>
  <c r="B56" i="11" l="1"/>
  <c r="B33" i="11"/>
  <c r="N192" i="11"/>
  <c r="O192" i="11"/>
  <c r="B87" i="11" s="1"/>
  <c r="D59" i="11"/>
  <c r="C59" i="11"/>
  <c r="B61" i="11"/>
  <c r="R79" i="11" s="1"/>
  <c r="R81" i="11" s="1"/>
  <c r="Q82" i="11" s="1"/>
  <c r="O96" i="11"/>
  <c r="C118" i="11"/>
  <c r="D127" i="11"/>
  <c r="M37" i="11"/>
  <c r="M60" i="11"/>
  <c r="B58" i="11" s="1"/>
  <c r="Q50" i="11"/>
  <c r="C147" i="11"/>
  <c r="C150" i="11" s="1"/>
  <c r="D147" i="11"/>
  <c r="C127" i="11"/>
  <c r="C130" i="11" s="1"/>
  <c r="O97" i="11"/>
  <c r="C138" i="11"/>
  <c r="Q93" i="1"/>
  <c r="P94" i="1" s="1"/>
  <c r="U93" i="1"/>
  <c r="T94" i="1" s="1"/>
  <c r="Y93" i="1"/>
  <c r="X94" i="1" s="1"/>
  <c r="B34" i="11" l="1"/>
  <c r="B52" i="11" s="1"/>
  <c r="D67" i="11"/>
  <c r="D66" i="11" s="1"/>
  <c r="B67" i="11"/>
  <c r="C62" i="11"/>
  <c r="C68" i="11"/>
  <c r="D61" i="11"/>
  <c r="D62" i="11"/>
  <c r="E68" i="11"/>
  <c r="C128" i="11"/>
  <c r="D52" i="11"/>
  <c r="M18" i="11"/>
  <c r="M17" i="11"/>
  <c r="C148" i="11"/>
  <c r="B159" i="11"/>
  <c r="L15" i="9"/>
  <c r="E67" i="11" l="1"/>
  <c r="D34" i="11"/>
  <c r="D81" i="11"/>
  <c r="D82" i="11" s="1"/>
  <c r="E66" i="11"/>
  <c r="D69" i="11"/>
  <c r="E69" i="11" s="1"/>
  <c r="L97" i="11"/>
  <c r="C67" i="11"/>
  <c r="B66" i="11"/>
  <c r="B81" i="11" s="1"/>
  <c r="M19" i="11"/>
  <c r="B57" i="11"/>
  <c r="M51" i="11" s="1"/>
  <c r="B156" i="11"/>
  <c r="O99" i="11"/>
  <c r="D88" i="6"/>
  <c r="L77" i="6"/>
  <c r="S176" i="1"/>
  <c r="L98" i="11" l="1"/>
  <c r="E81" i="11"/>
  <c r="E82" i="11" s="1"/>
  <c r="D83" i="11"/>
  <c r="D84" i="11" s="1"/>
  <c r="B155" i="11" s="1"/>
  <c r="D85" i="11"/>
  <c r="B69" i="11"/>
  <c r="C69" i="11" s="1"/>
  <c r="C66" i="11"/>
  <c r="C81" i="11" s="1"/>
  <c r="L95" i="11"/>
  <c r="B96" i="11" s="1"/>
  <c r="B82" i="11"/>
  <c r="N52" i="11"/>
  <c r="O51" i="11"/>
  <c r="N51" i="11"/>
  <c r="M59" i="11"/>
  <c r="C61" i="11" s="1"/>
  <c r="O52" i="11"/>
  <c r="O53" i="11"/>
  <c r="O100" i="11"/>
  <c r="H57" i="6"/>
  <c r="H58" i="6"/>
  <c r="H59" i="6"/>
  <c r="H56" i="6"/>
  <c r="H55" i="6"/>
  <c r="J144" i="6" s="1"/>
  <c r="R169" i="6"/>
  <c r="R168" i="6"/>
  <c r="R167" i="6"/>
  <c r="R166" i="6"/>
  <c r="R165" i="6"/>
  <c r="R164" i="6"/>
  <c r="R163" i="6"/>
  <c r="Q169" i="6"/>
  <c r="Q168" i="6"/>
  <c r="Q167" i="6"/>
  <c r="Q166" i="6"/>
  <c r="Q165" i="6"/>
  <c r="Q164" i="6"/>
  <c r="Q163" i="6"/>
  <c r="P169" i="6"/>
  <c r="P168" i="6"/>
  <c r="P167" i="6"/>
  <c r="P166" i="6"/>
  <c r="P165" i="6"/>
  <c r="P164" i="6"/>
  <c r="P163" i="6"/>
  <c r="P162" i="6"/>
  <c r="O162" i="6"/>
  <c r="N161" i="6"/>
  <c r="O175" i="1"/>
  <c r="T175" i="1"/>
  <c r="S162" i="6"/>
  <c r="S163" i="6"/>
  <c r="S164" i="6"/>
  <c r="S165" i="6"/>
  <c r="S166" i="6"/>
  <c r="S167" i="6"/>
  <c r="S168" i="6"/>
  <c r="S161" i="6"/>
  <c r="R162" i="6"/>
  <c r="Q162" i="6"/>
  <c r="O163" i="6"/>
  <c r="O164" i="6"/>
  <c r="O165" i="6"/>
  <c r="O166" i="6"/>
  <c r="O167" i="6"/>
  <c r="O168" i="6"/>
  <c r="O169" i="6"/>
  <c r="N167" i="6"/>
  <c r="N168" i="6"/>
  <c r="N162" i="6"/>
  <c r="N163" i="6"/>
  <c r="N164" i="6"/>
  <c r="N165" i="6"/>
  <c r="N166" i="6"/>
  <c r="J145" i="6"/>
  <c r="J146" i="6"/>
  <c r="J147" i="6"/>
  <c r="H78" i="11" l="1"/>
  <c r="I78" i="11" s="1"/>
  <c r="E83" i="11"/>
  <c r="E85" i="11"/>
  <c r="B83" i="11"/>
  <c r="B84" i="11" s="1"/>
  <c r="B153" i="11" s="1"/>
  <c r="B85" i="11"/>
  <c r="L96" i="11"/>
  <c r="C82" i="11"/>
  <c r="L99" i="11"/>
  <c r="X169" i="6"/>
  <c r="Y168" i="6"/>
  <c r="Y166" i="6"/>
  <c r="X167" i="6" s="1"/>
  <c r="Y162" i="6"/>
  <c r="X163" i="6" s="1"/>
  <c r="Y167" i="6"/>
  <c r="X168" i="6" s="1"/>
  <c r="Y163" i="6"/>
  <c r="X164" i="6" s="1"/>
  <c r="Y164" i="6"/>
  <c r="X165" i="6" s="1"/>
  <c r="Y165" i="6"/>
  <c r="X166" i="6" s="1"/>
  <c r="Y161" i="6"/>
  <c r="X162" i="6" s="1"/>
  <c r="E84" i="11" l="1"/>
  <c r="Z171" i="11"/>
  <c r="Z172" i="11" s="1"/>
  <c r="P176" i="11" s="1"/>
  <c r="K143" i="11"/>
  <c r="K149" i="11" s="1"/>
  <c r="G84" i="11" s="1"/>
  <c r="G85" i="11"/>
  <c r="P138" i="11" s="1"/>
  <c r="P139" i="11" s="1"/>
  <c r="P174" i="11" s="1"/>
  <c r="C83" i="11"/>
  <c r="C84" i="11" s="1"/>
  <c r="B154" i="11" s="1"/>
  <c r="C85" i="11"/>
  <c r="L100" i="11"/>
  <c r="B31" i="6"/>
  <c r="B30" i="6"/>
  <c r="B29" i="6"/>
  <c r="Q177" i="1"/>
  <c r="Q178" i="1"/>
  <c r="Q179" i="1"/>
  <c r="Q180" i="1"/>
  <c r="Q181" i="1"/>
  <c r="Q182" i="1"/>
  <c r="Q183" i="1"/>
  <c r="Q176" i="1"/>
  <c r="P176" i="1"/>
  <c r="R177" i="1"/>
  <c r="R178" i="1"/>
  <c r="R179" i="1"/>
  <c r="R180" i="1"/>
  <c r="R181" i="1"/>
  <c r="R182" i="1"/>
  <c r="R183" i="1"/>
  <c r="R176" i="1"/>
  <c r="S177" i="1"/>
  <c r="S178" i="1"/>
  <c r="S179" i="1"/>
  <c r="S180" i="1"/>
  <c r="S181" i="1"/>
  <c r="S182" i="1"/>
  <c r="S183" i="1"/>
  <c r="T176" i="1"/>
  <c r="T177" i="1"/>
  <c r="T178" i="1"/>
  <c r="T179" i="1"/>
  <c r="T180" i="1"/>
  <c r="T181" i="1"/>
  <c r="T182" i="1"/>
  <c r="G74" i="11" l="1"/>
  <c r="U137" i="11"/>
  <c r="U138" i="11" s="1"/>
  <c r="P175" i="11" s="1"/>
  <c r="P178" i="11" s="1"/>
  <c r="P180" i="11" s="1"/>
  <c r="H85" i="11" s="1"/>
  <c r="B158" i="11" s="1"/>
  <c r="Y175" i="1"/>
  <c r="X176" i="1" s="1"/>
  <c r="B49" i="6"/>
  <c r="N99" i="11" l="1"/>
  <c r="B157" i="11"/>
  <c r="H73" i="6"/>
  <c r="C99" i="6" l="1"/>
  <c r="B73" i="6" l="1"/>
  <c r="L21" i="1" l="1"/>
  <c r="B98" i="1"/>
  <c r="L22" i="1" l="1"/>
  <c r="B24" i="1" s="1"/>
  <c r="B107" i="1" s="1"/>
  <c r="Q94" i="1" l="1"/>
  <c r="U94" i="1" s="1"/>
  <c r="Y94" i="1" s="1"/>
  <c r="P82" i="1"/>
  <c r="P177" i="1" l="1"/>
  <c r="P178" i="1"/>
  <c r="P179" i="1"/>
  <c r="P180" i="1"/>
  <c r="P181" i="1"/>
  <c r="P182" i="1"/>
  <c r="P183" i="1"/>
  <c r="O176" i="1"/>
  <c r="O177" i="1"/>
  <c r="O178" i="1"/>
  <c r="O179" i="1"/>
  <c r="O180" i="1"/>
  <c r="O181" i="1"/>
  <c r="O182" i="1"/>
  <c r="X183" i="1" l="1"/>
  <c r="Y182" i="1"/>
  <c r="Y178" i="1"/>
  <c r="X179" i="1" s="1"/>
  <c r="Y176" i="1"/>
  <c r="X177" i="1" s="1"/>
  <c r="Y179" i="1"/>
  <c r="X180" i="1" s="1"/>
  <c r="Y180" i="1"/>
  <c r="X181" i="1" s="1"/>
  <c r="Y181" i="1"/>
  <c r="X182" i="1" s="1"/>
  <c r="Y177" i="1"/>
  <c r="X178" i="1" s="1"/>
  <c r="C72" i="6" l="1"/>
  <c r="B93" i="6" l="1"/>
  <c r="K103" i="6"/>
  <c r="K102" i="6"/>
  <c r="M101" i="6"/>
  <c r="L101" i="6"/>
  <c r="K101" i="6"/>
  <c r="L99" i="6"/>
  <c r="L97" i="6"/>
  <c r="M96" i="6"/>
  <c r="M95" i="6"/>
  <c r="L95" i="6"/>
  <c r="K95" i="6"/>
  <c r="H71" i="6"/>
  <c r="G71" i="6"/>
  <c r="F71" i="6"/>
  <c r="E71" i="6"/>
  <c r="D71" i="6"/>
  <c r="C71" i="6" l="1"/>
  <c r="C73" i="1" l="1"/>
  <c r="Q99" i="1" s="1"/>
  <c r="N77" i="1"/>
  <c r="O98" i="1" l="1"/>
  <c r="L106" i="1" l="1"/>
  <c r="N98" i="1"/>
  <c r="L206" i="1" s="1"/>
  <c r="M98" i="1"/>
  <c r="B101" i="1" s="1"/>
  <c r="B97" i="1"/>
  <c r="M203" i="1" l="1"/>
  <c r="M208" i="1" s="1"/>
  <c r="L203" i="1"/>
  <c r="K208" i="1" s="1"/>
  <c r="P64" i="6"/>
  <c r="P81" i="1"/>
  <c r="B19" i="1" l="1"/>
  <c r="B18" i="1"/>
  <c r="B17" i="1"/>
  <c r="C133" i="6" l="1"/>
  <c r="C113" i="6"/>
  <c r="H69" i="6"/>
  <c r="B69" i="6"/>
  <c r="B50" i="6"/>
  <c r="B48" i="6"/>
  <c r="B47" i="6"/>
  <c r="B44" i="6"/>
  <c r="B41" i="6"/>
  <c r="B40" i="6"/>
  <c r="C126" i="1"/>
  <c r="B16" i="1"/>
  <c r="C146" i="1" l="1"/>
  <c r="A153" i="6" l="1" a="1"/>
  <c r="A156" i="6" s="1"/>
  <c r="A153" i="6" l="1"/>
  <c r="A157" i="6"/>
  <c r="A154" i="6"/>
  <c r="A158" i="6"/>
  <c r="A155" i="6"/>
  <c r="A159" i="6"/>
  <c r="C26" i="6"/>
  <c r="C27" i="6" s="1"/>
  <c r="F72" i="6"/>
  <c r="D72" i="6"/>
  <c r="F78" i="6"/>
  <c r="D78" i="6"/>
  <c r="C78" i="6"/>
  <c r="F77" i="6"/>
  <c r="D77" i="6"/>
  <c r="C77" i="6"/>
  <c r="F76" i="6"/>
  <c r="D76" i="6"/>
  <c r="C76" i="6"/>
  <c r="F75" i="6"/>
  <c r="D75" i="6"/>
  <c r="C75" i="6"/>
  <c r="F74" i="6"/>
  <c r="D74" i="6"/>
  <c r="C74" i="6"/>
  <c r="G70" i="6"/>
  <c r="L100" i="6" s="1"/>
  <c r="E70" i="6"/>
  <c r="L98" i="6" s="1"/>
  <c r="B97" i="6" s="1"/>
  <c r="C70" i="6"/>
  <c r="L96" i="6" s="1"/>
  <c r="D66" i="6"/>
  <c r="K97" i="6" s="1"/>
  <c r="C66" i="6"/>
  <c r="K96" i="6" s="1"/>
  <c r="C81" i="1"/>
  <c r="C80" i="1"/>
  <c r="C79" i="1"/>
  <c r="C78" i="1"/>
  <c r="C77" i="1"/>
  <c r="P99" i="1" s="1"/>
  <c r="B105" i="1" s="1"/>
  <c r="C72" i="1"/>
  <c r="N100" i="1" l="1"/>
  <c r="O208" i="1" s="1"/>
  <c r="G72" i="6"/>
  <c r="M100" i="6" s="1"/>
  <c r="M99" i="6"/>
  <c r="E72" i="6"/>
  <c r="M98" i="6" s="1"/>
  <c r="B98" i="6" s="1"/>
  <c r="M97" i="6"/>
  <c r="M99" i="1"/>
  <c r="N99" i="1"/>
  <c r="B103" i="1" s="1"/>
  <c r="E74" i="6"/>
  <c r="E75" i="6"/>
  <c r="E76" i="6"/>
  <c r="D69" i="6"/>
  <c r="G75" i="6"/>
  <c r="G76" i="6"/>
  <c r="E78" i="6"/>
  <c r="G77" i="6"/>
  <c r="G78" i="6"/>
  <c r="E77" i="6"/>
  <c r="E66" i="6"/>
  <c r="K98" i="6" s="1"/>
  <c r="B96" i="6" s="1"/>
  <c r="G74" i="6"/>
  <c r="D26" i="6"/>
  <c r="D27" i="6" s="1"/>
  <c r="G54" i="6" l="1"/>
  <c r="H54" i="6" s="1"/>
  <c r="J143" i="6"/>
  <c r="J148" i="6" s="1"/>
  <c r="F61" i="6" s="1"/>
  <c r="E69" i="6"/>
  <c r="B90" i="1" l="1"/>
  <c r="N208" i="1"/>
  <c r="Y171" i="6"/>
  <c r="Y172" i="6" s="1"/>
  <c r="O176" i="6" s="1"/>
  <c r="F62" i="6"/>
  <c r="O138" i="6" s="1"/>
  <c r="O139" i="6" s="1"/>
  <c r="O174" i="6" s="1"/>
  <c r="F50" i="6"/>
  <c r="T137" i="6"/>
  <c r="T138" i="6" s="1"/>
  <c r="N101" i="6"/>
  <c r="H80" i="6"/>
  <c r="H81" i="6" s="1"/>
  <c r="N95" i="6"/>
  <c r="O175" i="6" l="1"/>
  <c r="O178" i="6" s="1"/>
  <c r="O180" i="6" s="1"/>
  <c r="C76" i="1"/>
  <c r="C73" i="6"/>
  <c r="O99" i="1" l="1"/>
  <c r="B104" i="1" s="1"/>
  <c r="G62" i="6"/>
  <c r="N96" i="6"/>
  <c r="D73" i="6"/>
  <c r="O100" i="1"/>
  <c r="C80" i="6"/>
  <c r="B20" i="1"/>
  <c r="B21" i="1" l="1"/>
  <c r="E73" i="6"/>
  <c r="N97" i="6"/>
  <c r="D80" i="6"/>
  <c r="D81" i="6" s="1"/>
  <c r="C81" i="6"/>
  <c r="B80" i="6"/>
  <c r="B70" i="1" l="1"/>
  <c r="D69" i="1"/>
  <c r="D68" i="1" s="1"/>
  <c r="B69" i="1"/>
  <c r="C69" i="1" s="1"/>
  <c r="D70" i="1"/>
  <c r="E70" i="1" s="1"/>
  <c r="B58" i="1"/>
  <c r="D61" i="1"/>
  <c r="C61" i="1"/>
  <c r="C64" i="1"/>
  <c r="D64" i="1"/>
  <c r="K46" i="1"/>
  <c r="O64" i="1"/>
  <c r="B60" i="1" s="1"/>
  <c r="S56" i="1"/>
  <c r="B63" i="1"/>
  <c r="K54" i="1"/>
  <c r="K55" i="1" s="1"/>
  <c r="D21" i="1"/>
  <c r="F73" i="6"/>
  <c r="N98" i="6"/>
  <c r="B99" i="6" s="1"/>
  <c r="E80" i="6"/>
  <c r="E81" i="6" s="1"/>
  <c r="B81" i="6"/>
  <c r="E69" i="1" l="1"/>
  <c r="B68" i="1"/>
  <c r="B83" i="1" s="1"/>
  <c r="D83" i="1"/>
  <c r="E68" i="1"/>
  <c r="X23" i="1"/>
  <c r="X28" i="1"/>
  <c r="D63" i="1"/>
  <c r="X29" i="1"/>
  <c r="X30" i="1"/>
  <c r="G73" i="6"/>
  <c r="N100" i="6" s="1"/>
  <c r="N99" i="6"/>
  <c r="Q34" i="1"/>
  <c r="Q33" i="1"/>
  <c r="Q32" i="1"/>
  <c r="E83" i="1" l="1"/>
  <c r="E84" i="1" s="1"/>
  <c r="L101" i="1"/>
  <c r="C68" i="1"/>
  <c r="C83" i="1" s="1"/>
  <c r="D7" i="6"/>
  <c r="E88" i="1" l="1"/>
  <c r="E85" i="1"/>
  <c r="B2" i="8"/>
  <c r="C2" i="8" s="1"/>
  <c r="E86" i="1" l="1"/>
  <c r="E87" i="1"/>
  <c r="D2" i="8"/>
  <c r="B5" i="8"/>
  <c r="C69" i="6"/>
  <c r="C70" i="1" l="1"/>
  <c r="D28" i="6"/>
  <c r="B84" i="1" l="1"/>
  <c r="B71" i="1"/>
  <c r="C71" i="1" s="1"/>
  <c r="L98" i="1"/>
  <c r="C143" i="6"/>
  <c r="C125" i="6"/>
  <c r="B88" i="1" l="1"/>
  <c r="B85" i="1"/>
  <c r="B87" i="1" s="1"/>
  <c r="L100" i="1"/>
  <c r="D71" i="1"/>
  <c r="E71" i="1" s="1"/>
  <c r="D84" i="1"/>
  <c r="D88" i="1" s="1"/>
  <c r="L99" i="1"/>
  <c r="C84" i="1"/>
  <c r="C28" i="6"/>
  <c r="B32" i="6" s="1"/>
  <c r="B61" i="6" s="1"/>
  <c r="C141" i="6"/>
  <c r="C145" i="6"/>
  <c r="C136" i="6"/>
  <c r="C117" i="6"/>
  <c r="C120" i="6"/>
  <c r="C122" i="6"/>
  <c r="C124" i="6"/>
  <c r="C126" i="6"/>
  <c r="C116" i="6"/>
  <c r="C121" i="6"/>
  <c r="C123" i="6"/>
  <c r="C137" i="6"/>
  <c r="C140" i="6"/>
  <c r="C142" i="6"/>
  <c r="C144" i="6"/>
  <c r="C146" i="6"/>
  <c r="C149" i="1"/>
  <c r="C139" i="1"/>
  <c r="B100" i="1" l="1"/>
  <c r="C88" i="1"/>
  <c r="C85" i="1"/>
  <c r="C87" i="1" s="1"/>
  <c r="D85" i="1"/>
  <c r="D87" i="1" s="1"/>
  <c r="B33" i="6"/>
  <c r="P50" i="6"/>
  <c r="L60" i="6"/>
  <c r="B58" i="6" s="1"/>
  <c r="C130" i="1"/>
  <c r="C138" i="6"/>
  <c r="C136" i="1"/>
  <c r="C134" i="1"/>
  <c r="C138" i="1"/>
  <c r="D147" i="6"/>
  <c r="C118" i="6"/>
  <c r="C147" i="6"/>
  <c r="C150" i="6" s="1"/>
  <c r="D127" i="6"/>
  <c r="C127" i="6"/>
  <c r="C130" i="6" s="1"/>
  <c r="C154" i="1"/>
  <c r="C156" i="1"/>
  <c r="C158" i="1"/>
  <c r="C150" i="1"/>
  <c r="C151" i="1" s="1"/>
  <c r="C153" i="1"/>
  <c r="C155" i="1"/>
  <c r="C157" i="1"/>
  <c r="C159" i="1"/>
  <c r="C129" i="1"/>
  <c r="C133" i="1"/>
  <c r="C135" i="1"/>
  <c r="C137" i="1"/>
  <c r="H80" i="1" l="1"/>
  <c r="I80" i="1" s="1"/>
  <c r="A166" i="1" s="1" a="1"/>
  <c r="A167" i="1"/>
  <c r="A170" i="1"/>
  <c r="A171" i="1"/>
  <c r="A169" i="1"/>
  <c r="A172" i="1"/>
  <c r="A166" i="1"/>
  <c r="A168" i="1"/>
  <c r="Q78" i="6"/>
  <c r="Q80" i="6" s="1"/>
  <c r="P81" i="6" s="1"/>
  <c r="L18" i="6"/>
  <c r="L17" i="6"/>
  <c r="C131" i="1"/>
  <c r="D140" i="1"/>
  <c r="C128" i="6"/>
  <c r="C148" i="6"/>
  <c r="D160" i="1"/>
  <c r="C160" i="1"/>
  <c r="C163" i="1" s="1"/>
  <c r="D163" i="1" s="1"/>
  <c r="C140" i="1"/>
  <c r="C143" i="1" s="1"/>
  <c r="G88" i="1" l="1"/>
  <c r="L111" i="1"/>
  <c r="L117" i="1" s="1"/>
  <c r="G87" i="1" s="1"/>
  <c r="G76" i="1" s="1"/>
  <c r="D61" i="6"/>
  <c r="L19" i="6"/>
  <c r="C141" i="1"/>
  <c r="C161" i="1"/>
  <c r="U152" i="1" l="1"/>
  <c r="U153" i="1" s="1"/>
  <c r="P189" i="1" s="1"/>
  <c r="L37" i="6"/>
  <c r="B38" i="6"/>
  <c r="B37" i="6"/>
  <c r="B39" i="6"/>
  <c r="C62" i="6" l="1"/>
  <c r="C59" i="6"/>
  <c r="D62" i="6"/>
  <c r="D59" i="6"/>
  <c r="D68" i="6"/>
  <c r="D85" i="6"/>
  <c r="B68" i="6"/>
  <c r="E85" i="6"/>
  <c r="H85" i="6"/>
  <c r="F68" i="6"/>
  <c r="H68" i="6"/>
  <c r="B85" i="6"/>
  <c r="C85" i="6"/>
  <c r="H82" i="6"/>
  <c r="D82" i="6"/>
  <c r="C82" i="6"/>
  <c r="B82" i="6"/>
  <c r="B83" i="6" s="1"/>
  <c r="E82" i="6"/>
  <c r="B166" i="1"/>
  <c r="B167" i="1"/>
  <c r="B172" i="1"/>
  <c r="B168" i="1"/>
  <c r="B23" i="1"/>
  <c r="B54" i="1" s="1"/>
  <c r="B169" i="1"/>
  <c r="C86" i="1"/>
  <c r="B86" i="1"/>
  <c r="D86" i="1"/>
  <c r="D23" i="1" l="1"/>
  <c r="D67" i="6"/>
  <c r="B67" i="6"/>
  <c r="H67" i="6"/>
  <c r="F67" i="6"/>
  <c r="F66" i="6" s="1"/>
  <c r="K99" i="6" s="1"/>
  <c r="E84" i="6"/>
  <c r="D84" i="6"/>
  <c r="H84" i="6"/>
  <c r="C84" i="6"/>
  <c r="B84" i="6"/>
  <c r="B34" i="6"/>
  <c r="B59" i="1" l="1"/>
  <c r="O63" i="1" s="1"/>
  <c r="C63" i="1" s="1"/>
  <c r="C68" i="6"/>
  <c r="G68" i="6"/>
  <c r="E68" i="6"/>
  <c r="B153" i="6"/>
  <c r="D34" i="6"/>
  <c r="B52" i="6"/>
  <c r="B57" i="6" s="1"/>
  <c r="L59" i="6" s="1"/>
  <c r="C61" i="6" s="1"/>
  <c r="D83" i="6"/>
  <c r="D54" i="1"/>
  <c r="E67" i="6"/>
  <c r="G67" i="6"/>
  <c r="C67" i="6"/>
  <c r="P153" i="1" l="1"/>
  <c r="P154" i="1" s="1"/>
  <c r="P188" i="1" s="1"/>
  <c r="Y184" i="1"/>
  <c r="Y185" i="1" s="1"/>
  <c r="P190" i="1" s="1"/>
  <c r="O56" i="1"/>
  <c r="Q57" i="1"/>
  <c r="P57" i="1"/>
  <c r="Q56" i="1"/>
  <c r="P56" i="1"/>
  <c r="Q58" i="1"/>
  <c r="M52" i="6"/>
  <c r="N51" i="6"/>
  <c r="N53" i="6"/>
  <c r="M51" i="6"/>
  <c r="N52" i="6"/>
  <c r="L51" i="6"/>
  <c r="F69" i="6"/>
  <c r="B155" i="6"/>
  <c r="D52" i="6"/>
  <c r="B156" i="6"/>
  <c r="G66" i="6"/>
  <c r="K100" i="6" s="1"/>
  <c r="F80" i="6"/>
  <c r="F81" i="6" s="1"/>
  <c r="C83" i="6"/>
  <c r="P192" i="1" l="1"/>
  <c r="P194" i="1" s="1"/>
  <c r="H88" i="1" s="1"/>
  <c r="F82" i="6"/>
  <c r="F84" i="6" s="1"/>
  <c r="F85" i="6"/>
  <c r="B154" i="6"/>
  <c r="B159" i="6"/>
  <c r="G80" i="6"/>
  <c r="G81" i="6" s="1"/>
  <c r="G69" i="6"/>
  <c r="G82" i="6" l="1"/>
  <c r="G84" i="6" s="1"/>
  <c r="G85" i="6"/>
  <c r="B170" i="1"/>
  <c r="B171" i="1" l="1"/>
  <c r="B157" i="6" l="1"/>
  <c r="B158" i="6" l="1"/>
</calcChain>
</file>

<file path=xl/comments1.xml><?xml version="1.0" encoding="utf-8"?>
<comments xmlns="http://schemas.openxmlformats.org/spreadsheetml/2006/main">
  <authors>
    <author>Bueno Ayala Leopoldo</author>
    <author>Terrazas Rosales Andrea Valeria</author>
  </authors>
  <commentList>
    <comment ref="A17" authorId="0" shapeId="0">
      <text>
        <r>
          <rPr>
            <b/>
            <sz val="9"/>
            <color indexed="81"/>
            <rFont val="Tahoma"/>
            <family val="2"/>
          </rPr>
          <t>Bueno Ayala Leopoldo:</t>
        </r>
        <r>
          <rPr>
            <sz val="9"/>
            <color indexed="81"/>
            <rFont val="Tahoma"/>
            <family val="2"/>
          </rPr>
          <t xml:space="preserve">
Solo 1 aguinaldo. No se debe mensualizar.</t>
        </r>
      </text>
    </comment>
    <comment ref="C20" authorId="0" shapeId="0">
      <text>
        <r>
          <rPr>
            <b/>
            <sz val="9"/>
            <color indexed="81"/>
            <rFont val="Tahoma"/>
            <family val="2"/>
          </rPr>
          <t>Bueno Ayala Leopoldo:</t>
        </r>
        <r>
          <rPr>
            <sz val="9"/>
            <color indexed="81"/>
            <rFont val="Tahoma"/>
            <family val="2"/>
          </rPr>
          <t xml:space="preserve">
Por ejemplo aportes a sindicatos, descuentos laborales u otros.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Bueno Ayala Leopoldo:</t>
        </r>
        <r>
          <rPr>
            <sz val="9"/>
            <color indexed="81"/>
            <rFont val="Tahoma"/>
            <family val="2"/>
          </rPr>
          <t xml:space="preserve">
Por ejemplo aportes a sindicatos, descuentos laborales u otros.</t>
        </r>
      </text>
    </comment>
    <comment ref="A39" authorId="0" shapeId="0">
      <text>
        <r>
          <rPr>
            <b/>
            <sz val="9"/>
            <color indexed="81"/>
            <rFont val="Tahoma"/>
            <family val="2"/>
          </rPr>
          <t>Bueno Ayala Leopoldo:</t>
        </r>
        <r>
          <rPr>
            <sz val="9"/>
            <color indexed="81"/>
            <rFont val="Tahoma"/>
            <family val="2"/>
          </rPr>
          <t xml:space="preserve">
Se refieren a créditos institucionales y similares.</t>
        </r>
      </text>
    </comment>
    <comment ref="D66" authorId="0" shapeId="0">
      <text>
        <r>
          <rPr>
            <b/>
            <sz val="9"/>
            <color indexed="81"/>
            <rFont val="Tahoma"/>
            <family val="2"/>
          </rPr>
          <t>Bueno Ayala Leopoldo:</t>
        </r>
        <r>
          <rPr>
            <sz val="9"/>
            <color indexed="81"/>
            <rFont val="Tahoma"/>
            <family val="2"/>
          </rPr>
          <t xml:space="preserve">
Monto aprobado</t>
        </r>
      </text>
    </comment>
    <comment ref="A73" authorId="1" shapeId="0">
      <text>
        <r>
          <rPr>
            <b/>
            <sz val="9"/>
            <color indexed="81"/>
            <rFont val="Tahoma"/>
            <family val="2"/>
          </rPr>
          <t>Terrazas Rosales Andrea Valeria:</t>
        </r>
        <r>
          <rPr>
            <sz val="9"/>
            <color indexed="81"/>
            <rFont val="Tahoma"/>
            <family val="2"/>
          </rPr>
          <t xml:space="preserve">
Si cuenta con tasa fija unicamente, dejar este campo en blanco</t>
        </r>
      </text>
    </comment>
    <comment ref="A74" authorId="1" shapeId="0">
      <text>
        <r>
          <rPr>
            <b/>
            <sz val="9"/>
            <color indexed="81"/>
            <rFont val="Tahoma"/>
            <family val="2"/>
          </rPr>
          <t>Terrazas Rosales Andrea Valeria:</t>
        </r>
        <r>
          <rPr>
            <sz val="9"/>
            <color indexed="81"/>
            <rFont val="Tahoma"/>
            <family val="2"/>
          </rPr>
          <t xml:space="preserve">
Este campo se actualiza al inicio de cada mes</t>
        </r>
      </text>
    </comment>
  </commentList>
</comments>
</file>

<file path=xl/comments2.xml><?xml version="1.0" encoding="utf-8"?>
<comments xmlns="http://schemas.openxmlformats.org/spreadsheetml/2006/main">
  <authors>
    <author>Bueno Ayala Leopoldo</author>
  </authors>
  <commentList>
    <comment ref="C30" authorId="0" shapeId="0">
      <text>
        <r>
          <rPr>
            <b/>
            <sz val="9"/>
            <color indexed="81"/>
            <rFont val="Tahoma"/>
            <family val="2"/>
          </rPr>
          <t>Bueno Ayala Leopoldo:</t>
        </r>
        <r>
          <rPr>
            <sz val="9"/>
            <color indexed="81"/>
            <rFont val="Tahoma"/>
            <family val="2"/>
          </rPr>
          <t xml:space="preserve">
En caso de alquileres, se debe castigar de acuerdo al porcentaje de castigo, o sea, multiplicar el monto total de ingresos por alquileres (sin descuentos de impuestos) por 84%.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Bueno Ayala Leopoldo:</t>
        </r>
        <r>
          <rPr>
            <sz val="9"/>
            <color indexed="81"/>
            <rFont val="Tahoma"/>
            <family val="2"/>
          </rPr>
          <t xml:space="preserve">
En caso de alquileres, se debe castigar de acuerdo al porcentaje de castigo, o sea, multiplicar el monto total de ingresos por alquileres (sin descuentos de impuestos) por 84%.</t>
        </r>
      </text>
    </comment>
    <comment ref="C31" authorId="0" shapeId="0">
      <text>
        <r>
          <rPr>
            <b/>
            <sz val="9"/>
            <color indexed="81"/>
            <rFont val="Tahoma"/>
            <family val="2"/>
          </rPr>
          <t>Bueno Ayala Leopoldo:</t>
        </r>
        <r>
          <rPr>
            <sz val="9"/>
            <color indexed="81"/>
            <rFont val="Tahoma"/>
            <family val="2"/>
          </rPr>
          <t xml:space="preserve">
Por ejemplo aportes a sindicatos, descuentos laborales u otros.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Bueno Ayala Leopoldo:</t>
        </r>
        <r>
          <rPr>
            <sz val="9"/>
            <color indexed="81"/>
            <rFont val="Tahoma"/>
            <family val="2"/>
          </rPr>
          <t xml:space="preserve">
Por ejemplo aportes a sindicatos, descuentos laborales u otros.</t>
        </r>
      </text>
    </comment>
    <comment ref="A43" authorId="0" shapeId="0">
      <text>
        <r>
          <rPr>
            <b/>
            <sz val="9"/>
            <color indexed="81"/>
            <rFont val="Tahoma"/>
            <family val="2"/>
          </rPr>
          <t>Bueno Ayala Leopoldo:</t>
        </r>
        <r>
          <rPr>
            <sz val="9"/>
            <color indexed="81"/>
            <rFont val="Tahoma"/>
            <family val="2"/>
          </rPr>
          <t xml:space="preserve">
Se refieren a créditos institucionales y similares.</t>
        </r>
      </text>
    </comment>
    <comment ref="D64" authorId="0" shapeId="0">
      <text>
        <r>
          <rPr>
            <b/>
            <sz val="9"/>
            <color indexed="81"/>
            <rFont val="Tahoma"/>
            <family val="2"/>
          </rPr>
          <t>Bueno Ayala Leopoldo:</t>
        </r>
        <r>
          <rPr>
            <sz val="9"/>
            <color indexed="81"/>
            <rFont val="Tahoma"/>
            <family val="2"/>
          </rPr>
          <t xml:space="preserve">
Monto solicitado con plazo máximo dado el score.</t>
        </r>
      </text>
    </comment>
    <comment ref="F64" authorId="0" shapeId="0">
      <text>
        <r>
          <rPr>
            <b/>
            <sz val="9"/>
            <color indexed="81"/>
            <rFont val="Tahoma"/>
            <family val="2"/>
          </rPr>
          <t>Bueno Ayala Leopoldo:</t>
        </r>
        <r>
          <rPr>
            <sz val="9"/>
            <color indexed="81"/>
            <rFont val="Tahoma"/>
            <family val="2"/>
          </rPr>
          <t xml:space="preserve">
Plazo máximo dado el score y monto máximo que corresponde a ese plazo.</t>
        </r>
      </text>
    </comment>
  </commentList>
</comments>
</file>

<file path=xl/comments3.xml><?xml version="1.0" encoding="utf-8"?>
<comments xmlns="http://schemas.openxmlformats.org/spreadsheetml/2006/main">
  <authors>
    <author>Bueno Ayala Leopoldo</author>
    <author>Terrazas Rosales Andrea Valeria</author>
  </authors>
  <commentList>
    <comment ref="C30" authorId="0" shapeId="0">
      <text>
        <r>
          <rPr>
            <b/>
            <sz val="9"/>
            <color indexed="81"/>
            <rFont val="Tahoma"/>
            <family val="2"/>
          </rPr>
          <t>Bueno Ayala Leopoldo:</t>
        </r>
        <r>
          <rPr>
            <sz val="9"/>
            <color indexed="81"/>
            <rFont val="Tahoma"/>
            <family val="2"/>
          </rPr>
          <t xml:space="preserve">
En caso de alquileres, se debe castigar de acuerdo al porcentaje de castigo, o sea, multiplicar el monto total de ingresos por alquileres (sin descuentos de impuestos) por 84%.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Bueno Ayala Leopoldo:</t>
        </r>
        <r>
          <rPr>
            <sz val="9"/>
            <color indexed="81"/>
            <rFont val="Tahoma"/>
            <family val="2"/>
          </rPr>
          <t xml:space="preserve">
En caso de alquileres, se debe castigar de acuerdo al porcentaje de castigo, o sea, multiplicar el monto total de ingresos por alquileres (sin descuentos de impuestos) por 84%.</t>
        </r>
      </text>
    </comment>
    <comment ref="C31" authorId="0" shapeId="0">
      <text>
        <r>
          <rPr>
            <b/>
            <sz val="9"/>
            <color indexed="81"/>
            <rFont val="Tahoma"/>
            <family val="2"/>
          </rPr>
          <t>Bueno Ayala Leopoldo:</t>
        </r>
        <r>
          <rPr>
            <sz val="9"/>
            <color indexed="81"/>
            <rFont val="Tahoma"/>
            <family val="2"/>
          </rPr>
          <t xml:space="preserve">
Por ejemplo aportes a sindicatos, descuentos laborales u otros.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Bueno Ayala Leopoldo:</t>
        </r>
        <r>
          <rPr>
            <sz val="9"/>
            <color indexed="81"/>
            <rFont val="Tahoma"/>
            <family val="2"/>
          </rPr>
          <t xml:space="preserve">
Por ejemplo aportes a sindicatos, descuentos laborales u otros.</t>
        </r>
      </text>
    </comment>
    <comment ref="A43" authorId="0" shapeId="0">
      <text>
        <r>
          <rPr>
            <b/>
            <sz val="9"/>
            <color indexed="81"/>
            <rFont val="Tahoma"/>
            <family val="2"/>
          </rPr>
          <t>Bueno Ayala Leopoldo:</t>
        </r>
        <r>
          <rPr>
            <sz val="9"/>
            <color indexed="81"/>
            <rFont val="Tahoma"/>
            <family val="2"/>
          </rPr>
          <t xml:space="preserve">
Se refieren a créditos institucionales y similares.</t>
        </r>
      </text>
    </comment>
    <comment ref="D64" authorId="0" shapeId="0">
      <text>
        <r>
          <rPr>
            <b/>
            <sz val="9"/>
            <color indexed="81"/>
            <rFont val="Tahoma"/>
            <family val="2"/>
          </rPr>
          <t>Bueno Ayala Leopoldo:</t>
        </r>
        <r>
          <rPr>
            <sz val="9"/>
            <color indexed="81"/>
            <rFont val="Tahoma"/>
            <family val="2"/>
          </rPr>
          <t xml:space="preserve">
Monto solicitado con plazo máximo dado el score.</t>
        </r>
      </text>
    </comment>
    <comment ref="A71" authorId="1" shapeId="0">
      <text>
        <r>
          <rPr>
            <b/>
            <sz val="9"/>
            <color indexed="81"/>
            <rFont val="Tahoma"/>
            <family val="2"/>
          </rPr>
          <t>Terrazas Rosales Andrea Valeria:</t>
        </r>
        <r>
          <rPr>
            <sz val="9"/>
            <color indexed="81"/>
            <rFont val="Tahoma"/>
            <family val="2"/>
          </rPr>
          <t xml:space="preserve">
Si cuenta con tasa fija unicamente, dejar este campo en blanco</t>
        </r>
      </text>
    </comment>
    <comment ref="A72" authorId="1" shapeId="0">
      <text>
        <r>
          <rPr>
            <b/>
            <sz val="9"/>
            <color indexed="81"/>
            <rFont val="Tahoma"/>
            <family val="2"/>
          </rPr>
          <t>Terrazas Rosales Andrea Valeria:</t>
        </r>
        <r>
          <rPr>
            <sz val="9"/>
            <color indexed="81"/>
            <rFont val="Tahoma"/>
            <family val="2"/>
          </rPr>
          <t xml:space="preserve">
Este campo se actualiza al inicio de cada mes</t>
        </r>
      </text>
    </comment>
  </commentList>
</comments>
</file>

<file path=xl/sharedStrings.xml><?xml version="1.0" encoding="utf-8"?>
<sst xmlns="http://schemas.openxmlformats.org/spreadsheetml/2006/main" count="1332" uniqueCount="341">
  <si>
    <t>1. TIPO DE CLIENTE</t>
  </si>
  <si>
    <t>PREMIUM</t>
  </si>
  <si>
    <t>SI</t>
  </si>
  <si>
    <t>NO</t>
  </si>
  <si>
    <t>Titular</t>
  </si>
  <si>
    <t>2.- CALCULO CAPACIDAD DE PAGO</t>
  </si>
  <si>
    <t>NUEVO</t>
  </si>
  <si>
    <t>PDH</t>
  </si>
  <si>
    <t>Cuota</t>
  </si>
  <si>
    <t>Consumo</t>
  </si>
  <si>
    <t>Hipotecario</t>
  </si>
  <si>
    <t>Cem Disponible US$</t>
  </si>
  <si>
    <t xml:space="preserve">Cuota </t>
  </si>
  <si>
    <t>3.- OPERACIÓN SOLICITADA</t>
  </si>
  <si>
    <t>Tasa</t>
  </si>
  <si>
    <t>Plazo</t>
  </si>
  <si>
    <t>Seguro de vida</t>
  </si>
  <si>
    <t>Seguro todo riesgo</t>
  </si>
  <si>
    <t>Cuota US$</t>
  </si>
  <si>
    <t>Deudas otros bancos</t>
  </si>
  <si>
    <t>Tarjetas de crédito</t>
  </si>
  <si>
    <t>Deudas BCP</t>
  </si>
  <si>
    <t>Ingresos</t>
  </si>
  <si>
    <t>Decisión</t>
  </si>
  <si>
    <t>Pago de Haberes</t>
  </si>
  <si>
    <t>Banca Premium</t>
  </si>
  <si>
    <t>Tipo de cambio</t>
  </si>
  <si>
    <t>Cuota en Bs.</t>
  </si>
  <si>
    <t>Otros ingresos</t>
  </si>
  <si>
    <t>Cónyuge</t>
  </si>
  <si>
    <t>% de endeudamiento</t>
  </si>
  <si>
    <t>Total Ingresos líquidos US$</t>
  </si>
  <si>
    <t>PyME</t>
  </si>
  <si>
    <t>APORTE PATRONAL</t>
  </si>
  <si>
    <t>% Aporte</t>
  </si>
  <si>
    <t>Total</t>
  </si>
  <si>
    <t>Aporte Patronal Solidario</t>
  </si>
  <si>
    <t>Prima por Riesgo Profesional</t>
  </si>
  <si>
    <t>TOTAL EMPLEADOR</t>
  </si>
  <si>
    <t>APORTE TRABAJADOR</t>
  </si>
  <si>
    <t>Cotización Mensual</t>
  </si>
  <si>
    <t>Aporte Solidario del Asegurado</t>
  </si>
  <si>
    <t>Prima por Riesgo Común</t>
  </si>
  <si>
    <t>Comisión por Administración</t>
  </si>
  <si>
    <t>Cálculo Aporte Nacional Solidario</t>
  </si>
  <si>
    <t>Aporte Nacional Solidario Dependientes</t>
  </si>
  <si>
    <t xml:space="preserve"> = (TGS-13.000)*1%</t>
  </si>
  <si>
    <t xml:space="preserve"> = (TGS-25.000)*5%</t>
  </si>
  <si>
    <t xml:space="preserve"> = (TGS-35.000)*10%</t>
  </si>
  <si>
    <t>TOTAL APORTES</t>
  </si>
  <si>
    <t>APORTES</t>
  </si>
  <si>
    <t>Total Ganado Bs</t>
  </si>
  <si>
    <t>Liquido Pagable</t>
  </si>
  <si>
    <t>ANALISIS CLIENTE INDEPENDIENTE:</t>
  </si>
  <si>
    <t>Ingresos independiente</t>
  </si>
  <si>
    <t>Mes 1</t>
  </si>
  <si>
    <t>Mes 2</t>
  </si>
  <si>
    <t>Mes 3</t>
  </si>
  <si>
    <t>Mes 4</t>
  </si>
  <si>
    <t>Mes 5</t>
  </si>
  <si>
    <t>Mes 6</t>
  </si>
  <si>
    <t>Total Promedio</t>
  </si>
  <si>
    <t>Prom - Castigo</t>
  </si>
  <si>
    <t>Premium</t>
  </si>
  <si>
    <t xml:space="preserve">Nuevo </t>
  </si>
  <si>
    <t>Tipo de producto solicitado</t>
  </si>
  <si>
    <t>RANGO</t>
  </si>
  <si>
    <t>HIPOTECARIO</t>
  </si>
  <si>
    <t>tc</t>
  </si>
  <si>
    <t>consumo</t>
  </si>
  <si>
    <t>hips</t>
  </si>
  <si>
    <t>hipotecario</t>
  </si>
  <si>
    <t>rango</t>
  </si>
  <si>
    <t>cons</t>
  </si>
  <si>
    <t>Cuota presunta</t>
  </si>
  <si>
    <t>% Endeudamiento</t>
  </si>
  <si>
    <t>Ingresos brutos dependiente</t>
  </si>
  <si>
    <t>Ocupación del cliente</t>
  </si>
  <si>
    <t>Veterinaria</t>
  </si>
  <si>
    <t>Fotografía filmación</t>
  </si>
  <si>
    <t>Abogados</t>
  </si>
  <si>
    <t>Serv Gráficos</t>
  </si>
  <si>
    <t>Serv Profesionales</t>
  </si>
  <si>
    <t>Serv Educativos</t>
  </si>
  <si>
    <t>Serv Médicos</t>
  </si>
  <si>
    <t>Serv Técnicos</t>
  </si>
  <si>
    <t>Trabajos profesionales independientes</t>
  </si>
  <si>
    <t>Promedio-Castigo</t>
  </si>
  <si>
    <t>CDE US$</t>
  </si>
  <si>
    <t>Monto (en Bs.)</t>
  </si>
  <si>
    <t>4.- ACLARACIONES DEL ANALISIS</t>
  </si>
  <si>
    <t>Consumos-Hipotecarios</t>
  </si>
  <si>
    <t>% de endeudamiento final</t>
  </si>
  <si>
    <t>Equivalencia en US$</t>
  </si>
  <si>
    <t>ORO</t>
  </si>
  <si>
    <t>CDE Bs.</t>
  </si>
  <si>
    <t>Tipo de tarjeta a ofrecer</t>
  </si>
  <si>
    <t>ING MINIMO</t>
  </si>
  <si>
    <t>PDH - PREMIUM</t>
  </si>
  <si>
    <t>Seguro vehicular</t>
  </si>
  <si>
    <t>Valor del bien (en Bs.)</t>
  </si>
  <si>
    <t>(*)Formula que calcula el siguiente dia de pago según la instrucción, suma 6 o 15 dias adicionales.</t>
  </si>
  <si>
    <t>(*)Este campo se actualizara automaticamente con una formula.</t>
  </si>
  <si>
    <t>Fecha de Pago</t>
  </si>
  <si>
    <t>Fecha hoy</t>
  </si>
  <si>
    <t>Fecha de hoy</t>
  </si>
  <si>
    <t>Equivalente Bs.</t>
  </si>
  <si>
    <t>MTO MÍNIMO</t>
  </si>
  <si>
    <t>ING MÍNIMO</t>
  </si>
  <si>
    <t>CALIFICA</t>
  </si>
  <si>
    <t>NORMAL - PDH - PREMIUM</t>
  </si>
  <si>
    <t>Valor del Vehículo (Bs.)</t>
  </si>
  <si>
    <t>Valor Comercial (Bs.)</t>
  </si>
  <si>
    <t>Valor de Reconstrucción (Bs.)</t>
  </si>
  <si>
    <t>Alquileres</t>
  </si>
  <si>
    <t>Monto máximo (en Bs.)</t>
  </si>
  <si>
    <t>CLÁSICA</t>
  </si>
  <si>
    <t>Score</t>
  </si>
  <si>
    <t>Ingreso Líquido</t>
  </si>
  <si>
    <t>Regular</t>
  </si>
  <si>
    <t>Bueno</t>
  </si>
  <si>
    <t>Muy Bueno</t>
  </si>
  <si>
    <t>hip</t>
  </si>
  <si>
    <t>Otras cargas laborales</t>
  </si>
  <si>
    <t>Otras deudas</t>
  </si>
  <si>
    <t>Mes 7</t>
  </si>
  <si>
    <t>Mes 8</t>
  </si>
  <si>
    <t>Mes 9</t>
  </si>
  <si>
    <t>Mes 10</t>
  </si>
  <si>
    <t>Mes 11</t>
  </si>
  <si>
    <t>Mes 12</t>
  </si>
  <si>
    <t>CPOP</t>
  </si>
  <si>
    <t>Score (solo EFEC)</t>
  </si>
  <si>
    <t>Premios CPOP: Consumo e Hipotecarios</t>
  </si>
  <si>
    <t>Meses de incremento</t>
  </si>
  <si>
    <t>Vehicular</t>
  </si>
  <si>
    <t>Vivienda Social</t>
  </si>
  <si>
    <t>Ingreso Mínimo</t>
  </si>
  <si>
    <t>Sub Producto</t>
  </si>
  <si>
    <t>Efectivo</t>
  </si>
  <si>
    <t>Vivienda</t>
  </si>
  <si>
    <t>HIPOTECARIO SOCIAL</t>
  </si>
  <si>
    <t>ANALISIS CLIENTE DEPENDIENTE:</t>
  </si>
  <si>
    <t>Hipotecario Comercial</t>
  </si>
  <si>
    <t>Hipotecario de Vivienda</t>
  </si>
  <si>
    <t>Comercial</t>
  </si>
  <si>
    <t>Prima (monto anual)</t>
  </si>
  <si>
    <t>1 Aguinaldo</t>
  </si>
  <si>
    <t>Verificaciones Laborales</t>
  </si>
  <si>
    <t>No aplica, cliente PdH</t>
  </si>
  <si>
    <t>Verificaciones laborales</t>
  </si>
  <si>
    <t>Presenta AFP</t>
  </si>
  <si>
    <t>Positivas</t>
  </si>
  <si>
    <t>Verificaciones Domiciliarias</t>
  </si>
  <si>
    <t>Verificaciones domiciliarias</t>
  </si>
  <si>
    <t>Negativas</t>
  </si>
  <si>
    <t>Presenta factura de servicio</t>
  </si>
  <si>
    <t>Beneficios CPOP</t>
  </si>
  <si>
    <t>Monto:</t>
  </si>
  <si>
    <t>Tipo de cliente</t>
  </si>
  <si>
    <t>Stock</t>
  </si>
  <si>
    <t>Monto</t>
  </si>
  <si>
    <t>1 CPOP</t>
  </si>
  <si>
    <t>2 CPOP</t>
  </si>
  <si>
    <t>3 CPOP</t>
  </si>
  <si>
    <t>Se ofrece opción:</t>
  </si>
  <si>
    <t>TC 1</t>
  </si>
  <si>
    <t>TC 2</t>
  </si>
  <si>
    <t>TC 1 (Solicitado)</t>
  </si>
  <si>
    <t>Según pauta</t>
  </si>
  <si>
    <t>No aplica, cliente jubilado</t>
  </si>
  <si>
    <t>En Bs</t>
  </si>
  <si>
    <t>Titutar</t>
  </si>
  <si>
    <t>Número</t>
  </si>
  <si>
    <t>Destino de la operación</t>
  </si>
  <si>
    <t>Libre disponibilidad</t>
  </si>
  <si>
    <t>Compra de deuda</t>
  </si>
  <si>
    <t>Vehicular Plus - Compra de vehículo nuevo</t>
  </si>
  <si>
    <t>Compra de deuda y libre disponibilidad</t>
  </si>
  <si>
    <t>Reutilización crédito BCP</t>
  </si>
  <si>
    <t>Reutilización crédito BCP y libre disponibilidad</t>
  </si>
  <si>
    <t>Compra de deuda y reutilización crédito BCP</t>
  </si>
  <si>
    <t>Seguro de desgravamen</t>
  </si>
  <si>
    <t>Seguro</t>
  </si>
  <si>
    <t>Presenta Infocred con croquis</t>
  </si>
  <si>
    <t>Compra de vivienda</t>
  </si>
  <si>
    <t>Compra de vehículo</t>
  </si>
  <si>
    <t>Refacción de vivienda</t>
  </si>
  <si>
    <t>Construcción de vivienda</t>
  </si>
  <si>
    <t>Compra de terreno</t>
  </si>
  <si>
    <t>Reposición de inversión</t>
  </si>
  <si>
    <t>Decisión sobre CEM</t>
  </si>
  <si>
    <t>Restricción Consumo</t>
  </si>
  <si>
    <t>Restricción consumo</t>
  </si>
  <si>
    <t>Cuota con respaldo Consumo</t>
  </si>
  <si>
    <t>Cuota con respaldo Otros</t>
  </si>
  <si>
    <t>HIP/Consumo con HIP</t>
  </si>
  <si>
    <t>Monto máximo por restriccion</t>
  </si>
  <si>
    <t>Monto máximo por CEM</t>
  </si>
  <si>
    <t>No aplica al ser hipotecario</t>
  </si>
  <si>
    <t>Efectivo (c/ VS)</t>
  </si>
  <si>
    <t>Pendiente</t>
  </si>
  <si>
    <t>Según Pauta</t>
  </si>
  <si>
    <t>Clásica</t>
  </si>
  <si>
    <t>Oro</t>
  </si>
  <si>
    <t>Efectivo (c/VS)</t>
  </si>
  <si>
    <t>Tasa hipotecario</t>
  </si>
  <si>
    <t>Restriccion consumo</t>
  </si>
  <si>
    <t>tipo de cliente</t>
  </si>
  <si>
    <t>PDH - Stock</t>
  </si>
  <si>
    <t>PDH - Premium</t>
  </si>
  <si>
    <t>No</t>
  </si>
  <si>
    <t>Si</t>
  </si>
  <si>
    <t>CESANTIA</t>
  </si>
  <si>
    <t>AUTONOMIA DE LA OPERACIÓN</t>
  </si>
  <si>
    <t>Operación</t>
  </si>
  <si>
    <t>Tipo de garantía</t>
  </si>
  <si>
    <t>Autonomia de operaciones</t>
  </si>
  <si>
    <t>A sola firma</t>
  </si>
  <si>
    <t>Con garantía</t>
  </si>
  <si>
    <t>Total a sola firma</t>
  </si>
  <si>
    <t>Total cúmulo</t>
  </si>
  <si>
    <t>Tipo de producto</t>
  </si>
  <si>
    <t>Tarjeta de crédito</t>
  </si>
  <si>
    <t>AUTONOMIA</t>
  </si>
  <si>
    <t>Saldo en Bs.</t>
  </si>
  <si>
    <t>Saldo en USD</t>
  </si>
  <si>
    <t>Gerencia General</t>
  </si>
  <si>
    <t>División Riesgos</t>
  </si>
  <si>
    <t>Servicio CBM</t>
  </si>
  <si>
    <t>Servicio Riesgos BM</t>
  </si>
  <si>
    <t>Jefatura CBM</t>
  </si>
  <si>
    <t>Senior I</t>
  </si>
  <si>
    <t>Senior II</t>
  </si>
  <si>
    <t>Junior</t>
  </si>
  <si>
    <t>Cumulo total</t>
  </si>
  <si>
    <t>Cumulo a sola firma</t>
  </si>
  <si>
    <t>Cuadro de autonomias</t>
  </si>
  <si>
    <t>Por Productos</t>
  </si>
  <si>
    <t>total cúmulo</t>
  </si>
  <si>
    <t>Resultado 1</t>
  </si>
  <si>
    <t>Para los cúmulos</t>
  </si>
  <si>
    <t>total sola firma</t>
  </si>
  <si>
    <t>Resultado 2</t>
  </si>
  <si>
    <t>Eliminando los que no son</t>
  </si>
  <si>
    <t>Producto sol</t>
  </si>
  <si>
    <t>Autonomía</t>
  </si>
  <si>
    <t>Comparacion entre autonomias</t>
  </si>
  <si>
    <t>Producto</t>
  </si>
  <si>
    <t>Máximo</t>
  </si>
  <si>
    <t>PdH</t>
  </si>
  <si>
    <t>SIGNATURE</t>
  </si>
  <si>
    <t>Op. solicitada</t>
  </si>
  <si>
    <t>Signature</t>
  </si>
  <si>
    <t xml:space="preserve">Ingresos y antigüedad respaldados con </t>
  </si>
  <si>
    <t>Sujeto a:</t>
  </si>
  <si>
    <t>Oro Cambio de Bin</t>
  </si>
  <si>
    <t>Signature Cambio de Bin</t>
  </si>
  <si>
    <t>Segmento (segun ingresos Tit.)</t>
  </si>
  <si>
    <t>Segmento</t>
  </si>
  <si>
    <t>ingreso titular (U$)</t>
  </si>
  <si>
    <t>ingreso conyuge (U$)</t>
  </si>
  <si>
    <t>Estado Civil Cliente</t>
  </si>
  <si>
    <t>Casado/Conviviente</t>
  </si>
  <si>
    <t>Soltero/Viudo/Divorciado</t>
  </si>
  <si>
    <t>Jubilados</t>
  </si>
  <si>
    <t>HOJA DE EVALUACIÓN CUANTITATIVA</t>
  </si>
  <si>
    <t>Consumo con Garantía</t>
  </si>
  <si>
    <t>T1</t>
  </si>
  <si>
    <t>T2</t>
  </si>
  <si>
    <t>ASFI</t>
  </si>
  <si>
    <t>INFOCRED</t>
  </si>
  <si>
    <t>Tipo de Garantía</t>
  </si>
  <si>
    <t>Saldo en Bs</t>
  </si>
  <si>
    <t>Op Solicitada</t>
  </si>
  <si>
    <t>Tipo de Producto</t>
  </si>
  <si>
    <t>BCP</t>
  </si>
  <si>
    <t>SCORE</t>
  </si>
  <si>
    <t>PRODUCTOS</t>
  </si>
  <si>
    <t>SUBPRODUCTO</t>
  </si>
  <si>
    <t>%CDE</t>
  </si>
  <si>
    <t>NORMAL</t>
  </si>
  <si>
    <t>DEPENDIENTE</t>
  </si>
  <si>
    <t>INDEPENDIENTE</t>
  </si>
  <si>
    <t>Muy bueno</t>
  </si>
  <si>
    <t>CLASICA</t>
  </si>
  <si>
    <t xml:space="preserve">Número de veces </t>
  </si>
  <si>
    <t>ingreso l íquido</t>
  </si>
  <si>
    <t>Linea aprobada</t>
  </si>
  <si>
    <t>Por CEM</t>
  </si>
  <si>
    <t>monto menor</t>
  </si>
  <si>
    <t>Por línea óptima (nro veces)</t>
  </si>
  <si>
    <t>Línea óptima (nro veces)</t>
  </si>
  <si>
    <t>menor entre ambos</t>
  </si>
  <si>
    <t>Línea por nro de veces</t>
  </si>
  <si>
    <t>Valor del Veh (en Bs.)</t>
  </si>
  <si>
    <t>Fecha evaluación</t>
  </si>
  <si>
    <t>Edad de permanencia</t>
  </si>
  <si>
    <t>Edad Límite</t>
  </si>
  <si>
    <t>Edad al vencimiento</t>
  </si>
  <si>
    <t>Edad</t>
  </si>
  <si>
    <t>Hoy</t>
  </si>
  <si>
    <t>VehÍculo eléctrico/híbrido</t>
  </si>
  <si>
    <t>Vehículo eléctrico/híbrido</t>
  </si>
  <si>
    <t>Fecha de nacimiento T1</t>
  </si>
  <si>
    <t>Fecha de nacimiento T2</t>
  </si>
  <si>
    <t xml:space="preserve">Edad Minima </t>
  </si>
  <si>
    <t>Edad Mínima</t>
  </si>
  <si>
    <t>Edad en función de la eleccion analista</t>
  </si>
  <si>
    <t>Ingresos líquidos</t>
  </si>
  <si>
    <t xml:space="preserve">Sujeto a:     </t>
  </si>
  <si>
    <t>Fecha de nac T1</t>
  </si>
  <si>
    <t>Fecha de nac T2</t>
  </si>
  <si>
    <t>Ingreso bruto</t>
  </si>
  <si>
    <t>Ingreso líquido</t>
  </si>
  <si>
    <t>Total Ingreso líquido US$</t>
  </si>
  <si>
    <t>NIT</t>
  </si>
  <si>
    <t>Directas</t>
  </si>
  <si>
    <t>Indirectas</t>
  </si>
  <si>
    <t>Solt/Viudo/Divorc</t>
  </si>
  <si>
    <t>Verif Laboral titular</t>
  </si>
  <si>
    <t>Verif Laboral cónyuge</t>
  </si>
  <si>
    <t>Verif domicilar</t>
  </si>
  <si>
    <t>Pyme/Micro indirecta</t>
  </si>
  <si>
    <t>Pyme/Micro</t>
  </si>
  <si>
    <t>PyME/Micro</t>
  </si>
  <si>
    <t>EFEC</t>
  </si>
  <si>
    <t>pyme/micro</t>
  </si>
  <si>
    <t>deudas indirectas SFN</t>
  </si>
  <si>
    <t>deudas indirectas BCP</t>
  </si>
  <si>
    <t>MARIO QUISPE CHIPANA GUTIERREZ</t>
  </si>
  <si>
    <t>Monto máximo en CEM (en Bs.)</t>
  </si>
  <si>
    <t>Por restricción consumo</t>
  </si>
  <si>
    <t>Enalta</t>
  </si>
  <si>
    <t>Tasa variable</t>
  </si>
  <si>
    <t>Tasa fija</t>
  </si>
  <si>
    <t>Índice TRE</t>
  </si>
  <si>
    <t>Clásica ampliación de linea</t>
  </si>
  <si>
    <t>Oro ampliación de linea</t>
  </si>
  <si>
    <t>Signature ampliación de linea</t>
  </si>
  <si>
    <t>+ TRE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</si>
</sst>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0.000%"/>
    <numFmt numFmtId="165" formatCode="0.0%"/>
    <numFmt numFmtId="166" formatCode="#,##0.0"/>
    <numFmt numFmtId="167" formatCode="_(* #,##0_);_(* \(#,##0\);_(* &quot;-&quot;??_);_(@_)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u/>
      <sz val="11"/>
      <color theme="1"/>
      <name val="Arial"/>
      <family val="2"/>
    </font>
    <font>
      <b/>
      <sz val="8"/>
      <color indexed="18"/>
      <name val="Arial"/>
      <family val="2"/>
    </font>
    <font>
      <sz val="11"/>
      <name val="Calibri"/>
      <family val="2"/>
      <scheme val="minor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0"/>
      <name val="Arial"/>
      <family val="2"/>
    </font>
    <font>
      <b/>
      <sz val="8"/>
      <color theme="1"/>
      <name val="Arial"/>
      <family val="2"/>
    </font>
    <font>
      <b/>
      <sz val="8"/>
      <color indexed="9"/>
      <name val="Arial"/>
      <family val="2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sz val="8"/>
      <name val="Arial"/>
      <family val="2"/>
    </font>
    <font>
      <b/>
      <sz val="9"/>
      <color theme="1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1"/>
      <name val="Arial"/>
      <family val="2"/>
    </font>
    <font>
      <b/>
      <u/>
      <sz val="11"/>
      <name val="Arial"/>
      <family val="2"/>
      <charset val="204"/>
    </font>
    <font>
      <u/>
      <sz val="11"/>
      <name val="Arial"/>
      <family val="2"/>
    </font>
    <font>
      <u/>
      <sz val="11"/>
      <color theme="1"/>
      <name val="Arial"/>
      <family val="2"/>
    </font>
    <font>
      <b/>
      <sz val="11"/>
      <color rgb="FFFF0000"/>
      <name val="Arial"/>
      <family val="2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  <font>
      <sz val="16"/>
      <color theme="1"/>
      <name val="Arial"/>
      <family val="2"/>
    </font>
    <font>
      <b/>
      <sz val="16"/>
      <color theme="1"/>
      <name val="Calibri"/>
      <family val="2"/>
      <scheme val="minor"/>
    </font>
    <font>
      <sz val="11"/>
      <color theme="0"/>
      <name val="Arial"/>
      <family val="2"/>
    </font>
    <font>
      <b/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indexed="9"/>
      <name val="Calibri"/>
      <family val="2"/>
      <scheme val="minor"/>
    </font>
    <font>
      <b/>
      <sz val="8"/>
      <color indexed="18"/>
      <name val="Calibri"/>
      <family val="2"/>
      <scheme val="minor"/>
    </font>
    <font>
      <sz val="8"/>
      <color indexed="8"/>
      <name val="Calibri"/>
      <family val="2"/>
      <scheme val="minor"/>
    </font>
    <font>
      <b/>
      <sz val="8"/>
      <color indexed="8"/>
      <name val="Calibri"/>
      <family val="2"/>
      <scheme val="minor"/>
    </font>
    <font>
      <b/>
      <u/>
      <sz val="11"/>
      <name val="Calibri"/>
      <family val="2"/>
      <scheme val="minor"/>
    </font>
    <font>
      <u/>
      <sz val="1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color indexed="18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0099FF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006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2F7FE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/>
        <bgColor indexed="64"/>
      </patternFill>
    </fill>
  </fills>
  <borders count="5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10"/>
      </left>
      <right style="thick">
        <color indexed="10"/>
      </right>
      <top style="thick">
        <color indexed="10"/>
      </top>
      <bottom style="thick">
        <color indexed="10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10"/>
      </left>
      <right style="thick">
        <color indexed="10"/>
      </right>
      <top/>
      <bottom style="thick">
        <color indexed="1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</cellStyleXfs>
  <cellXfs count="637">
    <xf numFmtId="0" fontId="0" fillId="0" borderId="0" xfId="0"/>
    <xf numFmtId="3" fontId="15" fillId="2" borderId="3" xfId="0" applyNumberFormat="1" applyFont="1" applyFill="1" applyBorder="1" applyAlignment="1">
      <alignment vertical="center"/>
    </xf>
    <xf numFmtId="0" fontId="15" fillId="2" borderId="18" xfId="0" applyFont="1" applyFill="1" applyBorder="1" applyAlignment="1">
      <alignment vertical="center"/>
    </xf>
    <xf numFmtId="14" fontId="0" fillId="0" borderId="0" xfId="2" applyNumberFormat="1" applyFont="1"/>
    <xf numFmtId="14" fontId="18" fillId="0" borderId="0" xfId="0" applyNumberFormat="1" applyFont="1" applyAlignment="1">
      <alignment vertical="top" wrapText="1"/>
    </xf>
    <xf numFmtId="0" fontId="19" fillId="0" borderId="0" xfId="0" applyFont="1"/>
    <xf numFmtId="0" fontId="0" fillId="0" borderId="0" xfId="0" applyAlignment="1">
      <alignment horizontal="right"/>
    </xf>
    <xf numFmtId="14" fontId="19" fillId="0" borderId="0" xfId="0" applyNumberFormat="1" applyFont="1"/>
    <xf numFmtId="0" fontId="17" fillId="0" borderId="0" xfId="0" applyFont="1" applyAlignment="1">
      <alignment horizontal="center"/>
    </xf>
    <xf numFmtId="0" fontId="3" fillId="2" borderId="13" xfId="0" applyFont="1" applyFill="1" applyBorder="1" applyAlignment="1">
      <alignment vertical="center"/>
    </xf>
    <xf numFmtId="0" fontId="3" fillId="2" borderId="14" xfId="0" applyFont="1" applyFill="1" applyBorder="1" applyAlignment="1">
      <alignment vertical="center"/>
    </xf>
    <xf numFmtId="0" fontId="9" fillId="3" borderId="7" xfId="0" applyFont="1" applyFill="1" applyBorder="1" applyAlignment="1" applyProtection="1">
      <alignment vertical="center"/>
      <protection locked="0"/>
    </xf>
    <xf numFmtId="0" fontId="3" fillId="3" borderId="26" xfId="0" applyFont="1" applyFill="1" applyBorder="1" applyAlignment="1" applyProtection="1">
      <alignment vertical="center"/>
      <protection locked="0"/>
    </xf>
    <xf numFmtId="0" fontId="6" fillId="4" borderId="0" xfId="0" applyFont="1" applyFill="1" applyAlignment="1">
      <alignment vertical="center"/>
    </xf>
    <xf numFmtId="0" fontId="15" fillId="4" borderId="0" xfId="0" applyFont="1" applyFill="1" applyAlignment="1">
      <alignment vertical="center"/>
    </xf>
    <xf numFmtId="0" fontId="6" fillId="2" borderId="18" xfId="0" applyFont="1" applyFill="1" applyBorder="1" applyAlignment="1">
      <alignment vertical="center"/>
    </xf>
    <xf numFmtId="0" fontId="6" fillId="3" borderId="2" xfId="0" applyFont="1" applyFill="1" applyBorder="1" applyAlignment="1" applyProtection="1">
      <alignment vertical="center"/>
      <protection locked="0"/>
    </xf>
    <xf numFmtId="14" fontId="6" fillId="3" borderId="5" xfId="0" applyNumberFormat="1" applyFont="1" applyFill="1" applyBorder="1" applyAlignment="1" applyProtection="1">
      <alignment horizontal="center" vertical="center"/>
      <protection locked="0"/>
    </xf>
    <xf numFmtId="3" fontId="6" fillId="2" borderId="3" xfId="0" applyNumberFormat="1" applyFont="1" applyFill="1" applyBorder="1" applyAlignment="1">
      <alignment vertical="center"/>
    </xf>
    <xf numFmtId="3" fontId="6" fillId="3" borderId="1" xfId="0" applyNumberFormat="1" applyFont="1" applyFill="1" applyBorder="1" applyAlignment="1" applyProtection="1">
      <alignment vertical="center"/>
      <protection locked="0"/>
    </xf>
    <xf numFmtId="3" fontId="6" fillId="2" borderId="2" xfId="0" applyNumberFormat="1" applyFont="1" applyFill="1" applyBorder="1" applyAlignment="1">
      <alignment vertical="center"/>
    </xf>
    <xf numFmtId="0" fontId="6" fillId="2" borderId="10" xfId="0" applyFont="1" applyFill="1" applyBorder="1" applyAlignment="1">
      <alignment vertical="center"/>
    </xf>
    <xf numFmtId="0" fontId="6" fillId="2" borderId="17" xfId="0" applyFont="1" applyFill="1" applyBorder="1" applyAlignment="1">
      <alignment vertical="center"/>
    </xf>
    <xf numFmtId="0" fontId="6" fillId="2" borderId="2" xfId="0" applyFont="1" applyFill="1" applyBorder="1" applyAlignment="1">
      <alignment vertical="center"/>
    </xf>
    <xf numFmtId="3" fontId="6" fillId="2" borderId="5" xfId="0" applyNumberFormat="1" applyFont="1" applyFill="1" applyBorder="1" applyAlignment="1">
      <alignment vertical="center"/>
    </xf>
    <xf numFmtId="0" fontId="6" fillId="2" borderId="21" xfId="0" applyFont="1" applyFill="1" applyBorder="1" applyAlignment="1">
      <alignment vertical="center"/>
    </xf>
    <xf numFmtId="3" fontId="15" fillId="2" borderId="11" xfId="0" applyNumberFormat="1" applyFont="1" applyFill="1" applyBorder="1" applyAlignment="1">
      <alignment vertical="center"/>
    </xf>
    <xf numFmtId="3" fontId="6" fillId="3" borderId="7" xfId="0" applyNumberFormat="1" applyFont="1" applyFill="1" applyBorder="1" applyAlignment="1" applyProtection="1">
      <alignment vertical="center"/>
      <protection locked="0"/>
    </xf>
    <xf numFmtId="3" fontId="6" fillId="2" borderId="11" xfId="0" applyNumberFormat="1" applyFont="1" applyFill="1" applyBorder="1" applyAlignment="1">
      <alignment vertical="center"/>
    </xf>
    <xf numFmtId="0" fontId="6" fillId="2" borderId="3" xfId="0" applyFont="1" applyFill="1" applyBorder="1" applyAlignment="1">
      <alignment vertical="center"/>
    </xf>
    <xf numFmtId="0" fontId="6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3" fontId="6" fillId="2" borderId="9" xfId="0" applyNumberFormat="1" applyFont="1" applyFill="1" applyBorder="1" applyAlignment="1">
      <alignment vertical="center"/>
    </xf>
    <xf numFmtId="3" fontId="6" fillId="3" borderId="1" xfId="0" applyNumberFormat="1" applyFont="1" applyFill="1" applyBorder="1" applyAlignment="1" applyProtection="1">
      <alignment horizontal="right" vertical="center"/>
      <protection locked="0"/>
    </xf>
    <xf numFmtId="9" fontId="6" fillId="2" borderId="12" xfId="1" applyFont="1" applyFill="1" applyBorder="1" applyAlignment="1">
      <alignment vertical="center"/>
    </xf>
    <xf numFmtId="0" fontId="6" fillId="2" borderId="9" xfId="0" applyFont="1" applyFill="1" applyBorder="1" applyAlignment="1">
      <alignment vertical="center"/>
    </xf>
    <xf numFmtId="0" fontId="15" fillId="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vertical="center"/>
    </xf>
    <xf numFmtId="0" fontId="8" fillId="2" borderId="30" xfId="0" applyFont="1" applyFill="1" applyBorder="1" applyAlignment="1">
      <alignment horizontal="left" vertical="center"/>
    </xf>
    <xf numFmtId="0" fontId="7" fillId="2" borderId="30" xfId="0" applyFont="1" applyFill="1" applyBorder="1" applyAlignment="1">
      <alignment horizontal="center" vertical="center"/>
    </xf>
    <xf numFmtId="0" fontId="7" fillId="2" borderId="31" xfId="0" applyFont="1" applyFill="1" applyBorder="1" applyAlignment="1">
      <alignment horizontal="center" vertical="center"/>
    </xf>
    <xf numFmtId="3" fontId="15" fillId="4" borderId="2" xfId="0" applyNumberFormat="1" applyFont="1" applyFill="1" applyBorder="1" applyAlignment="1">
      <alignment vertical="center"/>
    </xf>
    <xf numFmtId="0" fontId="6" fillId="2" borderId="16" xfId="0" applyFont="1" applyFill="1" applyBorder="1" applyAlignment="1">
      <alignment vertical="center"/>
    </xf>
    <xf numFmtId="9" fontId="6" fillId="2" borderId="0" xfId="1" applyFont="1" applyFill="1" applyBorder="1" applyAlignment="1">
      <alignment vertical="center"/>
    </xf>
    <xf numFmtId="9" fontId="6" fillId="2" borderId="17" xfId="1" applyFont="1" applyFill="1" applyBorder="1" applyAlignment="1">
      <alignment vertical="center"/>
    </xf>
    <xf numFmtId="0" fontId="10" fillId="7" borderId="0" xfId="0" applyFont="1" applyFill="1" applyAlignment="1">
      <alignment vertical="center"/>
    </xf>
    <xf numFmtId="0" fontId="10" fillId="7" borderId="0" xfId="0" applyFont="1" applyFill="1" applyAlignment="1">
      <alignment horizontal="center" vertical="center"/>
    </xf>
    <xf numFmtId="3" fontId="4" fillId="0" borderId="32" xfId="0" applyNumberFormat="1" applyFont="1" applyBorder="1" applyAlignment="1">
      <alignment vertical="center"/>
    </xf>
    <xf numFmtId="0" fontId="11" fillId="0" borderId="0" xfId="0" applyFont="1" applyAlignment="1">
      <alignment vertical="center"/>
    </xf>
    <xf numFmtId="0" fontId="10" fillId="5" borderId="0" xfId="0" applyFont="1" applyFill="1" applyAlignment="1">
      <alignment vertical="center"/>
    </xf>
    <xf numFmtId="0" fontId="10" fillId="5" borderId="0" xfId="0" applyFont="1" applyFill="1" applyAlignment="1">
      <alignment horizontal="center" vertical="center"/>
    </xf>
    <xf numFmtId="0" fontId="11" fillId="0" borderId="27" xfId="0" applyFont="1" applyBorder="1" applyAlignment="1">
      <alignment vertical="center"/>
    </xf>
    <xf numFmtId="9" fontId="11" fillId="0" borderId="27" xfId="0" applyNumberFormat="1" applyFont="1" applyBorder="1" applyAlignment="1">
      <alignment vertical="center"/>
    </xf>
    <xf numFmtId="4" fontId="11" fillId="0" borderId="27" xfId="0" applyNumberFormat="1" applyFont="1" applyBorder="1" applyAlignment="1">
      <alignment vertical="center"/>
    </xf>
    <xf numFmtId="10" fontId="11" fillId="0" borderId="27" xfId="0" applyNumberFormat="1" applyFont="1" applyBorder="1" applyAlignment="1">
      <alignment vertical="center"/>
    </xf>
    <xf numFmtId="0" fontId="12" fillId="6" borderId="0" xfId="0" applyFont="1" applyFill="1" applyAlignment="1">
      <alignment vertical="center"/>
    </xf>
    <xf numFmtId="10" fontId="12" fillId="6" borderId="0" xfId="0" applyNumberFormat="1" applyFont="1" applyFill="1" applyAlignment="1">
      <alignment vertical="center"/>
    </xf>
    <xf numFmtId="4" fontId="12" fillId="6" borderId="0" xfId="0" applyNumberFormat="1" applyFont="1" applyFill="1" applyAlignment="1">
      <alignment vertical="center"/>
    </xf>
    <xf numFmtId="10" fontId="11" fillId="0" borderId="0" xfId="1" applyNumberFormat="1" applyFont="1" applyAlignment="1">
      <alignment vertical="center"/>
    </xf>
    <xf numFmtId="4" fontId="10" fillId="5" borderId="0" xfId="0" applyNumberFormat="1" applyFont="1" applyFill="1" applyAlignment="1">
      <alignment vertical="center"/>
    </xf>
    <xf numFmtId="4" fontId="11" fillId="0" borderId="27" xfId="0" applyNumberFormat="1" applyFont="1" applyBorder="1" applyAlignment="1">
      <alignment horizontal="center" vertical="center"/>
    </xf>
    <xf numFmtId="0" fontId="12" fillId="8" borderId="0" xfId="0" applyFont="1" applyFill="1" applyAlignment="1">
      <alignment vertical="center"/>
    </xf>
    <xf numFmtId="10" fontId="12" fillId="8" borderId="0" xfId="0" applyNumberFormat="1" applyFont="1" applyFill="1" applyAlignment="1">
      <alignment vertical="center"/>
    </xf>
    <xf numFmtId="4" fontId="12" fillId="8" borderId="0" xfId="0" applyNumberFormat="1" applyFont="1" applyFill="1" applyAlignment="1">
      <alignment vertical="center"/>
    </xf>
    <xf numFmtId="3" fontId="4" fillId="0" borderId="28" xfId="0" applyNumberFormat="1" applyFont="1" applyBorder="1" applyAlignment="1">
      <alignment vertical="center"/>
    </xf>
    <xf numFmtId="0" fontId="6" fillId="4" borderId="2" xfId="0" applyFont="1" applyFill="1" applyBorder="1" applyAlignment="1">
      <alignment vertical="center"/>
    </xf>
    <xf numFmtId="0" fontId="15" fillId="4" borderId="2" xfId="0" applyFont="1" applyFill="1" applyBorder="1" applyAlignment="1">
      <alignment vertical="center"/>
    </xf>
    <xf numFmtId="0" fontId="6" fillId="2" borderId="40" xfId="0" applyFont="1" applyFill="1" applyBorder="1" applyAlignment="1">
      <alignment vertical="center"/>
    </xf>
    <xf numFmtId="0" fontId="6" fillId="2" borderId="41" xfId="0" applyFont="1" applyFill="1" applyBorder="1" applyAlignment="1">
      <alignment vertical="center"/>
    </xf>
    <xf numFmtId="2" fontId="6" fillId="3" borderId="5" xfId="0" applyNumberFormat="1" applyFont="1" applyFill="1" applyBorder="1" applyAlignment="1" applyProtection="1">
      <alignment horizontal="center" vertical="center"/>
      <protection locked="0"/>
    </xf>
    <xf numFmtId="3" fontId="6" fillId="3" borderId="2" xfId="0" applyNumberFormat="1" applyFont="1" applyFill="1" applyBorder="1" applyAlignment="1" applyProtection="1">
      <alignment vertical="center"/>
      <protection locked="0"/>
    </xf>
    <xf numFmtId="10" fontId="6" fillId="3" borderId="2" xfId="0" applyNumberFormat="1" applyFont="1" applyFill="1" applyBorder="1" applyAlignment="1" applyProtection="1">
      <alignment vertical="center"/>
      <protection locked="0"/>
    </xf>
    <xf numFmtId="164" fontId="6" fillId="3" borderId="2" xfId="0" applyNumberFormat="1" applyFont="1" applyFill="1" applyBorder="1" applyAlignment="1" applyProtection="1">
      <alignment vertical="center"/>
      <protection locked="0"/>
    </xf>
    <xf numFmtId="3" fontId="6" fillId="3" borderId="5" xfId="0" applyNumberFormat="1" applyFont="1" applyFill="1" applyBorder="1" applyAlignment="1" applyProtection="1">
      <alignment vertical="center"/>
      <protection locked="0"/>
    </xf>
    <xf numFmtId="10" fontId="6" fillId="3" borderId="5" xfId="0" applyNumberFormat="1" applyFont="1" applyFill="1" applyBorder="1" applyAlignment="1" applyProtection="1">
      <alignment vertical="center"/>
      <protection locked="0"/>
    </xf>
    <xf numFmtId="0" fontId="6" fillId="3" borderId="5" xfId="0" applyFont="1" applyFill="1" applyBorder="1" applyAlignment="1" applyProtection="1">
      <alignment vertical="center"/>
      <protection locked="0"/>
    </xf>
    <xf numFmtId="164" fontId="6" fillId="3" borderId="5" xfId="1" applyNumberFormat="1" applyFont="1" applyFill="1" applyBorder="1" applyAlignment="1" applyProtection="1">
      <alignment vertical="center"/>
      <protection locked="0"/>
    </xf>
    <xf numFmtId="164" fontId="6" fillId="3" borderId="5" xfId="0" applyNumberFormat="1" applyFont="1" applyFill="1" applyBorder="1" applyAlignment="1" applyProtection="1">
      <alignment vertical="center"/>
      <protection locked="0"/>
    </xf>
    <xf numFmtId="0" fontId="6" fillId="4" borderId="0" xfId="0" applyFont="1" applyFill="1" applyAlignment="1" applyProtection="1">
      <alignment vertical="center"/>
      <protection locked="0"/>
    </xf>
    <xf numFmtId="10" fontId="6" fillId="0" borderId="2" xfId="0" applyNumberFormat="1" applyFont="1" applyBorder="1" applyAlignment="1">
      <alignment vertical="center"/>
    </xf>
    <xf numFmtId="3" fontId="6" fillId="2" borderId="12" xfId="0" applyNumberFormat="1" applyFont="1" applyFill="1" applyBorder="1" applyAlignment="1">
      <alignment vertical="center"/>
    </xf>
    <xf numFmtId="1" fontId="6" fillId="2" borderId="22" xfId="0" applyNumberFormat="1" applyFont="1" applyFill="1" applyBorder="1" applyAlignment="1">
      <alignment vertical="center"/>
    </xf>
    <xf numFmtId="0" fontId="6" fillId="4" borderId="2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2" fillId="11" borderId="18" xfId="0" applyFont="1" applyFill="1" applyBorder="1" applyAlignment="1">
      <alignment vertical="center"/>
    </xf>
    <xf numFmtId="0" fontId="2" fillId="11" borderId="9" xfId="0" applyFont="1" applyFill="1" applyBorder="1" applyAlignment="1">
      <alignment horizontal="center" vertical="center"/>
    </xf>
    <xf numFmtId="0" fontId="2" fillId="11" borderId="4" xfId="0" applyFont="1" applyFill="1" applyBorder="1" applyAlignment="1">
      <alignment horizontal="center" vertical="center"/>
    </xf>
    <xf numFmtId="0" fontId="2" fillId="11" borderId="20" xfId="0" applyFont="1" applyFill="1" applyBorder="1" applyAlignment="1">
      <alignment horizontal="center" vertical="center"/>
    </xf>
    <xf numFmtId="0" fontId="2" fillId="11" borderId="25" xfId="0" applyFont="1" applyFill="1" applyBorder="1" applyAlignment="1">
      <alignment vertical="center"/>
    </xf>
    <xf numFmtId="3" fontId="2" fillId="11" borderId="2" xfId="0" applyNumberFormat="1" applyFont="1" applyFill="1" applyBorder="1" applyAlignment="1">
      <alignment vertical="center"/>
    </xf>
    <xf numFmtId="0" fontId="2" fillId="11" borderId="23" xfId="0" applyFont="1" applyFill="1" applyBorder="1" applyAlignment="1">
      <alignment vertical="center"/>
    </xf>
    <xf numFmtId="0" fontId="7" fillId="11" borderId="1" xfId="0" applyFont="1" applyFill="1" applyBorder="1" applyAlignment="1">
      <alignment horizontal="center" vertical="center"/>
    </xf>
    <xf numFmtId="0" fontId="0" fillId="4" borderId="0" xfId="0" applyFill="1" applyAlignment="1">
      <alignment vertical="center"/>
    </xf>
    <xf numFmtId="0" fontId="5" fillId="4" borderId="0" xfId="0" applyFont="1" applyFill="1" applyAlignment="1">
      <alignment vertical="center"/>
    </xf>
    <xf numFmtId="9" fontId="13" fillId="4" borderId="0" xfId="0" applyNumberFormat="1" applyFont="1" applyFill="1" applyAlignment="1">
      <alignment horizontal="center" vertical="center"/>
    </xf>
    <xf numFmtId="10" fontId="13" fillId="4" borderId="0" xfId="0" applyNumberFormat="1" applyFont="1" applyFill="1" applyAlignment="1">
      <alignment vertical="center"/>
    </xf>
    <xf numFmtId="10" fontId="13" fillId="4" borderId="0" xfId="0" applyNumberFormat="1" applyFont="1" applyFill="1" applyAlignment="1" applyProtection="1">
      <alignment vertical="center"/>
      <protection locked="0"/>
    </xf>
    <xf numFmtId="0" fontId="6" fillId="2" borderId="33" xfId="0" applyFont="1" applyFill="1" applyBorder="1" applyAlignment="1">
      <alignment vertical="center"/>
    </xf>
    <xf numFmtId="9" fontId="0" fillId="4" borderId="0" xfId="0" applyNumberFormat="1" applyFill="1" applyAlignment="1">
      <alignment vertical="center"/>
    </xf>
    <xf numFmtId="0" fontId="6" fillId="2" borderId="18" xfId="0" applyFont="1" applyFill="1" applyBorder="1" applyAlignment="1">
      <alignment horizontal="left" vertical="center"/>
    </xf>
    <xf numFmtId="0" fontId="2" fillId="2" borderId="9" xfId="0" applyFont="1" applyFill="1" applyBorder="1" applyAlignment="1">
      <alignment horizontal="left" vertical="center"/>
    </xf>
    <xf numFmtId="0" fontId="14" fillId="3" borderId="1" xfId="0" applyFont="1" applyFill="1" applyBorder="1" applyAlignment="1" applyProtection="1">
      <alignment horizontal="center" vertical="center"/>
      <protection locked="0"/>
    </xf>
    <xf numFmtId="0" fontId="14" fillId="3" borderId="26" xfId="0" applyFont="1" applyFill="1" applyBorder="1" applyAlignment="1" applyProtection="1">
      <alignment horizontal="center" vertical="center"/>
      <protection locked="0"/>
    </xf>
    <xf numFmtId="0" fontId="6" fillId="2" borderId="3" xfId="0" applyFont="1" applyFill="1" applyBorder="1" applyAlignment="1">
      <alignment horizontal="left" vertical="center"/>
    </xf>
    <xf numFmtId="3" fontId="6" fillId="3" borderId="1" xfId="0" applyNumberFormat="1" applyFont="1" applyFill="1" applyBorder="1" applyAlignment="1" applyProtection="1">
      <alignment horizontal="center" vertical="center"/>
      <protection locked="0"/>
    </xf>
    <xf numFmtId="3" fontId="6" fillId="3" borderId="15" xfId="0" applyNumberFormat="1" applyFont="1" applyFill="1" applyBorder="1" applyAlignment="1" applyProtection="1">
      <alignment horizontal="center" vertical="center"/>
      <protection locked="0"/>
    </xf>
    <xf numFmtId="9" fontId="5" fillId="4" borderId="0" xfId="0" applyNumberFormat="1" applyFont="1" applyFill="1" applyAlignment="1">
      <alignment vertical="center"/>
    </xf>
    <xf numFmtId="3" fontId="6" fillId="2" borderId="1" xfId="0" applyNumberFormat="1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left" vertical="center"/>
    </xf>
    <xf numFmtId="3" fontId="6" fillId="2" borderId="29" xfId="0" applyNumberFormat="1" applyFont="1" applyFill="1" applyBorder="1" applyAlignment="1">
      <alignment horizontal="center" vertical="center"/>
    </xf>
    <xf numFmtId="3" fontId="6" fillId="3" borderId="29" xfId="0" applyNumberFormat="1" applyFont="1" applyFill="1" applyBorder="1" applyAlignment="1" applyProtection="1">
      <alignment vertical="center"/>
      <protection locked="0"/>
    </xf>
    <xf numFmtId="1" fontId="6" fillId="2" borderId="2" xfId="0" applyNumberFormat="1" applyFont="1" applyFill="1" applyBorder="1" applyAlignment="1">
      <alignment vertical="center"/>
    </xf>
    <xf numFmtId="9" fontId="0" fillId="9" borderId="0" xfId="0" applyNumberFormat="1" applyFill="1" applyAlignment="1">
      <alignment vertical="center"/>
    </xf>
    <xf numFmtId="0" fontId="16" fillId="4" borderId="3" xfId="0" applyFont="1" applyFill="1" applyBorder="1" applyAlignment="1">
      <alignment horizontal="left" vertical="center"/>
    </xf>
    <xf numFmtId="0" fontId="6" fillId="4" borderId="9" xfId="0" applyFont="1" applyFill="1" applyBorder="1" applyAlignment="1">
      <alignment vertical="center"/>
    </xf>
    <xf numFmtId="165" fontId="6" fillId="2" borderId="12" xfId="1" applyNumberFormat="1" applyFont="1" applyFill="1" applyBorder="1" applyAlignment="1">
      <alignment vertical="center"/>
    </xf>
    <xf numFmtId="165" fontId="6" fillId="2" borderId="22" xfId="1" applyNumberFormat="1" applyFont="1" applyFill="1" applyBorder="1" applyAlignment="1">
      <alignment vertical="center"/>
    </xf>
    <xf numFmtId="0" fontId="0" fillId="4" borderId="0" xfId="0" applyFill="1" applyAlignment="1" applyProtection="1">
      <alignment vertical="center"/>
      <protection locked="0"/>
    </xf>
    <xf numFmtId="10" fontId="0" fillId="0" borderId="0" xfId="1" applyNumberFormat="1" applyFont="1" applyAlignment="1">
      <alignment vertical="center"/>
    </xf>
    <xf numFmtId="0" fontId="6" fillId="2" borderId="6" xfId="0" applyFont="1" applyFill="1" applyBorder="1" applyAlignment="1">
      <alignment vertical="center"/>
    </xf>
    <xf numFmtId="0" fontId="6" fillId="2" borderId="24" xfId="0" applyFont="1" applyFill="1" applyBorder="1" applyAlignment="1">
      <alignment vertical="center"/>
    </xf>
    <xf numFmtId="0" fontId="6" fillId="2" borderId="8" xfId="0" applyFont="1" applyFill="1" applyBorder="1" applyAlignment="1">
      <alignment vertical="center"/>
    </xf>
    <xf numFmtId="10" fontId="6" fillId="2" borderId="2" xfId="0" applyNumberFormat="1" applyFont="1" applyFill="1" applyBorder="1" applyAlignment="1">
      <alignment vertical="center"/>
    </xf>
    <xf numFmtId="164" fontId="6" fillId="2" borderId="2" xfId="0" applyNumberFormat="1" applyFont="1" applyFill="1" applyBorder="1" applyAlignment="1">
      <alignment vertical="center"/>
    </xf>
    <xf numFmtId="3" fontId="15" fillId="2" borderId="2" xfId="0" applyNumberFormat="1" applyFont="1" applyFill="1" applyBorder="1" applyAlignment="1">
      <alignment horizontal="right" vertical="center"/>
    </xf>
    <xf numFmtId="165" fontId="6" fillId="2" borderId="43" xfId="1" applyNumberFormat="1" applyFont="1" applyFill="1" applyBorder="1" applyAlignment="1" applyProtection="1">
      <alignment vertical="center"/>
    </xf>
    <xf numFmtId="165" fontId="6" fillId="2" borderId="42" xfId="1" applyNumberFormat="1" applyFont="1" applyFill="1" applyBorder="1" applyAlignment="1" applyProtection="1">
      <alignment vertical="center"/>
    </xf>
    <xf numFmtId="166" fontId="6" fillId="3" borderId="2" xfId="0" applyNumberFormat="1" applyFont="1" applyFill="1" applyBorder="1" applyAlignment="1" applyProtection="1">
      <alignment vertical="center"/>
      <protection locked="0"/>
    </xf>
    <xf numFmtId="166" fontId="6" fillId="2" borderId="2" xfId="0" applyNumberFormat="1" applyFont="1" applyFill="1" applyBorder="1" applyAlignment="1">
      <alignment vertical="center"/>
    </xf>
    <xf numFmtId="166" fontId="6" fillId="3" borderId="5" xfId="0" applyNumberFormat="1" applyFont="1" applyFill="1" applyBorder="1" applyAlignment="1" applyProtection="1">
      <alignment vertical="center"/>
      <protection locked="0"/>
    </xf>
    <xf numFmtId="166" fontId="6" fillId="2" borderId="5" xfId="0" applyNumberFormat="1" applyFont="1" applyFill="1" applyBorder="1" applyAlignment="1">
      <alignment vertical="center"/>
    </xf>
    <xf numFmtId="4" fontId="6" fillId="4" borderId="0" xfId="0" applyNumberFormat="1" applyFont="1" applyFill="1" applyAlignment="1" applyProtection="1">
      <alignment vertical="center"/>
      <protection locked="0"/>
    </xf>
    <xf numFmtId="3" fontId="6" fillId="4" borderId="2" xfId="0" applyNumberFormat="1" applyFont="1" applyFill="1" applyBorder="1" applyAlignment="1">
      <alignment vertical="center"/>
    </xf>
    <xf numFmtId="0" fontId="6" fillId="3" borderId="0" xfId="0" applyFont="1" applyFill="1" applyAlignment="1" applyProtection="1">
      <alignment horizontal="right" vertical="center"/>
      <protection locked="0"/>
    </xf>
    <xf numFmtId="0" fontId="6" fillId="12" borderId="2" xfId="0" applyFont="1" applyFill="1" applyBorder="1" applyAlignment="1" applyProtection="1">
      <alignment vertical="center"/>
      <protection locked="0"/>
    </xf>
    <xf numFmtId="0" fontId="6" fillId="12" borderId="2" xfId="0" applyFont="1" applyFill="1" applyBorder="1" applyAlignment="1">
      <alignment vertical="center"/>
    </xf>
    <xf numFmtId="0" fontId="6" fillId="12" borderId="2" xfId="0" applyFont="1" applyFill="1" applyBorder="1" applyAlignment="1">
      <alignment horizontal="center" vertical="center"/>
    </xf>
    <xf numFmtId="166" fontId="15" fillId="4" borderId="0" xfId="0" applyNumberFormat="1" applyFont="1" applyFill="1" applyAlignment="1">
      <alignment vertical="center"/>
    </xf>
    <xf numFmtId="10" fontId="15" fillId="4" borderId="0" xfId="0" applyNumberFormat="1" applyFont="1" applyFill="1" applyAlignment="1">
      <alignment vertical="center"/>
    </xf>
    <xf numFmtId="3" fontId="6" fillId="12" borderId="2" xfId="0" applyNumberFormat="1" applyFont="1" applyFill="1" applyBorder="1" applyAlignment="1">
      <alignment horizontal="center" vertical="center"/>
    </xf>
    <xf numFmtId="10" fontId="6" fillId="12" borderId="2" xfId="1" applyNumberFormat="1" applyFont="1" applyFill="1" applyBorder="1" applyAlignment="1" applyProtection="1">
      <alignment horizontal="center" vertical="center"/>
    </xf>
    <xf numFmtId="0" fontId="6" fillId="3" borderId="0" xfId="0" applyFont="1" applyFill="1" applyAlignment="1" applyProtection="1">
      <alignment horizontal="left" vertical="center"/>
      <protection locked="0"/>
    </xf>
    <xf numFmtId="0" fontId="6" fillId="12" borderId="2" xfId="0" applyFont="1" applyFill="1" applyBorder="1" applyAlignment="1" applyProtection="1">
      <alignment horizontal="center" vertical="center"/>
      <protection locked="0"/>
    </xf>
    <xf numFmtId="3" fontId="15" fillId="4" borderId="0" xfId="0" applyNumberFormat="1" applyFont="1" applyFill="1" applyAlignment="1">
      <alignment vertical="center"/>
    </xf>
    <xf numFmtId="0" fontId="6" fillId="13" borderId="2" xfId="0" applyFont="1" applyFill="1" applyBorder="1" applyAlignment="1" applyProtection="1">
      <alignment vertical="center"/>
      <protection locked="0"/>
    </xf>
    <xf numFmtId="0" fontId="6" fillId="3" borderId="0" xfId="0" applyFont="1" applyFill="1" applyAlignment="1">
      <alignment vertical="center"/>
    </xf>
    <xf numFmtId="0" fontId="2" fillId="11" borderId="7" xfId="0" applyFont="1" applyFill="1" applyBorder="1" applyAlignment="1">
      <alignment vertical="center"/>
    </xf>
    <xf numFmtId="0" fontId="15" fillId="2" borderId="3" xfId="0" applyFont="1" applyFill="1" applyBorder="1" applyAlignment="1">
      <alignment horizontal="center" vertical="center"/>
    </xf>
    <xf numFmtId="0" fontId="15" fillId="11" borderId="2" xfId="0" applyFont="1" applyFill="1" applyBorder="1" applyAlignment="1">
      <alignment vertical="center"/>
    </xf>
    <xf numFmtId="0" fontId="15" fillId="14" borderId="18" xfId="0" applyFont="1" applyFill="1" applyBorder="1" applyAlignment="1" applyProtection="1">
      <alignment vertical="center"/>
      <protection locked="0"/>
    </xf>
    <xf numFmtId="166" fontId="6" fillId="14" borderId="2" xfId="0" applyNumberFormat="1" applyFont="1" applyFill="1" applyBorder="1" applyAlignment="1">
      <alignment vertical="center"/>
    </xf>
    <xf numFmtId="0" fontId="6" fillId="4" borderId="0" xfId="0" applyFont="1" applyFill="1" applyAlignment="1">
      <alignment horizontal="center" vertical="center"/>
    </xf>
    <xf numFmtId="0" fontId="6" fillId="3" borderId="0" xfId="0" applyFont="1" applyFill="1" applyAlignment="1" applyProtection="1">
      <alignment vertical="center"/>
      <protection locked="0"/>
    </xf>
    <xf numFmtId="0" fontId="6" fillId="3" borderId="17" xfId="0" applyFont="1" applyFill="1" applyBorder="1" applyAlignment="1" applyProtection="1">
      <alignment vertical="center"/>
      <protection locked="0"/>
    </xf>
    <xf numFmtId="0" fontId="15" fillId="3" borderId="0" xfId="0" applyFont="1" applyFill="1" applyAlignment="1">
      <alignment vertical="center"/>
    </xf>
    <xf numFmtId="0" fontId="22" fillId="3" borderId="2" xfId="0" applyFont="1" applyFill="1" applyBorder="1" applyAlignment="1" applyProtection="1">
      <alignment vertical="center"/>
      <protection locked="0"/>
    </xf>
    <xf numFmtId="10" fontId="6" fillId="2" borderId="2" xfId="0" applyNumberFormat="1" applyFont="1" applyFill="1" applyBorder="1" applyAlignment="1" applyProtection="1">
      <alignment vertical="center"/>
      <protection locked="0"/>
    </xf>
    <xf numFmtId="10" fontId="6" fillId="2" borderId="5" xfId="0" applyNumberFormat="1" applyFont="1" applyFill="1" applyBorder="1" applyAlignment="1" applyProtection="1">
      <alignment vertical="center"/>
      <protection locked="0"/>
    </xf>
    <xf numFmtId="10" fontId="5" fillId="3" borderId="1" xfId="1" applyNumberFormat="1" applyFont="1" applyFill="1" applyBorder="1" applyAlignment="1">
      <alignment vertical="center"/>
    </xf>
    <xf numFmtId="14" fontId="0" fillId="0" borderId="0" xfId="0" applyNumberFormat="1"/>
    <xf numFmtId="9" fontId="15" fillId="2" borderId="2" xfId="1" applyFont="1" applyFill="1" applyBorder="1" applyAlignment="1" applyProtection="1">
      <alignment vertical="center"/>
    </xf>
    <xf numFmtId="0" fontId="23" fillId="4" borderId="0" xfId="0" applyFont="1" applyFill="1" applyAlignment="1">
      <alignment vertical="center"/>
    </xf>
    <xf numFmtId="0" fontId="24" fillId="4" borderId="0" xfId="0" applyFont="1" applyFill="1" applyAlignment="1">
      <alignment vertical="center"/>
    </xf>
    <xf numFmtId="3" fontId="6" fillId="4" borderId="0" xfId="0" applyNumberFormat="1" applyFont="1" applyFill="1" applyAlignment="1">
      <alignment vertical="center"/>
    </xf>
    <xf numFmtId="0" fontId="25" fillId="4" borderId="46" xfId="0" applyFont="1" applyFill="1" applyBorder="1" applyAlignment="1">
      <alignment vertical="center"/>
    </xf>
    <xf numFmtId="0" fontId="6" fillId="4" borderId="4" xfId="0" applyFont="1" applyFill="1" applyBorder="1" applyAlignment="1">
      <alignment vertical="center"/>
    </xf>
    <xf numFmtId="0" fontId="6" fillId="4" borderId="47" xfId="0" applyFont="1" applyFill="1" applyBorder="1" applyAlignment="1">
      <alignment vertical="center"/>
    </xf>
    <xf numFmtId="3" fontId="15" fillId="4" borderId="10" xfId="0" applyNumberFormat="1" applyFont="1" applyFill="1" applyBorder="1" applyAlignment="1">
      <alignment vertical="center"/>
    </xf>
    <xf numFmtId="0" fontId="6" fillId="4" borderId="48" xfId="0" applyFont="1" applyFill="1" applyBorder="1" applyAlignment="1">
      <alignment vertical="center"/>
    </xf>
    <xf numFmtId="3" fontId="15" fillId="4" borderId="11" xfId="0" applyNumberFormat="1" applyFont="1" applyFill="1" applyBorder="1" applyAlignment="1">
      <alignment vertical="center"/>
    </xf>
    <xf numFmtId="3" fontId="6" fillId="4" borderId="6" xfId="0" applyNumberFormat="1" applyFont="1" applyFill="1" applyBorder="1" applyAlignment="1">
      <alignment vertical="center"/>
    </xf>
    <xf numFmtId="0" fontId="15" fillId="4" borderId="6" xfId="0" applyFont="1" applyFill="1" applyBorder="1" applyAlignment="1">
      <alignment vertical="center"/>
    </xf>
    <xf numFmtId="0" fontId="6" fillId="4" borderId="49" xfId="0" applyFont="1" applyFill="1" applyBorder="1" applyAlignment="1">
      <alignment vertical="center"/>
    </xf>
    <xf numFmtId="0" fontId="6" fillId="4" borderId="46" xfId="0" applyFont="1" applyFill="1" applyBorder="1" applyAlignment="1">
      <alignment vertical="center"/>
    </xf>
    <xf numFmtId="3" fontId="6" fillId="4" borderId="10" xfId="0" applyNumberFormat="1" applyFont="1" applyFill="1" applyBorder="1" applyAlignment="1">
      <alignment vertical="center"/>
    </xf>
    <xf numFmtId="3" fontId="6" fillId="4" borderId="11" xfId="0" applyNumberFormat="1" applyFont="1" applyFill="1" applyBorder="1" applyAlignment="1">
      <alignment vertical="center"/>
    </xf>
    <xf numFmtId="0" fontId="15" fillId="4" borderId="46" xfId="0" applyFont="1" applyFill="1" applyBorder="1" applyAlignment="1">
      <alignment vertical="center"/>
    </xf>
    <xf numFmtId="0" fontId="15" fillId="4" borderId="4" xfId="0" applyFont="1" applyFill="1" applyBorder="1" applyAlignment="1">
      <alignment vertical="center"/>
    </xf>
    <xf numFmtId="3" fontId="6" fillId="4" borderId="47" xfId="0" applyNumberFormat="1" applyFont="1" applyFill="1" applyBorder="1" applyAlignment="1">
      <alignment vertical="center"/>
    </xf>
    <xf numFmtId="3" fontId="6" fillId="4" borderId="48" xfId="0" applyNumberFormat="1" applyFont="1" applyFill="1" applyBorder="1" applyAlignment="1">
      <alignment vertical="center"/>
    </xf>
    <xf numFmtId="3" fontId="15" fillId="4" borderId="6" xfId="0" applyNumberFormat="1" applyFont="1" applyFill="1" applyBorder="1" applyAlignment="1">
      <alignment vertical="center"/>
    </xf>
    <xf numFmtId="0" fontId="2" fillId="11" borderId="13" xfId="0" applyFont="1" applyFill="1" applyBorder="1" applyAlignment="1">
      <alignment vertical="center"/>
    </xf>
    <xf numFmtId="0" fontId="2" fillId="11" borderId="14" xfId="0" applyFont="1" applyFill="1" applyBorder="1" applyAlignment="1">
      <alignment horizontal="center" vertical="center"/>
    </xf>
    <xf numFmtId="0" fontId="2" fillId="11" borderId="15" xfId="0" applyFont="1" applyFill="1" applyBorder="1" applyAlignment="1">
      <alignment horizontal="center" vertical="center"/>
    </xf>
    <xf numFmtId="0" fontId="6" fillId="2" borderId="38" xfId="0" applyFont="1" applyFill="1" applyBorder="1" applyAlignment="1">
      <alignment vertical="center"/>
    </xf>
    <xf numFmtId="0" fontId="6" fillId="3" borderId="39" xfId="0" applyFont="1" applyFill="1" applyBorder="1" applyAlignment="1" applyProtection="1">
      <alignment vertical="center"/>
      <protection locked="0"/>
    </xf>
    <xf numFmtId="0" fontId="6" fillId="2" borderId="14" xfId="0" applyFont="1" applyFill="1" applyBorder="1" applyAlignment="1">
      <alignment vertical="center"/>
    </xf>
    <xf numFmtId="0" fontId="6" fillId="2" borderId="15" xfId="0" applyFont="1" applyFill="1" applyBorder="1" applyAlignment="1">
      <alignment vertical="center"/>
    </xf>
    <xf numFmtId="166" fontId="6" fillId="14" borderId="5" xfId="0" applyNumberFormat="1" applyFont="1" applyFill="1" applyBorder="1" applyAlignment="1">
      <alignment vertical="center"/>
    </xf>
    <xf numFmtId="0" fontId="6" fillId="2" borderId="50" xfId="0" applyFont="1" applyFill="1" applyBorder="1" applyAlignment="1">
      <alignment vertical="center"/>
    </xf>
    <xf numFmtId="3" fontId="6" fillId="4" borderId="0" xfId="0" applyNumberFormat="1" applyFont="1" applyFill="1" applyAlignment="1" applyProtection="1">
      <alignment vertical="center"/>
      <protection locked="0"/>
    </xf>
    <xf numFmtId="10" fontId="6" fillId="3" borderId="2" xfId="0" applyNumberFormat="1" applyFont="1" applyFill="1" applyBorder="1" applyAlignment="1">
      <alignment vertical="center"/>
    </xf>
    <xf numFmtId="0" fontId="6" fillId="4" borderId="4" xfId="0" applyFont="1" applyFill="1" applyBorder="1" applyAlignment="1" applyProtection="1">
      <alignment vertical="center"/>
      <protection locked="0"/>
    </xf>
    <xf numFmtId="0" fontId="6" fillId="4" borderId="47" xfId="0" applyFont="1" applyFill="1" applyBorder="1" applyAlignment="1" applyProtection="1">
      <alignment vertical="center"/>
      <protection locked="0"/>
    </xf>
    <xf numFmtId="0" fontId="15" fillId="4" borderId="0" xfId="0" applyFont="1" applyFill="1" applyAlignment="1" applyProtection="1">
      <alignment vertical="center"/>
      <protection locked="0"/>
    </xf>
    <xf numFmtId="0" fontId="6" fillId="4" borderId="48" xfId="0" applyFont="1" applyFill="1" applyBorder="1" applyAlignment="1" applyProtection="1">
      <alignment vertical="center"/>
      <protection locked="0"/>
    </xf>
    <xf numFmtId="0" fontId="15" fillId="4" borderId="6" xfId="0" applyFont="1" applyFill="1" applyBorder="1" applyAlignment="1" applyProtection="1">
      <alignment vertical="center"/>
      <protection locked="0"/>
    </xf>
    <xf numFmtId="0" fontId="6" fillId="4" borderId="49" xfId="0" applyFont="1" applyFill="1" applyBorder="1" applyAlignment="1" applyProtection="1">
      <alignment vertical="center"/>
      <protection locked="0"/>
    </xf>
    <xf numFmtId="0" fontId="6" fillId="4" borderId="2" xfId="0" applyFont="1" applyFill="1" applyBorder="1" applyAlignment="1" applyProtection="1">
      <alignment vertical="center"/>
      <protection locked="0"/>
    </xf>
    <xf numFmtId="0" fontId="6" fillId="3" borderId="8" xfId="0" applyFont="1" applyFill="1" applyBorder="1" applyAlignment="1" applyProtection="1">
      <alignment vertical="center"/>
      <protection locked="0"/>
    </xf>
    <xf numFmtId="3" fontId="6" fillId="3" borderId="7" xfId="0" applyNumberFormat="1" applyFont="1" applyFill="1" applyBorder="1" applyAlignment="1" applyProtection="1">
      <alignment horizontal="right" vertical="center"/>
      <protection locked="0"/>
    </xf>
    <xf numFmtId="3" fontId="2" fillId="11" borderId="3" xfId="0" applyNumberFormat="1" applyFont="1" applyFill="1" applyBorder="1" applyAlignment="1">
      <alignment vertical="center"/>
    </xf>
    <xf numFmtId="0" fontId="6" fillId="16" borderId="2" xfId="0" applyFont="1" applyFill="1" applyBorder="1" applyAlignment="1" applyProtection="1">
      <alignment vertical="center"/>
      <protection locked="0"/>
    </xf>
    <xf numFmtId="0" fontId="0" fillId="4" borderId="2" xfId="0" applyFill="1" applyBorder="1" applyAlignment="1">
      <alignment vertical="center"/>
    </xf>
    <xf numFmtId="0" fontId="5" fillId="4" borderId="2" xfId="0" applyFont="1" applyFill="1" applyBorder="1" applyAlignment="1">
      <alignment vertical="center"/>
    </xf>
    <xf numFmtId="0" fontId="5" fillId="3" borderId="2" xfId="0" applyFont="1" applyFill="1" applyBorder="1" applyAlignment="1">
      <alignment vertical="center"/>
    </xf>
    <xf numFmtId="0" fontId="0" fillId="3" borderId="2" xfId="0" applyFill="1" applyBorder="1" applyAlignment="1">
      <alignment vertical="center"/>
    </xf>
    <xf numFmtId="2" fontId="0" fillId="0" borderId="2" xfId="0" applyNumberFormat="1" applyBorder="1" applyAlignment="1">
      <alignment vertical="center"/>
    </xf>
    <xf numFmtId="0" fontId="26" fillId="13" borderId="2" xfId="0" applyFont="1" applyFill="1" applyBorder="1" applyAlignment="1" applyProtection="1">
      <alignment vertical="center"/>
      <protection locked="0"/>
    </xf>
    <xf numFmtId="0" fontId="15" fillId="17" borderId="2" xfId="0" applyFont="1" applyFill="1" applyBorder="1" applyAlignment="1" applyProtection="1">
      <alignment vertical="center"/>
      <protection locked="0"/>
    </xf>
    <xf numFmtId="43" fontId="6" fillId="16" borderId="2" xfId="2" applyFont="1" applyFill="1" applyBorder="1" applyAlignment="1" applyProtection="1">
      <alignment vertical="center"/>
      <protection locked="0"/>
    </xf>
    <xf numFmtId="43" fontId="6" fillId="16" borderId="3" xfId="2" applyFont="1" applyFill="1" applyBorder="1" applyAlignment="1" applyProtection="1">
      <alignment vertical="center"/>
      <protection locked="0"/>
    </xf>
    <xf numFmtId="3" fontId="6" fillId="16" borderId="2" xfId="0" applyNumberFormat="1" applyFont="1" applyFill="1" applyBorder="1" applyAlignment="1">
      <alignment vertical="center"/>
    </xf>
    <xf numFmtId="0" fontId="17" fillId="0" borderId="0" xfId="0" applyFont="1"/>
    <xf numFmtId="0" fontId="28" fillId="0" borderId="29" xfId="0" applyFont="1" applyBorder="1" applyAlignment="1">
      <alignment vertical="center" wrapText="1"/>
    </xf>
    <xf numFmtId="10" fontId="28" fillId="0" borderId="29" xfId="0" applyNumberFormat="1" applyFont="1" applyBorder="1" applyAlignment="1">
      <alignment vertical="center" wrapText="1"/>
    </xf>
    <xf numFmtId="0" fontId="27" fillId="18" borderId="0" xfId="0" applyFont="1" applyFill="1"/>
    <xf numFmtId="1" fontId="15" fillId="4" borderId="0" xfId="0" applyNumberFormat="1" applyFont="1" applyFill="1" applyAlignment="1">
      <alignment vertical="center"/>
    </xf>
    <xf numFmtId="0" fontId="29" fillId="4" borderId="0" xfId="0" applyFont="1" applyFill="1" applyAlignment="1" applyProtection="1">
      <alignment vertical="center"/>
      <protection locked="0"/>
    </xf>
    <xf numFmtId="0" fontId="30" fillId="4" borderId="0" xfId="0" applyFont="1" applyFill="1" applyAlignment="1">
      <alignment vertical="center"/>
    </xf>
    <xf numFmtId="3" fontId="5" fillId="4" borderId="0" xfId="0" applyNumberFormat="1" applyFont="1" applyFill="1" applyAlignment="1">
      <alignment vertical="center"/>
    </xf>
    <xf numFmtId="14" fontId="15" fillId="4" borderId="0" xfId="0" applyNumberFormat="1" applyFont="1" applyFill="1" applyAlignment="1">
      <alignment vertical="center"/>
    </xf>
    <xf numFmtId="0" fontId="31" fillId="4" borderId="0" xfId="0" applyFont="1" applyFill="1" applyAlignment="1">
      <alignment vertical="center"/>
    </xf>
    <xf numFmtId="0" fontId="33" fillId="20" borderId="13" xfId="0" applyFont="1" applyFill="1" applyBorder="1" applyAlignment="1">
      <alignment vertical="center"/>
    </xf>
    <xf numFmtId="0" fontId="0" fillId="2" borderId="2" xfId="0" applyFill="1" applyBorder="1" applyAlignment="1" applyProtection="1">
      <alignment vertical="center"/>
      <protection locked="0"/>
    </xf>
    <xf numFmtId="0" fontId="0" fillId="20" borderId="2" xfId="0" applyFill="1" applyBorder="1" applyAlignment="1">
      <alignment vertical="center"/>
    </xf>
    <xf numFmtId="0" fontId="17" fillId="11" borderId="18" xfId="0" applyFont="1" applyFill="1" applyBorder="1" applyAlignment="1">
      <alignment vertical="center"/>
    </xf>
    <xf numFmtId="0" fontId="17" fillId="11" borderId="9" xfId="0" applyFont="1" applyFill="1" applyBorder="1" applyAlignment="1">
      <alignment horizontal="center" vertical="center"/>
    </xf>
    <xf numFmtId="0" fontId="17" fillId="11" borderId="4" xfId="0" applyFont="1" applyFill="1" applyBorder="1" applyAlignment="1">
      <alignment horizontal="center" vertical="center"/>
    </xf>
    <xf numFmtId="0" fontId="17" fillId="11" borderId="20" xfId="0" applyFont="1" applyFill="1" applyBorder="1" applyAlignment="1">
      <alignment horizontal="center" vertical="center"/>
    </xf>
    <xf numFmtId="0" fontId="17" fillId="20" borderId="9" xfId="0" applyFont="1" applyFill="1" applyBorder="1" applyAlignment="1">
      <alignment horizontal="left" vertical="center"/>
    </xf>
    <xf numFmtId="0" fontId="0" fillId="20" borderId="3" xfId="0" applyFill="1" applyBorder="1" applyAlignment="1">
      <alignment horizontal="left" vertical="center"/>
    </xf>
    <xf numFmtId="0" fontId="0" fillId="20" borderId="11" xfId="0" applyFill="1" applyBorder="1" applyAlignment="1">
      <alignment horizontal="left" vertical="center"/>
    </xf>
    <xf numFmtId="3" fontId="0" fillId="20" borderId="11" xfId="0" applyNumberFormat="1" applyFill="1" applyBorder="1" applyAlignment="1">
      <alignment vertical="center"/>
    </xf>
    <xf numFmtId="3" fontId="0" fillId="20" borderId="3" xfId="0" applyNumberFormat="1" applyFill="1" applyBorder="1" applyAlignment="1">
      <alignment vertical="center"/>
    </xf>
    <xf numFmtId="3" fontId="0" fillId="20" borderId="2" xfId="0" applyNumberFormat="1" applyFill="1" applyBorder="1" applyAlignment="1">
      <alignment vertical="center"/>
    </xf>
    <xf numFmtId="0" fontId="0" fillId="20" borderId="10" xfId="0" applyFill="1" applyBorder="1" applyAlignment="1">
      <alignment vertical="center"/>
    </xf>
    <xf numFmtId="0" fontId="0" fillId="20" borderId="17" xfId="0" applyFill="1" applyBorder="1" applyAlignment="1">
      <alignment vertical="center"/>
    </xf>
    <xf numFmtId="0" fontId="36" fillId="4" borderId="0" xfId="0" applyFont="1" applyFill="1" applyAlignment="1" applyProtection="1">
      <alignment vertical="center"/>
      <protection locked="0"/>
    </xf>
    <xf numFmtId="9" fontId="5" fillId="20" borderId="2" xfId="1" applyFont="1" applyFill="1" applyBorder="1" applyAlignment="1" applyProtection="1">
      <alignment vertical="center"/>
    </xf>
    <xf numFmtId="1" fontId="0" fillId="20" borderId="2" xfId="0" applyNumberFormat="1" applyFill="1" applyBorder="1" applyAlignment="1">
      <alignment vertical="center"/>
    </xf>
    <xf numFmtId="3" fontId="0" fillId="20" borderId="5" xfId="0" applyNumberFormat="1" applyFill="1" applyBorder="1" applyAlignment="1">
      <alignment vertical="center"/>
    </xf>
    <xf numFmtId="3" fontId="5" fillId="20" borderId="11" xfId="0" applyNumberFormat="1" applyFont="1" applyFill="1" applyBorder="1" applyAlignment="1">
      <alignment vertical="center"/>
    </xf>
    <xf numFmtId="3" fontId="5" fillId="20" borderId="3" xfId="0" applyNumberFormat="1" applyFont="1" applyFill="1" applyBorder="1" applyAlignment="1">
      <alignment vertical="center"/>
    </xf>
    <xf numFmtId="0" fontId="17" fillId="11" borderId="25" xfId="0" applyFont="1" applyFill="1" applyBorder="1" applyAlignment="1">
      <alignment vertical="center"/>
    </xf>
    <xf numFmtId="3" fontId="0" fillId="3" borderId="2" xfId="0" applyNumberFormat="1" applyFill="1" applyBorder="1" applyAlignment="1" applyProtection="1">
      <alignment vertical="center"/>
      <protection locked="0"/>
    </xf>
    <xf numFmtId="3" fontId="0" fillId="2" borderId="3" xfId="0" applyNumberFormat="1" applyFill="1" applyBorder="1" applyAlignment="1">
      <alignment vertical="center"/>
    </xf>
    <xf numFmtId="3" fontId="0" fillId="3" borderId="7" xfId="0" applyNumberFormat="1" applyFill="1" applyBorder="1" applyAlignment="1" applyProtection="1">
      <alignment vertical="center"/>
      <protection locked="0"/>
    </xf>
    <xf numFmtId="3" fontId="0" fillId="3" borderId="1" xfId="0" applyNumberFormat="1" applyFill="1" applyBorder="1" applyAlignment="1" applyProtection="1">
      <alignment vertical="center"/>
      <protection locked="0"/>
    </xf>
    <xf numFmtId="0" fontId="0" fillId="20" borderId="21" xfId="0" applyFill="1" applyBorder="1" applyAlignment="1">
      <alignment horizontal="center" vertical="center"/>
    </xf>
    <xf numFmtId="0" fontId="0" fillId="20" borderId="6" xfId="0" applyFill="1" applyBorder="1" applyAlignment="1">
      <alignment horizontal="center" vertical="center"/>
    </xf>
    <xf numFmtId="0" fontId="17" fillId="20" borderId="18" xfId="0" applyFont="1" applyFill="1" applyBorder="1" applyAlignment="1">
      <alignment vertical="center"/>
    </xf>
    <xf numFmtId="3" fontId="17" fillId="20" borderId="2" xfId="0" applyNumberFormat="1" applyFont="1" applyFill="1" applyBorder="1" applyAlignment="1">
      <alignment vertical="center"/>
    </xf>
    <xf numFmtId="0" fontId="0" fillId="20" borderId="2" xfId="0" applyFill="1" applyBorder="1" applyAlignment="1" applyProtection="1">
      <alignment vertical="center"/>
      <protection locked="0"/>
    </xf>
    <xf numFmtId="3" fontId="0" fillId="2" borderId="2" xfId="0" applyNumberFormat="1" applyFill="1" applyBorder="1" applyAlignment="1" applyProtection="1">
      <alignment vertical="center"/>
      <protection locked="0"/>
    </xf>
    <xf numFmtId="0" fontId="0" fillId="20" borderId="0" xfId="0" applyFill="1" applyAlignment="1">
      <alignment vertical="center"/>
    </xf>
    <xf numFmtId="0" fontId="17" fillId="20" borderId="0" xfId="0" applyFont="1" applyFill="1" applyAlignment="1">
      <alignment horizontal="center" vertical="center"/>
    </xf>
    <xf numFmtId="9" fontId="0" fillId="20" borderId="12" xfId="1" applyFont="1" applyFill="1" applyBorder="1" applyAlignment="1">
      <alignment vertical="center"/>
    </xf>
    <xf numFmtId="0" fontId="0" fillId="3" borderId="2" xfId="0" applyFill="1" applyBorder="1" applyAlignment="1" applyProtection="1">
      <alignment vertical="center"/>
      <protection locked="0"/>
    </xf>
    <xf numFmtId="0" fontId="0" fillId="20" borderId="3" xfId="0" applyFill="1" applyBorder="1" applyAlignment="1">
      <alignment vertical="center"/>
    </xf>
    <xf numFmtId="0" fontId="0" fillId="20" borderId="23" xfId="0" applyFill="1" applyBorder="1" applyAlignment="1">
      <alignment vertical="center"/>
    </xf>
    <xf numFmtId="0" fontId="32" fillId="20" borderId="30" xfId="0" applyFont="1" applyFill="1" applyBorder="1" applyAlignment="1">
      <alignment horizontal="left" vertical="center"/>
    </xf>
    <xf numFmtId="0" fontId="39" fillId="20" borderId="30" xfId="0" applyFont="1" applyFill="1" applyBorder="1" applyAlignment="1">
      <alignment horizontal="center" vertical="center"/>
    </xf>
    <xf numFmtId="0" fontId="39" fillId="20" borderId="31" xfId="0" applyFont="1" applyFill="1" applyBorder="1" applyAlignment="1">
      <alignment horizontal="center" vertical="center"/>
    </xf>
    <xf numFmtId="0" fontId="17" fillId="11" borderId="13" xfId="0" applyFont="1" applyFill="1" applyBorder="1" applyAlignment="1">
      <alignment vertical="center"/>
    </xf>
    <xf numFmtId="0" fontId="17" fillId="11" borderId="14" xfId="0" applyFont="1" applyFill="1" applyBorder="1" applyAlignment="1">
      <alignment horizontal="center" vertical="center"/>
    </xf>
    <xf numFmtId="166" fontId="0" fillId="20" borderId="2" xfId="0" applyNumberFormat="1" applyFill="1" applyBorder="1" applyAlignment="1">
      <alignment vertical="center"/>
    </xf>
    <xf numFmtId="10" fontId="0" fillId="20" borderId="2" xfId="0" applyNumberFormat="1" applyFill="1" applyBorder="1" applyAlignment="1">
      <alignment vertical="center"/>
    </xf>
    <xf numFmtId="164" fontId="0" fillId="20" borderId="2" xfId="0" applyNumberFormat="1" applyFill="1" applyBorder="1" applyAlignment="1">
      <alignment vertical="center"/>
    </xf>
    <xf numFmtId="0" fontId="0" fillId="2" borderId="6" xfId="0" applyFill="1" applyBorder="1" applyAlignment="1">
      <alignment vertical="center"/>
    </xf>
    <xf numFmtId="3" fontId="0" fillId="20" borderId="12" xfId="0" applyNumberFormat="1" applyFill="1" applyBorder="1" applyAlignment="1">
      <alignment vertical="center"/>
    </xf>
    <xf numFmtId="0" fontId="0" fillId="2" borderId="16" xfId="0" applyFill="1" applyBorder="1" applyAlignment="1">
      <alignment vertical="center"/>
    </xf>
    <xf numFmtId="0" fontId="0" fillId="12" borderId="2" xfId="0" applyFill="1" applyBorder="1" applyAlignment="1">
      <alignment vertical="center"/>
    </xf>
    <xf numFmtId="0" fontId="0" fillId="20" borderId="14" xfId="0" applyFill="1" applyBorder="1" applyAlignment="1" applyProtection="1">
      <alignment vertical="center"/>
      <protection locked="0"/>
    </xf>
    <xf numFmtId="0" fontId="0" fillId="20" borderId="15" xfId="0" applyFill="1" applyBorder="1" applyAlignment="1" applyProtection="1">
      <alignment vertical="center"/>
      <protection locked="0"/>
    </xf>
    <xf numFmtId="0" fontId="0" fillId="2" borderId="2" xfId="0" applyFill="1" applyBorder="1" applyAlignment="1">
      <alignment vertical="center"/>
    </xf>
    <xf numFmtId="0" fontId="0" fillId="2" borderId="2" xfId="0" applyFill="1" applyBorder="1" applyAlignment="1">
      <alignment horizontal="center" vertical="center"/>
    </xf>
    <xf numFmtId="3" fontId="0" fillId="2" borderId="2" xfId="0" applyNumberFormat="1" applyFill="1" applyBorder="1" applyAlignment="1">
      <alignment horizontal="center" vertical="center"/>
    </xf>
    <xf numFmtId="10" fontId="0" fillId="2" borderId="2" xfId="1" applyNumberFormat="1" applyFont="1" applyFill="1" applyBorder="1" applyAlignment="1" applyProtection="1">
      <alignment horizontal="center" vertical="center"/>
    </xf>
    <xf numFmtId="164" fontId="0" fillId="2" borderId="2" xfId="1" applyNumberFormat="1" applyFont="1" applyFill="1" applyBorder="1" applyAlignment="1" applyProtection="1">
      <alignment horizontal="center" vertical="center"/>
    </xf>
    <xf numFmtId="0" fontId="40" fillId="7" borderId="0" xfId="0" applyFont="1" applyFill="1" applyAlignment="1">
      <alignment vertical="center"/>
    </xf>
    <xf numFmtId="0" fontId="40" fillId="7" borderId="0" xfId="0" applyFont="1" applyFill="1" applyAlignment="1">
      <alignment horizontal="center" vertical="center"/>
    </xf>
    <xf numFmtId="3" fontId="41" fillId="0" borderId="32" xfId="0" applyNumberFormat="1" applyFont="1" applyBorder="1" applyAlignment="1">
      <alignment vertical="center"/>
    </xf>
    <xf numFmtId="0" fontId="42" fillId="0" borderId="0" xfId="0" applyFont="1" applyAlignment="1">
      <alignment vertical="center"/>
    </xf>
    <xf numFmtId="0" fontId="40" fillId="5" borderId="0" xfId="0" applyFont="1" applyFill="1" applyAlignment="1">
      <alignment vertical="center"/>
    </xf>
    <xf numFmtId="0" fontId="40" fillId="5" borderId="0" xfId="0" applyFont="1" applyFill="1" applyAlignment="1">
      <alignment horizontal="center" vertical="center"/>
    </xf>
    <xf numFmtId="0" fontId="42" fillId="0" borderId="27" xfId="0" applyFont="1" applyBorder="1" applyAlignment="1">
      <alignment vertical="center"/>
    </xf>
    <xf numFmtId="9" fontId="42" fillId="0" borderId="27" xfId="0" applyNumberFormat="1" applyFont="1" applyBorder="1" applyAlignment="1">
      <alignment vertical="center"/>
    </xf>
    <xf numFmtId="4" fontId="42" fillId="0" borderId="27" xfId="0" applyNumberFormat="1" applyFont="1" applyBorder="1" applyAlignment="1">
      <alignment vertical="center"/>
    </xf>
    <xf numFmtId="10" fontId="42" fillId="0" borderId="27" xfId="0" applyNumberFormat="1" applyFont="1" applyBorder="1" applyAlignment="1">
      <alignment vertical="center"/>
    </xf>
    <xf numFmtId="0" fontId="43" fillId="6" borderId="0" xfId="0" applyFont="1" applyFill="1" applyAlignment="1">
      <alignment vertical="center"/>
    </xf>
    <xf numFmtId="10" fontId="43" fillId="6" borderId="0" xfId="0" applyNumberFormat="1" applyFont="1" applyFill="1" applyAlignment="1">
      <alignment vertical="center"/>
    </xf>
    <xf numFmtId="4" fontId="43" fillId="6" borderId="0" xfId="0" applyNumberFormat="1" applyFont="1" applyFill="1" applyAlignment="1">
      <alignment vertical="center"/>
    </xf>
    <xf numFmtId="10" fontId="42" fillId="0" borderId="0" xfId="1" applyNumberFormat="1" applyFont="1" applyAlignment="1">
      <alignment vertical="center"/>
    </xf>
    <xf numFmtId="4" fontId="40" fillId="5" borderId="0" xfId="0" applyNumberFormat="1" applyFont="1" applyFill="1" applyAlignment="1">
      <alignment vertical="center"/>
    </xf>
    <xf numFmtId="4" fontId="42" fillId="0" borderId="27" xfId="0" applyNumberFormat="1" applyFont="1" applyBorder="1" applyAlignment="1">
      <alignment horizontal="center" vertical="center"/>
    </xf>
    <xf numFmtId="0" fontId="43" fillId="8" borderId="0" xfId="0" applyFont="1" applyFill="1" applyAlignment="1">
      <alignment vertical="center"/>
    </xf>
    <xf numFmtId="10" fontId="43" fillId="8" borderId="0" xfId="0" applyNumberFormat="1" applyFont="1" applyFill="1" applyAlignment="1">
      <alignment vertical="center"/>
    </xf>
    <xf numFmtId="4" fontId="43" fillId="8" borderId="0" xfId="0" applyNumberFormat="1" applyFont="1" applyFill="1" applyAlignment="1">
      <alignment vertical="center"/>
    </xf>
    <xf numFmtId="3" fontId="41" fillId="0" borderId="28" xfId="0" applyNumberFormat="1" applyFont="1" applyBorder="1" applyAlignment="1">
      <alignment vertical="center"/>
    </xf>
    <xf numFmtId="4" fontId="0" fillId="4" borderId="0" xfId="0" applyNumberFormat="1" applyFill="1" applyAlignment="1" applyProtection="1">
      <alignment vertical="center"/>
      <protection locked="0"/>
    </xf>
    <xf numFmtId="0" fontId="17" fillId="20" borderId="33" xfId="0" applyFont="1" applyFill="1" applyBorder="1" applyAlignment="1">
      <alignment vertical="center"/>
    </xf>
    <xf numFmtId="0" fontId="17" fillId="20" borderId="21" xfId="0" applyFont="1" applyFill="1" applyBorder="1" applyAlignment="1">
      <alignment vertical="center"/>
    </xf>
    <xf numFmtId="0" fontId="17" fillId="20" borderId="2" xfId="0" applyFont="1" applyFill="1" applyBorder="1" applyAlignment="1">
      <alignment vertical="center"/>
    </xf>
    <xf numFmtId="0" fontId="17" fillId="20" borderId="8" xfId="0" applyFont="1" applyFill="1" applyBorder="1" applyAlignment="1">
      <alignment vertical="center"/>
    </xf>
    <xf numFmtId="0" fontId="17" fillId="20" borderId="18" xfId="0" applyFont="1" applyFill="1" applyBorder="1" applyAlignment="1">
      <alignment horizontal="left" vertical="center"/>
    </xf>
    <xf numFmtId="0" fontId="38" fillId="20" borderId="18" xfId="0" applyFont="1" applyFill="1" applyBorder="1" applyAlignment="1">
      <alignment vertical="center"/>
    </xf>
    <xf numFmtId="0" fontId="38" fillId="11" borderId="2" xfId="0" applyFont="1" applyFill="1" applyBorder="1" applyAlignment="1">
      <alignment horizontal="center" vertical="center"/>
    </xf>
    <xf numFmtId="0" fontId="17" fillId="20" borderId="9" xfId="0" applyFont="1" applyFill="1" applyBorder="1" applyAlignment="1">
      <alignment vertical="center"/>
    </xf>
    <xf numFmtId="0" fontId="17" fillId="20" borderId="3" xfId="0" applyFont="1" applyFill="1" applyBorder="1" applyAlignment="1">
      <alignment vertical="center"/>
    </xf>
    <xf numFmtId="0" fontId="38" fillId="11" borderId="2" xfId="0" applyFont="1" applyFill="1" applyBorder="1" applyAlignment="1">
      <alignment vertical="center"/>
    </xf>
    <xf numFmtId="0" fontId="38" fillId="20" borderId="18" xfId="0" applyFont="1" applyFill="1" applyBorder="1" applyAlignment="1" applyProtection="1">
      <alignment vertical="center"/>
      <protection locked="0"/>
    </xf>
    <xf numFmtId="165" fontId="5" fillId="4" borderId="0" xfId="0" applyNumberFormat="1" applyFont="1" applyFill="1" applyAlignment="1">
      <alignment vertical="center"/>
    </xf>
    <xf numFmtId="10" fontId="0" fillId="4" borderId="0" xfId="0" applyNumberFormat="1" applyFill="1" applyAlignment="1">
      <alignment vertical="center"/>
    </xf>
    <xf numFmtId="0" fontId="17" fillId="11" borderId="17" xfId="0" applyFont="1" applyFill="1" applyBorder="1" applyAlignment="1">
      <alignment horizontal="center" vertical="center"/>
    </xf>
    <xf numFmtId="3" fontId="0" fillId="3" borderId="45" xfId="0" applyNumberFormat="1" applyFill="1" applyBorder="1" applyAlignment="1" applyProtection="1">
      <alignment vertical="center"/>
      <protection locked="0"/>
    </xf>
    <xf numFmtId="0" fontId="5" fillId="4" borderId="13" xfId="0" applyFont="1" applyFill="1" applyBorder="1" applyAlignment="1">
      <alignment vertical="center"/>
    </xf>
    <xf numFmtId="0" fontId="5" fillId="4" borderId="14" xfId="0" applyFont="1" applyFill="1" applyBorder="1" applyAlignment="1">
      <alignment vertical="center"/>
    </xf>
    <xf numFmtId="0" fontId="0" fillId="4" borderId="15" xfId="0" applyFill="1" applyBorder="1" applyAlignment="1">
      <alignment vertical="center"/>
    </xf>
    <xf numFmtId="0" fontId="0" fillId="2" borderId="21" xfId="0" applyFill="1" applyBorder="1" applyAlignment="1">
      <alignment vertical="center"/>
    </xf>
    <xf numFmtId="0" fontId="5" fillId="4" borderId="16" xfId="0" applyFont="1" applyFill="1" applyBorder="1" applyAlignment="1">
      <alignment vertical="center"/>
    </xf>
    <xf numFmtId="9" fontId="0" fillId="4" borderId="17" xfId="0" applyNumberFormat="1" applyFill="1" applyBorder="1" applyAlignment="1">
      <alignment vertical="center"/>
    </xf>
    <xf numFmtId="3" fontId="5" fillId="2" borderId="3" xfId="0" applyNumberFormat="1" applyFont="1" applyFill="1" applyBorder="1" applyAlignment="1">
      <alignment vertical="center"/>
    </xf>
    <xf numFmtId="0" fontId="5" fillId="4" borderId="23" xfId="0" applyFont="1" applyFill="1" applyBorder="1" applyAlignment="1">
      <alignment vertical="center"/>
    </xf>
    <xf numFmtId="9" fontId="5" fillId="4" borderId="30" xfId="0" applyNumberFormat="1" applyFont="1" applyFill="1" applyBorder="1" applyAlignment="1">
      <alignment vertical="center"/>
    </xf>
    <xf numFmtId="9" fontId="0" fillId="4" borderId="31" xfId="0" applyNumberFormat="1" applyFill="1" applyBorder="1" applyAlignment="1">
      <alignment vertical="center"/>
    </xf>
    <xf numFmtId="3" fontId="17" fillId="11" borderId="2" xfId="0" applyNumberFormat="1" applyFont="1" applyFill="1" applyBorder="1" applyAlignment="1">
      <alignment vertical="center"/>
    </xf>
    <xf numFmtId="0" fontId="0" fillId="4" borderId="2" xfId="0" applyFill="1" applyBorder="1" applyAlignment="1" applyProtection="1">
      <alignment vertical="center"/>
      <protection locked="0"/>
    </xf>
    <xf numFmtId="0" fontId="0" fillId="15" borderId="2" xfId="0" applyFill="1" applyBorder="1" applyAlignment="1" applyProtection="1">
      <alignment horizontal="center" vertical="center"/>
      <protection locked="0"/>
    </xf>
    <xf numFmtId="0" fontId="0" fillId="4" borderId="2" xfId="0" applyFill="1" applyBorder="1" applyAlignment="1">
      <alignment horizontal="center" vertical="center"/>
    </xf>
    <xf numFmtId="4" fontId="0" fillId="12" borderId="2" xfId="0" applyNumberFormat="1" applyFill="1" applyBorder="1" applyAlignment="1">
      <alignment vertical="center"/>
    </xf>
    <xf numFmtId="3" fontId="0" fillId="4" borderId="2" xfId="0" applyNumberFormat="1" applyFill="1" applyBorder="1" applyAlignment="1">
      <alignment vertical="center"/>
    </xf>
    <xf numFmtId="3" fontId="0" fillId="4" borderId="2" xfId="0" applyNumberFormat="1" applyFill="1" applyBorder="1" applyAlignment="1" applyProtection="1">
      <alignment vertical="center"/>
      <protection locked="0"/>
    </xf>
    <xf numFmtId="1" fontId="0" fillId="4" borderId="0" xfId="0" applyNumberFormat="1" applyFill="1" applyAlignment="1" applyProtection="1">
      <alignment vertical="center"/>
      <protection locked="0"/>
    </xf>
    <xf numFmtId="0" fontId="0" fillId="2" borderId="16" xfId="0" applyFill="1" applyBorder="1" applyAlignment="1" applyProtection="1">
      <alignment vertical="center"/>
      <protection locked="0"/>
    </xf>
    <xf numFmtId="0" fontId="0" fillId="2" borderId="0" xfId="0" applyFill="1" applyAlignment="1" applyProtection="1">
      <alignment vertical="center"/>
      <protection locked="0"/>
    </xf>
    <xf numFmtId="0" fontId="0" fillId="2" borderId="17" xfId="0" applyFill="1" applyBorder="1" applyAlignment="1" applyProtection="1">
      <alignment vertical="center"/>
      <protection locked="0"/>
    </xf>
    <xf numFmtId="0" fontId="38" fillId="4" borderId="2" xfId="0" applyFont="1" applyFill="1" applyBorder="1" applyAlignment="1">
      <alignment vertical="center"/>
    </xf>
    <xf numFmtId="3" fontId="38" fillId="4" borderId="2" xfId="0" applyNumberFormat="1" applyFont="1" applyFill="1" applyBorder="1" applyAlignment="1">
      <alignment vertical="center"/>
    </xf>
    <xf numFmtId="0" fontId="0" fillId="4" borderId="0" xfId="0" applyFill="1" applyAlignment="1">
      <alignment horizontal="center" vertical="center"/>
    </xf>
    <xf numFmtId="0" fontId="5" fillId="9" borderId="0" xfId="0" applyFont="1" applyFill="1" applyAlignment="1">
      <alignment vertical="center"/>
    </xf>
    <xf numFmtId="9" fontId="0" fillId="2" borderId="0" xfId="1" applyFont="1" applyFill="1" applyBorder="1" applyAlignment="1" applyProtection="1">
      <alignment vertical="center"/>
    </xf>
    <xf numFmtId="9" fontId="0" fillId="2" borderId="17" xfId="1" applyFont="1" applyFill="1" applyBorder="1" applyAlignment="1" applyProtection="1">
      <alignment vertical="center"/>
    </xf>
    <xf numFmtId="1" fontId="0" fillId="4" borderId="0" xfId="0" applyNumberFormat="1" applyFill="1" applyAlignment="1">
      <alignment vertical="center"/>
    </xf>
    <xf numFmtId="166" fontId="5" fillId="4" borderId="0" xfId="0" applyNumberFormat="1" applyFont="1" applyFill="1" applyAlignment="1">
      <alignment vertical="center"/>
    </xf>
    <xf numFmtId="10" fontId="5" fillId="4" borderId="0" xfId="0" applyNumberFormat="1" applyFont="1" applyFill="1" applyAlignment="1">
      <alignment vertical="center"/>
    </xf>
    <xf numFmtId="1" fontId="5" fillId="4" borderId="0" xfId="0" applyNumberFormat="1" applyFont="1" applyFill="1" applyAlignment="1">
      <alignment vertical="center"/>
    </xf>
    <xf numFmtId="4" fontId="5" fillId="4" borderId="2" xfId="0" applyNumberFormat="1" applyFont="1" applyFill="1" applyBorder="1" applyAlignment="1">
      <alignment vertical="center"/>
    </xf>
    <xf numFmtId="0" fontId="44" fillId="4" borderId="0" xfId="0" applyFont="1" applyFill="1" applyAlignment="1">
      <alignment vertical="center"/>
    </xf>
    <xf numFmtId="0" fontId="45" fillId="4" borderId="0" xfId="0" applyFont="1" applyFill="1" applyAlignment="1">
      <alignment vertical="center"/>
    </xf>
    <xf numFmtId="0" fontId="46" fillId="4" borderId="46" xfId="0" applyFont="1" applyFill="1" applyBorder="1" applyAlignment="1">
      <alignment vertical="center"/>
    </xf>
    <xf numFmtId="0" fontId="0" fillId="4" borderId="47" xfId="0" applyFill="1" applyBorder="1" applyAlignment="1">
      <alignment vertical="center"/>
    </xf>
    <xf numFmtId="0" fontId="0" fillId="4" borderId="46" xfId="0" applyFill="1" applyBorder="1" applyAlignment="1">
      <alignment vertical="center"/>
    </xf>
    <xf numFmtId="0" fontId="0" fillId="4" borderId="4" xfId="0" applyFill="1" applyBorder="1" applyAlignment="1">
      <alignment vertical="center"/>
    </xf>
    <xf numFmtId="0" fontId="0" fillId="4" borderId="4" xfId="0" applyFill="1" applyBorder="1" applyAlignment="1" applyProtection="1">
      <alignment vertical="center"/>
      <protection locked="0"/>
    </xf>
    <xf numFmtId="0" fontId="0" fillId="4" borderId="47" xfId="0" applyFill="1" applyBorder="1" applyAlignment="1" applyProtection="1">
      <alignment vertical="center"/>
      <protection locked="0"/>
    </xf>
    <xf numFmtId="3" fontId="5" fillId="4" borderId="10" xfId="0" applyNumberFormat="1" applyFont="1" applyFill="1" applyBorder="1" applyAlignment="1">
      <alignment vertical="center"/>
    </xf>
    <xf numFmtId="0" fontId="0" fillId="4" borderId="48" xfId="0" applyFill="1" applyBorder="1" applyAlignment="1">
      <alignment vertical="center"/>
    </xf>
    <xf numFmtId="3" fontId="0" fillId="4" borderId="10" xfId="0" applyNumberFormat="1" applyFill="1" applyBorder="1" applyAlignment="1">
      <alignment vertical="center"/>
    </xf>
    <xf numFmtId="3" fontId="0" fillId="4" borderId="0" xfId="0" applyNumberFormat="1" applyFill="1" applyAlignment="1">
      <alignment vertical="center"/>
    </xf>
    <xf numFmtId="0" fontId="5" fillId="4" borderId="0" xfId="0" applyFont="1" applyFill="1" applyAlignment="1" applyProtection="1">
      <alignment vertical="center"/>
      <protection locked="0"/>
    </xf>
    <xf numFmtId="0" fontId="0" fillId="4" borderId="48" xfId="0" applyFill="1" applyBorder="1" applyAlignment="1" applyProtection="1">
      <alignment vertical="center"/>
      <protection locked="0"/>
    </xf>
    <xf numFmtId="3" fontId="5" fillId="4" borderId="11" xfId="0" applyNumberFormat="1" applyFont="1" applyFill="1" applyBorder="1" applyAlignment="1">
      <alignment vertical="center"/>
    </xf>
    <xf numFmtId="0" fontId="0" fillId="4" borderId="49" xfId="0" applyFill="1" applyBorder="1" applyAlignment="1">
      <alignment vertical="center"/>
    </xf>
    <xf numFmtId="3" fontId="0" fillId="4" borderId="11" xfId="0" applyNumberFormat="1" applyFill="1" applyBorder="1" applyAlignment="1">
      <alignment vertical="center"/>
    </xf>
    <xf numFmtId="3" fontId="0" fillId="4" borderId="6" xfId="0" applyNumberFormat="1" applyFill="1" applyBorder="1" applyAlignment="1">
      <alignment vertical="center"/>
    </xf>
    <xf numFmtId="0" fontId="5" fillId="4" borderId="6" xfId="0" applyFont="1" applyFill="1" applyBorder="1" applyAlignment="1">
      <alignment vertical="center"/>
    </xf>
    <xf numFmtId="0" fontId="5" fillId="4" borderId="6" xfId="0" applyFont="1" applyFill="1" applyBorder="1" applyAlignment="1" applyProtection="1">
      <alignment vertical="center"/>
      <protection locked="0"/>
    </xf>
    <xf numFmtId="0" fontId="0" fillId="4" borderId="49" xfId="0" applyFill="1" applyBorder="1" applyAlignment="1" applyProtection="1">
      <alignment vertical="center"/>
      <protection locked="0"/>
    </xf>
    <xf numFmtId="0" fontId="5" fillId="4" borderId="46" xfId="0" applyFont="1" applyFill="1" applyBorder="1" applyAlignment="1">
      <alignment vertical="center"/>
    </xf>
    <xf numFmtId="0" fontId="5" fillId="4" borderId="4" xfId="0" applyFont="1" applyFill="1" applyBorder="1" applyAlignment="1">
      <alignment vertical="center"/>
    </xf>
    <xf numFmtId="3" fontId="0" fillId="4" borderId="47" xfId="0" applyNumberFormat="1" applyFill="1" applyBorder="1" applyAlignment="1">
      <alignment vertical="center"/>
    </xf>
    <xf numFmtId="3" fontId="0" fillId="4" borderId="48" xfId="0" applyNumberFormat="1" applyFill="1" applyBorder="1" applyAlignment="1">
      <alignment vertical="center"/>
    </xf>
    <xf numFmtId="4" fontId="0" fillId="0" borderId="0" xfId="1" applyNumberFormat="1" applyFont="1" applyAlignment="1">
      <alignment vertical="center"/>
    </xf>
    <xf numFmtId="4" fontId="0" fillId="4" borderId="0" xfId="0" applyNumberFormat="1" applyFill="1" applyAlignment="1">
      <alignment vertical="center"/>
    </xf>
    <xf numFmtId="3" fontId="5" fillId="4" borderId="6" xfId="0" applyNumberFormat="1" applyFont="1" applyFill="1" applyBorder="1" applyAlignment="1">
      <alignment vertical="center"/>
    </xf>
    <xf numFmtId="3" fontId="0" fillId="4" borderId="0" xfId="0" applyNumberFormat="1" applyFill="1" applyAlignment="1" applyProtection="1">
      <alignment vertical="center"/>
      <protection locked="0"/>
    </xf>
    <xf numFmtId="4" fontId="0" fillId="4" borderId="2" xfId="0" applyNumberFormat="1" applyFill="1" applyBorder="1" applyAlignment="1" applyProtection="1">
      <alignment vertical="center"/>
      <protection locked="0"/>
    </xf>
    <xf numFmtId="14" fontId="5" fillId="4" borderId="0" xfId="0" applyNumberFormat="1" applyFont="1" applyFill="1" applyAlignment="1">
      <alignment vertical="center"/>
    </xf>
    <xf numFmtId="0" fontId="27" fillId="4" borderId="0" xfId="0" applyFont="1" applyFill="1" applyAlignment="1">
      <alignment vertical="center"/>
    </xf>
    <xf numFmtId="0" fontId="17" fillId="4" borderId="0" xfId="0" applyFont="1" applyFill="1" applyAlignment="1" applyProtection="1">
      <alignment vertical="center"/>
      <protection locked="0"/>
    </xf>
    <xf numFmtId="0" fontId="47" fillId="7" borderId="0" xfId="0" applyFont="1" applyFill="1" applyAlignment="1">
      <alignment vertical="center"/>
    </xf>
    <xf numFmtId="0" fontId="47" fillId="7" borderId="0" xfId="0" applyFont="1" applyFill="1" applyAlignment="1">
      <alignment horizontal="center" vertical="center"/>
    </xf>
    <xf numFmtId="3" fontId="48" fillId="0" borderId="32" xfId="0" applyNumberFormat="1" applyFont="1" applyBorder="1" applyAlignment="1">
      <alignment vertical="center"/>
    </xf>
    <xf numFmtId="0" fontId="49" fillId="0" borderId="0" xfId="0" applyFont="1" applyAlignment="1">
      <alignment vertical="center"/>
    </xf>
    <xf numFmtId="0" fontId="47" fillId="5" borderId="0" xfId="0" applyFont="1" applyFill="1" applyAlignment="1">
      <alignment vertical="center"/>
    </xf>
    <xf numFmtId="0" fontId="47" fillId="5" borderId="0" xfId="0" applyFont="1" applyFill="1" applyAlignment="1">
      <alignment horizontal="center" vertical="center"/>
    </xf>
    <xf numFmtId="0" fontId="49" fillId="0" borderId="27" xfId="0" applyFont="1" applyBorder="1" applyAlignment="1">
      <alignment vertical="center"/>
    </xf>
    <xf numFmtId="9" fontId="49" fillId="0" borderId="27" xfId="0" applyNumberFormat="1" applyFont="1" applyBorder="1" applyAlignment="1">
      <alignment vertical="center"/>
    </xf>
    <xf numFmtId="4" fontId="49" fillId="0" borderId="27" xfId="0" applyNumberFormat="1" applyFont="1" applyBorder="1" applyAlignment="1">
      <alignment vertical="center"/>
    </xf>
    <xf numFmtId="10" fontId="49" fillId="0" borderId="27" xfId="0" applyNumberFormat="1" applyFont="1" applyBorder="1" applyAlignment="1">
      <alignment vertical="center"/>
    </xf>
    <xf numFmtId="0" fontId="50" fillId="6" borderId="0" xfId="0" applyFont="1" applyFill="1" applyAlignment="1">
      <alignment vertical="center"/>
    </xf>
    <xf numFmtId="10" fontId="50" fillId="6" borderId="0" xfId="0" applyNumberFormat="1" applyFont="1" applyFill="1" applyAlignment="1">
      <alignment vertical="center"/>
    </xf>
    <xf numFmtId="4" fontId="50" fillId="6" borderId="0" xfId="0" applyNumberFormat="1" applyFont="1" applyFill="1" applyAlignment="1">
      <alignment vertical="center"/>
    </xf>
    <xf numFmtId="10" fontId="49" fillId="0" borderId="0" xfId="1" applyNumberFormat="1" applyFont="1" applyAlignment="1">
      <alignment vertical="center"/>
    </xf>
    <xf numFmtId="4" fontId="47" fillId="5" borderId="0" xfId="0" applyNumberFormat="1" applyFont="1" applyFill="1" applyAlignment="1">
      <alignment vertical="center"/>
    </xf>
    <xf numFmtId="4" fontId="49" fillId="0" borderId="27" xfId="0" applyNumberFormat="1" applyFont="1" applyBorder="1" applyAlignment="1">
      <alignment horizontal="center" vertical="center"/>
    </xf>
    <xf numFmtId="0" fontId="50" fillId="8" borderId="0" xfId="0" applyFont="1" applyFill="1" applyAlignment="1">
      <alignment vertical="center"/>
    </xf>
    <xf numFmtId="10" fontId="50" fillId="8" borderId="0" xfId="0" applyNumberFormat="1" applyFont="1" applyFill="1" applyAlignment="1">
      <alignment vertical="center"/>
    </xf>
    <xf numFmtId="4" fontId="50" fillId="8" borderId="0" xfId="0" applyNumberFormat="1" applyFont="1" applyFill="1" applyAlignment="1">
      <alignment vertical="center"/>
    </xf>
    <xf numFmtId="3" fontId="48" fillId="0" borderId="28" xfId="0" applyNumberFormat="1" applyFont="1" applyBorder="1" applyAlignment="1">
      <alignment vertical="center"/>
    </xf>
    <xf numFmtId="12" fontId="0" fillId="20" borderId="2" xfId="0" applyNumberFormat="1" applyFill="1" applyBorder="1" applyAlignment="1">
      <alignment vertical="center"/>
    </xf>
    <xf numFmtId="3" fontId="0" fillId="13" borderId="2" xfId="0" applyNumberFormat="1" applyFill="1" applyBorder="1" applyAlignment="1">
      <alignment vertical="center"/>
    </xf>
    <xf numFmtId="43" fontId="0" fillId="13" borderId="2" xfId="2" applyFont="1" applyFill="1" applyBorder="1" applyAlignment="1" applyProtection="1">
      <alignment vertical="center"/>
      <protection locked="0"/>
    </xf>
    <xf numFmtId="0" fontId="0" fillId="20" borderId="6" xfId="0" applyFill="1" applyBorder="1" applyAlignment="1">
      <alignment vertical="center"/>
    </xf>
    <xf numFmtId="165" fontId="0" fillId="20" borderId="12" xfId="1" applyNumberFormat="1" applyFont="1" applyFill="1" applyBorder="1" applyAlignment="1" applyProtection="1">
      <alignment vertical="center"/>
    </xf>
    <xf numFmtId="0" fontId="0" fillId="20" borderId="16" xfId="0" applyFill="1" applyBorder="1" applyAlignment="1" applyProtection="1">
      <alignment vertical="center"/>
      <protection locked="0"/>
    </xf>
    <xf numFmtId="0" fontId="17" fillId="20" borderId="6" xfId="0" applyFont="1" applyFill="1" applyBorder="1" applyAlignment="1">
      <alignment vertical="center"/>
    </xf>
    <xf numFmtId="0" fontId="17" fillId="20" borderId="16" xfId="0" applyFont="1" applyFill="1" applyBorder="1" applyAlignment="1" applyProtection="1">
      <alignment vertical="center"/>
      <protection locked="0"/>
    </xf>
    <xf numFmtId="0" fontId="17" fillId="20" borderId="16" xfId="0" applyFont="1" applyFill="1" applyBorder="1" applyAlignment="1" applyProtection="1">
      <alignment horizontal="left" vertical="center"/>
      <protection locked="0"/>
    </xf>
    <xf numFmtId="0" fontId="17" fillId="20" borderId="16" xfId="0" applyFont="1" applyFill="1" applyBorder="1" applyAlignment="1">
      <alignment vertical="center"/>
    </xf>
    <xf numFmtId="0" fontId="0" fillId="20" borderId="0" xfId="0" applyFill="1" applyAlignment="1">
      <alignment horizontal="center" vertical="center"/>
    </xf>
    <xf numFmtId="0" fontId="0" fillId="20" borderId="21" xfId="0" applyFill="1" applyBorder="1" applyAlignment="1">
      <alignment vertical="center"/>
    </xf>
    <xf numFmtId="0" fontId="0" fillId="20" borderId="24" xfId="0" applyFill="1" applyBorder="1" applyAlignment="1">
      <alignment vertical="center"/>
    </xf>
    <xf numFmtId="43" fontId="0" fillId="13" borderId="37" xfId="2" applyFont="1" applyFill="1" applyBorder="1" applyAlignment="1" applyProtection="1">
      <alignment vertical="center"/>
      <protection locked="0"/>
    </xf>
    <xf numFmtId="43" fontId="0" fillId="13" borderId="9" xfId="2" applyFont="1" applyFill="1" applyBorder="1" applyAlignment="1" applyProtection="1">
      <alignment vertical="center"/>
      <protection locked="0"/>
    </xf>
    <xf numFmtId="0" fontId="17" fillId="11" borderId="2" xfId="0" applyFont="1" applyFill="1" applyBorder="1" applyAlignment="1">
      <alignment vertical="center"/>
    </xf>
    <xf numFmtId="0" fontId="39" fillId="11" borderId="2" xfId="0" applyFont="1" applyFill="1" applyBorder="1" applyAlignment="1">
      <alignment horizontal="center" vertical="center"/>
    </xf>
    <xf numFmtId="43" fontId="5" fillId="4" borderId="2" xfId="0" applyNumberFormat="1" applyFont="1" applyFill="1" applyBorder="1" applyAlignment="1">
      <alignment vertical="center"/>
    </xf>
    <xf numFmtId="43" fontId="0" fillId="4" borderId="2" xfId="0" applyNumberFormat="1" applyFill="1" applyBorder="1" applyAlignment="1">
      <alignment vertical="center"/>
    </xf>
    <xf numFmtId="0" fontId="17" fillId="11" borderId="0" xfId="0" applyFont="1" applyFill="1" applyAlignment="1">
      <alignment horizontal="center" vertical="center"/>
    </xf>
    <xf numFmtId="0" fontId="17" fillId="11" borderId="2" xfId="0" applyFont="1" applyFill="1" applyBorder="1" applyAlignment="1">
      <alignment horizontal="center" vertical="center"/>
    </xf>
    <xf numFmtId="3" fontId="0" fillId="20" borderId="8" xfId="0" applyNumberFormat="1" applyFill="1" applyBorder="1" applyAlignment="1">
      <alignment vertical="center"/>
    </xf>
    <xf numFmtId="3" fontId="0" fillId="3" borderId="51" xfId="0" applyNumberFormat="1" applyFill="1" applyBorder="1" applyAlignment="1" applyProtection="1">
      <alignment vertical="center"/>
      <protection locked="0"/>
    </xf>
    <xf numFmtId="1" fontId="38" fillId="20" borderId="2" xfId="0" applyNumberFormat="1" applyFont="1" applyFill="1" applyBorder="1" applyAlignment="1">
      <alignment vertical="center"/>
    </xf>
    <xf numFmtId="0" fontId="17" fillId="20" borderId="12" xfId="0" applyFont="1" applyFill="1" applyBorder="1" applyAlignment="1">
      <alignment vertical="center"/>
    </xf>
    <xf numFmtId="165" fontId="0" fillId="20" borderId="2" xfId="1" applyNumberFormat="1" applyFont="1" applyFill="1" applyBorder="1" applyAlignment="1">
      <alignment vertical="center"/>
    </xf>
    <xf numFmtId="0" fontId="0" fillId="11" borderId="2" xfId="0" applyFill="1" applyBorder="1" applyAlignment="1">
      <alignment horizontal="center" vertical="center"/>
    </xf>
    <xf numFmtId="0" fontId="38" fillId="11" borderId="21" xfId="0" applyFont="1" applyFill="1" applyBorder="1" applyAlignment="1">
      <alignment horizontal="left" vertical="center"/>
    </xf>
    <xf numFmtId="14" fontId="0" fillId="2" borderId="2" xfId="0" applyNumberFormat="1" applyFill="1" applyBorder="1" applyAlignment="1" applyProtection="1">
      <alignment horizontal="left" vertical="center"/>
      <protection locked="0"/>
    </xf>
    <xf numFmtId="4" fontId="0" fillId="12" borderId="12" xfId="0" applyNumberFormat="1" applyFill="1" applyBorder="1" applyAlignment="1">
      <alignment vertical="center"/>
    </xf>
    <xf numFmtId="3" fontId="0" fillId="20" borderId="46" xfId="0" applyNumberFormat="1" applyFill="1" applyBorder="1" applyAlignment="1">
      <alignment vertical="center"/>
    </xf>
    <xf numFmtId="165" fontId="0" fillId="20" borderId="46" xfId="1" applyNumberFormat="1" applyFont="1" applyFill="1" applyBorder="1" applyAlignment="1" applyProtection="1">
      <alignment vertical="center"/>
    </xf>
    <xf numFmtId="0" fontId="17" fillId="20" borderId="2" xfId="0" applyFont="1" applyFill="1" applyBorder="1" applyAlignment="1" applyProtection="1">
      <alignment horizontal="center" vertical="center"/>
      <protection locked="0"/>
    </xf>
    <xf numFmtId="0" fontId="5" fillId="20" borderId="2" xfId="0" applyFont="1" applyFill="1" applyBorder="1" applyAlignment="1">
      <alignment vertical="center"/>
    </xf>
    <xf numFmtId="4" fontId="0" fillId="13" borderId="2" xfId="0" applyNumberFormat="1" applyFill="1" applyBorder="1" applyAlignment="1">
      <alignment vertical="center"/>
    </xf>
    <xf numFmtId="0" fontId="35" fillId="2" borderId="2" xfId="0" applyFont="1" applyFill="1" applyBorder="1" applyAlignment="1" applyProtection="1">
      <alignment horizontal="center" vertical="center"/>
      <protection locked="0"/>
    </xf>
    <xf numFmtId="3" fontId="0" fillId="11" borderId="2" xfId="0" applyNumberFormat="1" applyFill="1" applyBorder="1" applyAlignment="1">
      <alignment horizontal="center" vertical="center"/>
    </xf>
    <xf numFmtId="3" fontId="0" fillId="0" borderId="2" xfId="0" applyNumberFormat="1" applyBorder="1" applyAlignment="1" applyProtection="1">
      <alignment vertical="center"/>
      <protection locked="0"/>
    </xf>
    <xf numFmtId="165" fontId="0" fillId="20" borderId="44" xfId="1" applyNumberFormat="1" applyFont="1" applyFill="1" applyBorder="1" applyAlignment="1">
      <alignment vertical="center"/>
    </xf>
    <xf numFmtId="165" fontId="0" fillId="20" borderId="52" xfId="1" applyNumberFormat="1" applyFont="1" applyFill="1" applyBorder="1" applyAlignment="1">
      <alignment vertical="center"/>
    </xf>
    <xf numFmtId="0" fontId="38" fillId="11" borderId="3" xfId="0" applyFont="1" applyFill="1" applyBorder="1" applyAlignment="1">
      <alignment vertical="center"/>
    </xf>
    <xf numFmtId="0" fontId="0" fillId="20" borderId="46" xfId="0" applyFill="1" applyBorder="1" applyAlignment="1">
      <alignment vertical="center"/>
    </xf>
    <xf numFmtId="0" fontId="0" fillId="20" borderId="20" xfId="0" applyFill="1" applyBorder="1" applyAlignment="1">
      <alignment vertical="center"/>
    </xf>
    <xf numFmtId="0" fontId="5" fillId="20" borderId="2" xfId="0" applyFont="1" applyFill="1" applyBorder="1" applyAlignment="1">
      <alignment horizontal="center" vertical="center"/>
    </xf>
    <xf numFmtId="0" fontId="0" fillId="21" borderId="2" xfId="0" applyFill="1" applyBorder="1" applyAlignment="1">
      <alignment horizontal="center" vertical="center"/>
    </xf>
    <xf numFmtId="0" fontId="38" fillId="20" borderId="2" xfId="0" applyFont="1" applyFill="1" applyBorder="1" applyAlignment="1">
      <alignment horizontal="center" vertical="center"/>
    </xf>
    <xf numFmtId="0" fontId="17" fillId="20" borderId="25" xfId="0" applyFont="1" applyFill="1" applyBorder="1" applyAlignment="1">
      <alignment vertical="center"/>
    </xf>
    <xf numFmtId="0" fontId="0" fillId="2" borderId="12" xfId="0" applyFill="1" applyBorder="1" applyAlignment="1" applyProtection="1">
      <alignment horizontal="center" vertical="center"/>
      <protection locked="0"/>
    </xf>
    <xf numFmtId="0" fontId="5" fillId="4" borderId="0" xfId="0" applyFont="1" applyFill="1" applyAlignment="1">
      <alignment horizontal="right" vertical="center"/>
    </xf>
    <xf numFmtId="0" fontId="15" fillId="4" borderId="0" xfId="0" applyFont="1" applyFill="1" applyAlignment="1">
      <alignment horizontal="right" vertical="center"/>
    </xf>
    <xf numFmtId="0" fontId="38" fillId="4" borderId="0" xfId="0" applyFont="1" applyFill="1" applyAlignment="1">
      <alignment vertical="center"/>
    </xf>
    <xf numFmtId="2" fontId="0" fillId="3" borderId="2" xfId="0" applyNumberFormat="1" applyFill="1" applyBorder="1" applyAlignment="1" applyProtection="1">
      <alignment horizontal="left" vertical="center"/>
      <protection locked="0"/>
    </xf>
    <xf numFmtId="14" fontId="0" fillId="3" borderId="2" xfId="0" applyNumberFormat="1" applyFill="1" applyBorder="1" applyAlignment="1" applyProtection="1">
      <alignment horizontal="left" vertical="center"/>
      <protection locked="0"/>
    </xf>
    <xf numFmtId="14" fontId="0" fillId="3" borderId="5" xfId="0" applyNumberFormat="1" applyFill="1" applyBorder="1" applyAlignment="1" applyProtection="1">
      <alignment horizontal="left" vertical="center"/>
      <protection locked="0"/>
    </xf>
    <xf numFmtId="4" fontId="0" fillId="3" borderId="2" xfId="0" applyNumberFormat="1" applyFill="1" applyBorder="1" applyAlignment="1" applyProtection="1">
      <alignment vertical="center"/>
      <protection locked="0"/>
    </xf>
    <xf numFmtId="0" fontId="0" fillId="3" borderId="44" xfId="0" applyFill="1" applyBorder="1" applyAlignment="1" applyProtection="1">
      <alignment vertical="center"/>
      <protection locked="0"/>
    </xf>
    <xf numFmtId="166" fontId="0" fillId="3" borderId="2" xfId="0" applyNumberFormat="1" applyFill="1" applyBorder="1" applyAlignment="1" applyProtection="1">
      <alignment vertical="center"/>
      <protection locked="0"/>
    </xf>
    <xf numFmtId="10" fontId="0" fillId="3" borderId="2" xfId="0" applyNumberFormat="1" applyFill="1" applyBorder="1" applyAlignment="1" applyProtection="1">
      <alignment vertical="center"/>
      <protection locked="0"/>
    </xf>
    <xf numFmtId="164" fontId="0" fillId="3" borderId="2" xfId="0" applyNumberFormat="1" applyFill="1" applyBorder="1" applyAlignment="1" applyProtection="1">
      <alignment vertical="center"/>
      <protection locked="0"/>
    </xf>
    <xf numFmtId="164" fontId="0" fillId="3" borderId="3" xfId="0" applyNumberFormat="1" applyFill="1" applyBorder="1" applyAlignment="1" applyProtection="1">
      <alignment vertical="center"/>
      <protection locked="0"/>
    </xf>
    <xf numFmtId="3" fontId="0" fillId="3" borderId="3" xfId="0" applyNumberFormat="1" applyFill="1" applyBorder="1" applyAlignment="1" applyProtection="1">
      <alignment vertical="center"/>
      <protection locked="0"/>
    </xf>
    <xf numFmtId="3" fontId="0" fillId="3" borderId="2" xfId="0" applyNumberFormat="1" applyFill="1" applyBorder="1" applyAlignment="1" applyProtection="1">
      <alignment horizontal="right" vertical="center"/>
      <protection locked="0"/>
    </xf>
    <xf numFmtId="0" fontId="0" fillId="3" borderId="2" xfId="0" applyFill="1" applyBorder="1" applyAlignment="1" applyProtection="1">
      <alignment horizontal="left" vertical="center"/>
      <protection locked="0"/>
    </xf>
    <xf numFmtId="0" fontId="37" fillId="12" borderId="2" xfId="0" applyFont="1" applyFill="1" applyBorder="1" applyAlignment="1">
      <alignment vertical="center"/>
    </xf>
    <xf numFmtId="0" fontId="0" fillId="3" borderId="8" xfId="0" applyFill="1" applyBorder="1" applyAlignment="1" applyProtection="1">
      <alignment vertical="center"/>
      <protection locked="0"/>
    </xf>
    <xf numFmtId="0" fontId="18" fillId="3" borderId="2" xfId="0" applyFont="1" applyFill="1" applyBorder="1" applyAlignment="1" applyProtection="1">
      <alignment vertical="center"/>
      <protection locked="0"/>
    </xf>
    <xf numFmtId="2" fontId="0" fillId="3" borderId="5" xfId="0" applyNumberFormat="1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 applyProtection="1">
      <alignment vertical="center"/>
      <protection locked="0"/>
    </xf>
    <xf numFmtId="3" fontId="0" fillId="3" borderId="2" xfId="0" applyNumberFormat="1" applyFill="1" applyBorder="1" applyAlignment="1" applyProtection="1">
      <alignment horizontal="center" vertical="center"/>
      <protection locked="0"/>
    </xf>
    <xf numFmtId="0" fontId="0" fillId="3" borderId="2" xfId="0" applyFill="1" applyBorder="1" applyAlignment="1" applyProtection="1">
      <alignment horizontal="center" vertical="center"/>
      <protection locked="0"/>
    </xf>
    <xf numFmtId="0" fontId="0" fillId="3" borderId="3" xfId="0" applyFill="1" applyBorder="1" applyAlignment="1" applyProtection="1">
      <alignment vertical="center"/>
      <protection locked="0"/>
    </xf>
    <xf numFmtId="0" fontId="5" fillId="3" borderId="2" xfId="0" applyFont="1" applyFill="1" applyBorder="1" applyAlignment="1" applyProtection="1">
      <alignment vertical="center"/>
      <protection locked="0"/>
    </xf>
    <xf numFmtId="165" fontId="0" fillId="3" borderId="2" xfId="1" applyNumberFormat="1" applyFont="1" applyFill="1" applyBorder="1" applyAlignment="1" applyProtection="1">
      <alignment horizontal="left" vertical="center"/>
      <protection locked="0"/>
    </xf>
    <xf numFmtId="9" fontId="0" fillId="20" borderId="12" xfId="0" applyNumberFormat="1" applyFill="1" applyBorder="1" applyAlignment="1">
      <alignment vertical="center"/>
    </xf>
    <xf numFmtId="3" fontId="0" fillId="2" borderId="2" xfId="0" applyNumberFormat="1" applyFill="1" applyBorder="1" applyAlignment="1">
      <alignment vertical="center"/>
    </xf>
    <xf numFmtId="3" fontId="5" fillId="2" borderId="46" xfId="0" applyNumberFormat="1" applyFont="1" applyFill="1" applyBorder="1" applyAlignment="1">
      <alignment horizontal="right" vertical="center"/>
    </xf>
    <xf numFmtId="3" fontId="5" fillId="2" borderId="2" xfId="0" applyNumberFormat="1" applyFont="1" applyFill="1" applyBorder="1" applyAlignment="1">
      <alignment horizontal="right" vertical="center"/>
    </xf>
    <xf numFmtId="167" fontId="0" fillId="4" borderId="0" xfId="2" applyNumberFormat="1" applyFont="1" applyFill="1" applyAlignment="1">
      <alignment vertical="center"/>
    </xf>
    <xf numFmtId="3" fontId="0" fillId="2" borderId="9" xfId="0" applyNumberFormat="1" applyFill="1" applyBorder="1" applyAlignment="1">
      <alignment vertical="center"/>
    </xf>
    <xf numFmtId="0" fontId="30" fillId="4" borderId="0" xfId="0" applyFont="1" applyFill="1" applyAlignment="1" applyProtection="1">
      <alignment vertical="center"/>
      <protection locked="0"/>
    </xf>
    <xf numFmtId="0" fontId="0" fillId="20" borderId="17" xfId="0" applyFill="1" applyBorder="1" applyAlignment="1" applyProtection="1">
      <alignment vertical="center"/>
      <protection locked="0"/>
    </xf>
    <xf numFmtId="0" fontId="0" fillId="20" borderId="23" xfId="0" applyFill="1" applyBorder="1" applyAlignment="1" applyProtection="1">
      <alignment vertical="center"/>
      <protection locked="0"/>
    </xf>
    <xf numFmtId="0" fontId="0" fillId="20" borderId="30" xfId="0" applyFill="1" applyBorder="1" applyAlignment="1" applyProtection="1">
      <alignment vertical="center"/>
      <protection locked="0"/>
    </xf>
    <xf numFmtId="0" fontId="0" fillId="20" borderId="31" xfId="0" applyFill="1" applyBorder="1" applyAlignment="1" applyProtection="1">
      <alignment vertical="center"/>
      <protection locked="0"/>
    </xf>
    <xf numFmtId="0" fontId="17" fillId="20" borderId="17" xfId="0" applyFont="1" applyFill="1" applyBorder="1" applyAlignment="1" applyProtection="1">
      <alignment vertical="center"/>
      <protection locked="0"/>
    </xf>
    <xf numFmtId="0" fontId="17" fillId="20" borderId="0" xfId="0" applyFont="1" applyFill="1" applyBorder="1" applyAlignment="1" applyProtection="1">
      <alignment horizontal="center" vertical="center"/>
      <protection locked="0"/>
    </xf>
    <xf numFmtId="0" fontId="0" fillId="20" borderId="0" xfId="0" applyFill="1" applyBorder="1" applyAlignment="1" applyProtection="1">
      <alignment vertical="center"/>
      <protection locked="0"/>
    </xf>
    <xf numFmtId="0" fontId="17" fillId="20" borderId="13" xfId="0" applyFont="1" applyFill="1" applyBorder="1" applyAlignment="1" applyProtection="1">
      <alignment vertical="center"/>
      <protection locked="0"/>
    </xf>
    <xf numFmtId="0" fontId="0" fillId="12" borderId="39" xfId="0" applyFill="1" applyBorder="1" applyAlignment="1">
      <alignment vertical="center"/>
    </xf>
    <xf numFmtId="0" fontId="0" fillId="20" borderId="0" xfId="0" applyFill="1" applyBorder="1" applyAlignment="1" applyProtection="1">
      <alignment horizontal="center" vertical="center"/>
      <protection locked="0"/>
    </xf>
    <xf numFmtId="0" fontId="0" fillId="20" borderId="0" xfId="0" applyFill="1" applyBorder="1" applyAlignment="1">
      <alignment vertical="center"/>
    </xf>
    <xf numFmtId="0" fontId="0" fillId="4" borderId="0" xfId="0" applyFill="1" applyBorder="1" applyAlignment="1">
      <alignment vertical="center"/>
    </xf>
    <xf numFmtId="0" fontId="0" fillId="4" borderId="0" xfId="0" applyFill="1" applyBorder="1" applyAlignment="1">
      <alignment horizontal="center" vertical="center"/>
    </xf>
    <xf numFmtId="10" fontId="0" fillId="2" borderId="2" xfId="1" quotePrefix="1" applyNumberFormat="1" applyFont="1" applyFill="1" applyBorder="1" applyAlignment="1" applyProtection="1">
      <alignment horizontal="center" vertical="center"/>
    </xf>
    <xf numFmtId="10" fontId="6" fillId="4" borderId="0" xfId="0" applyNumberFormat="1" applyFont="1" applyFill="1" applyAlignment="1">
      <alignment vertical="center"/>
    </xf>
    <xf numFmtId="164" fontId="5" fillId="4" borderId="0" xfId="0" applyNumberFormat="1" applyFont="1" applyFill="1" applyAlignment="1">
      <alignment vertical="center"/>
    </xf>
    <xf numFmtId="10" fontId="5" fillId="2" borderId="2" xfId="1" applyNumberFormat="1" applyFont="1" applyFill="1" applyBorder="1" applyAlignment="1" applyProtection="1">
      <alignment horizontal="center" vertical="center"/>
    </xf>
    <xf numFmtId="9" fontId="5" fillId="20" borderId="9" xfId="1" applyFont="1" applyFill="1" applyBorder="1" applyAlignment="1" applyProtection="1">
      <alignment horizontal="center" vertical="center"/>
    </xf>
    <xf numFmtId="0" fontId="0" fillId="12" borderId="2" xfId="0" applyFill="1" applyBorder="1" applyAlignment="1">
      <alignment horizontal="center" vertical="center"/>
    </xf>
    <xf numFmtId="0" fontId="38" fillId="11" borderId="18" xfId="0" applyFont="1" applyFill="1" applyBorder="1" applyAlignment="1">
      <alignment horizontal="left" vertical="top"/>
    </xf>
    <xf numFmtId="0" fontId="38" fillId="11" borderId="9" xfId="0" applyFont="1" applyFill="1" applyBorder="1" applyAlignment="1">
      <alignment horizontal="left" vertical="top"/>
    </xf>
    <xf numFmtId="0" fontId="38" fillId="11" borderId="19" xfId="0" applyFont="1" applyFill="1" applyBorder="1" applyAlignment="1">
      <alignment horizontal="left" vertical="top"/>
    </xf>
    <xf numFmtId="0" fontId="32" fillId="22" borderId="10" xfId="0" applyFont="1" applyFill="1" applyBorder="1" applyAlignment="1">
      <alignment horizontal="left" vertical="center"/>
    </xf>
    <xf numFmtId="0" fontId="32" fillId="22" borderId="0" xfId="0" applyFont="1" applyFill="1" applyBorder="1" applyAlignment="1">
      <alignment horizontal="left" vertical="center"/>
    </xf>
    <xf numFmtId="0" fontId="17" fillId="2" borderId="2" xfId="0" applyFont="1" applyFill="1" applyBorder="1" applyAlignment="1">
      <alignment horizontal="left" vertical="center"/>
    </xf>
    <xf numFmtId="0" fontId="17" fillId="4" borderId="2" xfId="0" applyFont="1" applyFill="1" applyBorder="1" applyAlignment="1" applyProtection="1">
      <alignment horizontal="left" vertical="center"/>
      <protection locked="0"/>
    </xf>
    <xf numFmtId="0" fontId="17" fillId="20" borderId="2" xfId="0" applyFont="1" applyFill="1" applyBorder="1" applyAlignment="1" applyProtection="1">
      <alignment horizontal="center" vertical="center"/>
      <protection locked="0"/>
    </xf>
    <xf numFmtId="0" fontId="0" fillId="2" borderId="10" xfId="0" applyFill="1" applyBorder="1" applyAlignment="1" applyProtection="1">
      <alignment horizontal="center" vertical="center"/>
      <protection locked="0"/>
    </xf>
    <xf numFmtId="0" fontId="0" fillId="2" borderId="17" xfId="0" applyFill="1" applyBorder="1" applyAlignment="1" applyProtection="1">
      <alignment horizontal="center" vertical="center"/>
      <protection locked="0"/>
    </xf>
    <xf numFmtId="0" fontId="0" fillId="20" borderId="3" xfId="0" applyFill="1" applyBorder="1" applyAlignment="1">
      <alignment horizontal="center" vertical="center"/>
    </xf>
    <xf numFmtId="0" fontId="0" fillId="20" borderId="9" xfId="0" applyFill="1" applyBorder="1" applyAlignment="1">
      <alignment horizontal="center" vertical="center"/>
    </xf>
    <xf numFmtId="0" fontId="0" fillId="20" borderId="37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0" fillId="20" borderId="21" xfId="0" applyFill="1" applyBorder="1" applyAlignment="1">
      <alignment horizontal="center" vertical="center"/>
    </xf>
    <xf numFmtId="0" fontId="0" fillId="20" borderId="6" xfId="0" applyFill="1" applyBorder="1" applyAlignment="1">
      <alignment horizontal="center" vertical="center"/>
    </xf>
    <xf numFmtId="0" fontId="0" fillId="20" borderId="24" xfId="0" applyFill="1" applyBorder="1" applyAlignment="1">
      <alignment horizontal="center" vertical="center"/>
    </xf>
    <xf numFmtId="0" fontId="17" fillId="3" borderId="2" xfId="0" applyFont="1" applyFill="1" applyBorder="1" applyAlignment="1" applyProtection="1">
      <alignment horizontal="center" vertical="center"/>
      <protection locked="0"/>
    </xf>
    <xf numFmtId="0" fontId="5" fillId="19" borderId="0" xfId="0" applyFont="1" applyFill="1" applyAlignment="1">
      <alignment horizontal="center" vertical="center"/>
    </xf>
    <xf numFmtId="0" fontId="0" fillId="4" borderId="3" xfId="0" applyFill="1" applyBorder="1" applyAlignment="1" applyProtection="1">
      <alignment horizontal="center" vertical="center"/>
      <protection locked="0"/>
    </xf>
    <xf numFmtId="0" fontId="0" fillId="4" borderId="9" xfId="0" applyFill="1" applyBorder="1" applyAlignment="1" applyProtection="1">
      <alignment horizontal="center" vertical="center"/>
      <protection locked="0"/>
    </xf>
    <xf numFmtId="0" fontId="0" fillId="4" borderId="37" xfId="0" applyFill="1" applyBorder="1" applyAlignment="1" applyProtection="1">
      <alignment horizontal="center" vertical="center"/>
      <protection locked="0"/>
    </xf>
    <xf numFmtId="0" fontId="51" fillId="22" borderId="18" xfId="0" applyFont="1" applyFill="1" applyBorder="1" applyAlignment="1">
      <alignment horizontal="center" vertical="center"/>
    </xf>
    <xf numFmtId="0" fontId="51" fillId="22" borderId="4" xfId="0" applyFont="1" applyFill="1" applyBorder="1" applyAlignment="1">
      <alignment horizontal="center" vertical="center"/>
    </xf>
    <xf numFmtId="0" fontId="51" fillId="22" borderId="20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 wrapText="1"/>
    </xf>
    <xf numFmtId="0" fontId="0" fillId="20" borderId="2" xfId="0" applyFill="1" applyBorder="1" applyAlignment="1">
      <alignment horizontal="center" vertical="center"/>
    </xf>
    <xf numFmtId="0" fontId="17" fillId="2" borderId="2" xfId="0" applyFont="1" applyFill="1" applyBorder="1" applyAlignment="1">
      <alignment horizontal="center" vertical="center"/>
    </xf>
    <xf numFmtId="0" fontId="32" fillId="22" borderId="25" xfId="0" applyFont="1" applyFill="1" applyBorder="1" applyAlignment="1">
      <alignment horizontal="left" vertical="center"/>
    </xf>
    <xf numFmtId="0" fontId="32" fillId="22" borderId="4" xfId="0" applyFont="1" applyFill="1" applyBorder="1" applyAlignment="1">
      <alignment horizontal="left" vertical="center"/>
    </xf>
    <xf numFmtId="0" fontId="32" fillId="22" borderId="20" xfId="0" applyFont="1" applyFill="1" applyBorder="1" applyAlignment="1">
      <alignment horizontal="left" vertical="center"/>
    </xf>
    <xf numFmtId="0" fontId="32" fillId="22" borderId="2" xfId="0" applyFont="1" applyFill="1" applyBorder="1" applyAlignment="1">
      <alignment horizontal="left" vertical="center"/>
    </xf>
    <xf numFmtId="9" fontId="5" fillId="20" borderId="3" xfId="1" applyFont="1" applyFill="1" applyBorder="1" applyAlignment="1" applyProtection="1">
      <alignment horizontal="center" vertical="center"/>
    </xf>
    <xf numFmtId="9" fontId="5" fillId="20" borderId="9" xfId="1" applyFont="1" applyFill="1" applyBorder="1" applyAlignment="1" applyProtection="1">
      <alignment horizontal="center" vertical="center"/>
    </xf>
    <xf numFmtId="0" fontId="17" fillId="20" borderId="2" xfId="0" applyFont="1" applyFill="1" applyBorder="1" applyAlignment="1">
      <alignment horizontal="left" vertical="center"/>
    </xf>
    <xf numFmtId="3" fontId="0" fillId="20" borderId="3" xfId="0" applyNumberFormat="1" applyFill="1" applyBorder="1" applyAlignment="1" applyProtection="1">
      <alignment horizontal="center" vertical="center"/>
      <protection locked="0"/>
    </xf>
    <xf numFmtId="3" fontId="0" fillId="20" borderId="37" xfId="0" applyNumberFormat="1" applyFill="1" applyBorder="1" applyAlignment="1" applyProtection="1">
      <alignment horizontal="center" vertical="center"/>
      <protection locked="0"/>
    </xf>
    <xf numFmtId="0" fontId="0" fillId="3" borderId="3" xfId="0" applyFill="1" applyBorder="1" applyAlignment="1" applyProtection="1">
      <alignment horizontal="left" vertical="top"/>
      <protection locked="0"/>
    </xf>
    <xf numFmtId="0" fontId="0" fillId="3" borderId="37" xfId="0" applyFill="1" applyBorder="1" applyAlignment="1" applyProtection="1">
      <alignment horizontal="left" vertical="top"/>
      <protection locked="0"/>
    </xf>
    <xf numFmtId="0" fontId="6" fillId="2" borderId="16" xfId="0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3" borderId="13" xfId="0" applyFont="1" applyFill="1" applyBorder="1" applyAlignment="1" applyProtection="1">
      <alignment vertical="center"/>
      <protection locked="0"/>
    </xf>
    <xf numFmtId="0" fontId="6" fillId="3" borderId="14" xfId="0" applyFont="1" applyFill="1" applyBorder="1" applyAlignment="1" applyProtection="1">
      <alignment vertical="center"/>
      <protection locked="0"/>
    </xf>
    <xf numFmtId="0" fontId="6" fillId="3" borderId="15" xfId="0" applyFont="1" applyFill="1" applyBorder="1" applyAlignment="1" applyProtection="1">
      <alignment vertical="center"/>
      <protection locked="0"/>
    </xf>
    <xf numFmtId="0" fontId="6" fillId="12" borderId="3" xfId="0" applyFont="1" applyFill="1" applyBorder="1" applyAlignment="1" applyProtection="1">
      <alignment horizontal="left" vertical="center"/>
      <protection locked="0"/>
    </xf>
    <xf numFmtId="0" fontId="6" fillId="12" borderId="37" xfId="0" applyFont="1" applyFill="1" applyBorder="1" applyAlignment="1" applyProtection="1">
      <alignment horizontal="left" vertical="center"/>
      <protection locked="0"/>
    </xf>
    <xf numFmtId="0" fontId="6" fillId="13" borderId="3" xfId="0" applyFont="1" applyFill="1" applyBorder="1" applyAlignment="1" applyProtection="1">
      <alignment horizontal="center" vertical="center"/>
      <protection locked="0"/>
    </xf>
    <xf numFmtId="0" fontId="6" fillId="13" borderId="37" xfId="0" applyFont="1" applyFill="1" applyBorder="1" applyAlignment="1" applyProtection="1">
      <alignment horizontal="center" vertical="center"/>
      <protection locked="0"/>
    </xf>
    <xf numFmtId="0" fontId="6" fillId="4" borderId="2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 applyProtection="1">
      <alignment horizontal="center" vertical="center"/>
      <protection locked="0"/>
    </xf>
    <xf numFmtId="0" fontId="2" fillId="4" borderId="9" xfId="0" applyFont="1" applyFill="1" applyBorder="1" applyAlignment="1" applyProtection="1">
      <alignment horizontal="center" vertical="center"/>
      <protection locked="0"/>
    </xf>
    <xf numFmtId="0" fontId="2" fillId="4" borderId="37" xfId="0" applyFont="1" applyFill="1" applyBorder="1" applyAlignment="1" applyProtection="1">
      <alignment horizontal="center" vertical="center"/>
      <protection locked="0"/>
    </xf>
    <xf numFmtId="0" fontId="6" fillId="4" borderId="10" xfId="0" applyFont="1" applyFill="1" applyBorder="1" applyAlignment="1" applyProtection="1">
      <alignment horizontal="center" vertical="center"/>
      <protection locked="0"/>
    </xf>
    <xf numFmtId="0" fontId="6" fillId="4" borderId="0" xfId="0" applyFont="1" applyFill="1" applyAlignment="1" applyProtection="1">
      <alignment horizontal="center" vertical="center"/>
      <protection locked="0"/>
    </xf>
    <xf numFmtId="0" fontId="6" fillId="16" borderId="1" xfId="0" applyFont="1" applyFill="1" applyBorder="1" applyAlignment="1" applyProtection="1">
      <alignment horizontal="center" vertical="center"/>
      <protection locked="0"/>
    </xf>
    <xf numFmtId="0" fontId="6" fillId="2" borderId="21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8" fillId="10" borderId="18" xfId="0" applyFont="1" applyFill="1" applyBorder="1" applyAlignment="1">
      <alignment horizontal="left" vertical="center"/>
    </xf>
    <xf numFmtId="0" fontId="8" fillId="10" borderId="9" xfId="0" applyFont="1" applyFill="1" applyBorder="1" applyAlignment="1">
      <alignment horizontal="left" vertical="center"/>
    </xf>
    <xf numFmtId="0" fontId="8" fillId="10" borderId="19" xfId="0" applyFont="1" applyFill="1" applyBorder="1" applyAlignment="1">
      <alignment horizontal="left" vertical="center"/>
    </xf>
    <xf numFmtId="0" fontId="2" fillId="2" borderId="25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/>
    </xf>
    <xf numFmtId="0" fontId="6" fillId="2" borderId="34" xfId="0" applyFont="1" applyFill="1" applyBorder="1" applyAlignment="1">
      <alignment vertical="center"/>
    </xf>
    <xf numFmtId="0" fontId="6" fillId="2" borderId="35" xfId="0" applyFont="1" applyFill="1" applyBorder="1" applyAlignment="1">
      <alignment vertical="center"/>
    </xf>
    <xf numFmtId="0" fontId="6" fillId="2" borderId="36" xfId="0" applyFont="1" applyFill="1" applyBorder="1" applyAlignment="1">
      <alignment vertical="center"/>
    </xf>
    <xf numFmtId="0" fontId="8" fillId="10" borderId="25" xfId="0" applyFont="1" applyFill="1" applyBorder="1" applyAlignment="1">
      <alignment horizontal="left" vertical="center"/>
    </xf>
    <xf numFmtId="0" fontId="8" fillId="10" borderId="4" xfId="0" applyFont="1" applyFill="1" applyBorder="1" applyAlignment="1">
      <alignment horizontal="left" vertical="center"/>
    </xf>
    <xf numFmtId="0" fontId="8" fillId="10" borderId="20" xfId="0" applyFont="1" applyFill="1" applyBorder="1" applyAlignment="1">
      <alignment horizontal="left" vertical="center"/>
    </xf>
    <xf numFmtId="0" fontId="8" fillId="10" borderId="18" xfId="0" applyFont="1" applyFill="1" applyBorder="1" applyAlignment="1">
      <alignment horizontal="center" vertical="center"/>
    </xf>
    <xf numFmtId="0" fontId="8" fillId="10" borderId="9" xfId="0" applyFont="1" applyFill="1" applyBorder="1" applyAlignment="1">
      <alignment horizontal="center" vertical="center"/>
    </xf>
    <xf numFmtId="0" fontId="8" fillId="10" borderId="19" xfId="0" applyFont="1" applyFill="1" applyBorder="1" applyAlignment="1">
      <alignment horizontal="center" vertical="center"/>
    </xf>
    <xf numFmtId="0" fontId="6" fillId="3" borderId="23" xfId="0" applyFont="1" applyFill="1" applyBorder="1" applyAlignment="1" applyProtection="1">
      <alignment vertical="center"/>
      <protection locked="0"/>
    </xf>
    <xf numFmtId="0" fontId="6" fillId="3" borderId="30" xfId="0" applyFont="1" applyFill="1" applyBorder="1" applyAlignment="1" applyProtection="1">
      <alignment vertical="center"/>
      <protection locked="0"/>
    </xf>
    <xf numFmtId="0" fontId="6" fillId="3" borderId="31" xfId="0" applyFont="1" applyFill="1" applyBorder="1" applyAlignment="1" applyProtection="1">
      <alignment vertical="center"/>
      <protection locked="0"/>
    </xf>
    <xf numFmtId="0" fontId="6" fillId="3" borderId="0" xfId="0" applyFont="1" applyFill="1" applyAlignment="1" applyProtection="1">
      <alignment vertical="center"/>
      <protection locked="0"/>
    </xf>
    <xf numFmtId="0" fontId="6" fillId="3" borderId="17" xfId="0" applyFont="1" applyFill="1" applyBorder="1" applyAlignment="1" applyProtection="1">
      <alignment vertical="center"/>
      <protection locked="0"/>
    </xf>
    <xf numFmtId="0" fontId="6" fillId="12" borderId="3" xfId="0" applyFont="1" applyFill="1" applyBorder="1" applyAlignment="1" applyProtection="1">
      <alignment horizontal="left" vertical="top"/>
      <protection locked="0"/>
    </xf>
    <xf numFmtId="0" fontId="6" fillId="12" borderId="37" xfId="0" applyFont="1" applyFill="1" applyBorder="1" applyAlignment="1" applyProtection="1">
      <alignment horizontal="left" vertical="top"/>
      <protection locked="0"/>
    </xf>
    <xf numFmtId="0" fontId="8" fillId="10" borderId="13" xfId="0" applyFont="1" applyFill="1" applyBorder="1" applyAlignment="1">
      <alignment vertical="center"/>
    </xf>
    <xf numFmtId="0" fontId="8" fillId="10" borderId="14" xfId="0" applyFont="1" applyFill="1" applyBorder="1" applyAlignment="1">
      <alignment vertical="center"/>
    </xf>
    <xf numFmtId="0" fontId="8" fillId="10" borderId="15" xfId="0" applyFont="1" applyFill="1" applyBorder="1" applyAlignment="1">
      <alignment vertical="center"/>
    </xf>
    <xf numFmtId="0" fontId="17" fillId="4" borderId="11" xfId="0" applyFont="1" applyFill="1" applyBorder="1" applyAlignment="1" applyProtection="1">
      <alignment horizontal="left" vertical="center"/>
      <protection locked="0"/>
    </xf>
    <xf numFmtId="0" fontId="17" fillId="4" borderId="6" xfId="0" applyFont="1" applyFill="1" applyBorder="1" applyAlignment="1" applyProtection="1">
      <alignment horizontal="left" vertical="center"/>
      <protection locked="0"/>
    </xf>
    <xf numFmtId="0" fontId="38" fillId="11" borderId="3" xfId="0" applyFont="1" applyFill="1" applyBorder="1" applyAlignment="1">
      <alignment horizontal="left" vertical="center"/>
    </xf>
    <xf numFmtId="0" fontId="38" fillId="11" borderId="9" xfId="0" applyFont="1" applyFill="1" applyBorder="1" applyAlignment="1">
      <alignment horizontal="left" vertical="center"/>
    </xf>
    <xf numFmtId="0" fontId="32" fillId="22" borderId="40" xfId="0" applyFont="1" applyFill="1" applyBorder="1" applyAlignment="1">
      <alignment horizontal="left" vertical="center"/>
    </xf>
    <xf numFmtId="0" fontId="32" fillId="22" borderId="53" xfId="0" applyFont="1" applyFill="1" applyBorder="1" applyAlignment="1">
      <alignment horizontal="left" vertical="center"/>
    </xf>
    <xf numFmtId="0" fontId="32" fillId="22" borderId="54" xfId="0" applyFont="1" applyFill="1" applyBorder="1" applyAlignment="1">
      <alignment horizontal="left" vertical="center"/>
    </xf>
    <xf numFmtId="0" fontId="0" fillId="20" borderId="16" xfId="0" applyFill="1" applyBorder="1" applyAlignment="1" applyProtection="1">
      <alignment vertical="center"/>
      <protection locked="0"/>
    </xf>
    <xf numFmtId="0" fontId="0" fillId="20" borderId="0" xfId="0" applyFill="1" applyBorder="1" applyAlignment="1" applyProtection="1">
      <alignment vertical="center"/>
      <protection locked="0"/>
    </xf>
    <xf numFmtId="0" fontId="0" fillId="13" borderId="2" xfId="0" applyFill="1" applyBorder="1" applyAlignment="1" applyProtection="1">
      <alignment horizontal="center" vertical="center"/>
      <protection locked="0"/>
    </xf>
    <xf numFmtId="0" fontId="17" fillId="20" borderId="3" xfId="0" applyFont="1" applyFill="1" applyBorder="1" applyAlignment="1" applyProtection="1">
      <alignment horizontal="center" vertical="center"/>
      <protection locked="0"/>
    </xf>
    <xf numFmtId="0" fontId="17" fillId="20" borderId="9" xfId="0" applyFont="1" applyFill="1" applyBorder="1" applyAlignment="1" applyProtection="1">
      <alignment horizontal="center" vertical="center"/>
      <protection locked="0"/>
    </xf>
    <xf numFmtId="0" fontId="17" fillId="20" borderId="37" xfId="0" applyFont="1" applyFill="1" applyBorder="1" applyAlignment="1" applyProtection="1">
      <alignment horizontal="center" vertical="center"/>
      <protection locked="0"/>
    </xf>
    <xf numFmtId="0" fontId="34" fillId="2" borderId="2" xfId="0" applyFont="1" applyFill="1" applyBorder="1" applyAlignment="1" applyProtection="1">
      <alignment horizontal="center" vertical="center"/>
      <protection locked="0"/>
    </xf>
    <xf numFmtId="0" fontId="15" fillId="19" borderId="0" xfId="0" applyFont="1" applyFill="1" applyAlignment="1">
      <alignment horizontal="center" vertical="center"/>
    </xf>
    <xf numFmtId="0" fontId="17" fillId="20" borderId="34" xfId="0" applyFont="1" applyFill="1" applyBorder="1" applyAlignment="1">
      <alignment vertical="center"/>
    </xf>
    <xf numFmtId="0" fontId="17" fillId="20" borderId="35" xfId="0" applyFont="1" applyFill="1" applyBorder="1" applyAlignment="1">
      <alignment vertical="center"/>
    </xf>
    <xf numFmtId="0" fontId="17" fillId="20" borderId="36" xfId="0" applyFont="1" applyFill="1" applyBorder="1" applyAlignment="1">
      <alignment vertical="center"/>
    </xf>
    <xf numFmtId="0" fontId="32" fillId="22" borderId="18" xfId="0" applyFont="1" applyFill="1" applyBorder="1" applyAlignment="1">
      <alignment horizontal="left" vertical="center"/>
    </xf>
    <xf numFmtId="0" fontId="32" fillId="22" borderId="9" xfId="0" applyFont="1" applyFill="1" applyBorder="1" applyAlignment="1">
      <alignment horizontal="left" vertical="center"/>
    </xf>
    <xf numFmtId="0" fontId="32" fillId="22" borderId="19" xfId="0" applyFont="1" applyFill="1" applyBorder="1" applyAlignment="1">
      <alignment horizontal="left" vertical="center"/>
    </xf>
    <xf numFmtId="0" fontId="17" fillId="20" borderId="25" xfId="0" applyFont="1" applyFill="1" applyBorder="1" applyAlignment="1">
      <alignment horizontal="center" vertical="center"/>
    </xf>
    <xf numFmtId="0" fontId="17" fillId="20" borderId="4" xfId="0" applyFont="1" applyFill="1" applyBorder="1" applyAlignment="1">
      <alignment horizontal="center" vertical="center"/>
    </xf>
    <xf numFmtId="0" fontId="17" fillId="20" borderId="20" xfId="0" applyFont="1" applyFill="1" applyBorder="1" applyAlignment="1">
      <alignment horizontal="center" vertical="center"/>
    </xf>
    <xf numFmtId="0" fontId="0" fillId="20" borderId="23" xfId="0" applyFill="1" applyBorder="1" applyAlignment="1" applyProtection="1">
      <alignment vertical="center"/>
      <protection locked="0"/>
    </xf>
    <xf numFmtId="0" fontId="0" fillId="20" borderId="30" xfId="0" applyFill="1" applyBorder="1" applyAlignment="1" applyProtection="1">
      <alignment vertical="center"/>
      <protection locked="0"/>
    </xf>
    <xf numFmtId="0" fontId="17" fillId="20" borderId="16" xfId="0" applyFont="1" applyFill="1" applyBorder="1" applyAlignment="1" applyProtection="1">
      <alignment vertical="center"/>
      <protection locked="0"/>
    </xf>
    <xf numFmtId="0" fontId="17" fillId="20" borderId="0" xfId="0" applyFont="1" applyFill="1" applyBorder="1" applyAlignment="1" applyProtection="1">
      <alignment vertical="center"/>
      <protection locked="0"/>
    </xf>
    <xf numFmtId="0" fontId="52" fillId="20" borderId="2" xfId="0" applyFont="1" applyFill="1" applyBorder="1" applyAlignment="1">
      <alignment vertical="center"/>
    </xf>
    <xf numFmtId="0" fontId="52" fillId="20" borderId="18" xfId="0" applyFont="1" applyFill="1" applyBorder="1" applyAlignment="1">
      <alignment vertical="center"/>
    </xf>
    <xf numFmtId="0" fontId="52" fillId="20" borderId="21" xfId="0" applyFont="1" applyFill="1" applyBorder="1" applyAlignment="1">
      <alignment vertical="center"/>
    </xf>
    <xf numFmtId="0" fontId="37" fillId="20" borderId="2" xfId="0" applyFont="1" applyFill="1" applyBorder="1" applyAlignment="1">
      <alignment vertical="center"/>
    </xf>
    <xf numFmtId="0" fontId="53" fillId="20" borderId="2" xfId="0" applyFont="1" applyFill="1" applyBorder="1" applyAlignment="1">
      <alignment vertical="center"/>
    </xf>
    <xf numFmtId="0" fontId="53" fillId="20" borderId="18" xfId="0" applyFont="1" applyFill="1" applyBorder="1" applyAlignment="1">
      <alignment vertical="center"/>
    </xf>
    <xf numFmtId="14" fontId="0" fillId="3" borderId="3" xfId="0" applyNumberFormat="1" applyFill="1" applyBorder="1" applyAlignment="1" applyProtection="1">
      <alignment horizontal="left" vertical="center"/>
      <protection locked="0"/>
    </xf>
    <xf numFmtId="0" fontId="38" fillId="20" borderId="21" xfId="0" applyFont="1" applyFill="1" applyBorder="1" applyAlignment="1">
      <alignment vertical="center"/>
    </xf>
    <xf numFmtId="9" fontId="5" fillId="20" borderId="6" xfId="1" applyFont="1" applyFill="1" applyBorder="1" applyAlignment="1" applyProtection="1">
      <alignment horizontal="center" vertical="center"/>
    </xf>
    <xf numFmtId="0" fontId="52" fillId="20" borderId="16" xfId="0" applyFont="1" applyFill="1" applyBorder="1" applyAlignment="1">
      <alignment vertical="center"/>
    </xf>
    <xf numFmtId="3" fontId="0" fillId="20" borderId="9" xfId="0" applyNumberFormat="1" applyFill="1" applyBorder="1" applyAlignment="1">
      <alignment vertical="center"/>
    </xf>
    <xf numFmtId="3" fontId="0" fillId="20" borderId="0" xfId="0" applyNumberFormat="1" applyFill="1" applyBorder="1" applyAlignment="1" applyProtection="1">
      <alignment horizontal="center" vertical="center"/>
      <protection locked="0"/>
    </xf>
    <xf numFmtId="3" fontId="0" fillId="3" borderId="0" xfId="0" applyNumberFormat="1" applyFill="1" applyBorder="1" applyAlignment="1" applyProtection="1">
      <alignment vertical="center"/>
      <protection locked="0"/>
    </xf>
    <xf numFmtId="3" fontId="0" fillId="2" borderId="6" xfId="0" applyNumberFormat="1" applyFill="1" applyBorder="1" applyAlignment="1" applyProtection="1">
      <alignment vertical="center"/>
      <protection locked="0"/>
    </xf>
    <xf numFmtId="3" fontId="5" fillId="2" borderId="6" xfId="0" applyNumberFormat="1" applyFont="1" applyFill="1" applyBorder="1" applyAlignment="1">
      <alignment vertical="center"/>
    </xf>
    <xf numFmtId="3" fontId="0" fillId="20" borderId="0" xfId="0" applyNumberFormat="1" applyFill="1" applyBorder="1" applyAlignment="1">
      <alignment vertical="center"/>
    </xf>
  </cellXfs>
  <cellStyles count="4">
    <cellStyle name="Millares" xfId="2" builtinId="3"/>
    <cellStyle name="Normal" xfId="0" builtinId="0"/>
    <cellStyle name="Normal 2" xfId="3"/>
    <cellStyle name="Porcentaje" xfId="1" builtinId="5"/>
  </cellStyles>
  <dxfs count="32">
    <dxf>
      <fill>
        <patternFill>
          <bgColor rgb="FFFF4F4F"/>
        </patternFill>
      </fill>
    </dxf>
    <dxf>
      <fill>
        <patternFill>
          <bgColor theme="6" tint="0.39994506668294322"/>
        </patternFill>
      </fill>
    </dxf>
    <dxf>
      <fill>
        <patternFill>
          <bgColor rgb="FFFF4F4F"/>
        </patternFill>
      </fill>
    </dxf>
    <dxf>
      <fill>
        <patternFill>
          <bgColor theme="6" tint="0.39994506668294322"/>
        </patternFill>
      </fill>
    </dxf>
    <dxf>
      <fill>
        <patternFill>
          <bgColor rgb="FFFF4F4F"/>
        </patternFill>
      </fill>
    </dxf>
    <dxf>
      <fill>
        <patternFill>
          <bgColor theme="6" tint="0.39994506668294322"/>
        </patternFill>
      </fill>
    </dxf>
    <dxf>
      <fill>
        <patternFill>
          <bgColor rgb="FFFF4F4F"/>
        </patternFill>
      </fill>
    </dxf>
    <dxf>
      <fill>
        <patternFill>
          <bgColor theme="6" tint="0.39994506668294322"/>
        </patternFill>
      </fill>
    </dxf>
    <dxf>
      <fill>
        <patternFill>
          <bgColor rgb="FFFF4F4F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4F4F"/>
        </patternFill>
      </fill>
    </dxf>
    <dxf>
      <fill>
        <patternFill>
          <bgColor theme="6" tint="0.39994506668294322"/>
        </patternFill>
      </fill>
    </dxf>
    <dxf>
      <fill>
        <patternFill>
          <bgColor rgb="FFFF4F4F"/>
        </patternFill>
      </fill>
    </dxf>
    <dxf>
      <fill>
        <patternFill>
          <bgColor theme="6" tint="0.39994506668294322"/>
        </patternFill>
      </fill>
    </dxf>
    <dxf>
      <fill>
        <patternFill>
          <bgColor rgb="FFFF4F4F"/>
        </patternFill>
      </fill>
    </dxf>
    <dxf>
      <fill>
        <patternFill>
          <bgColor rgb="FFFF4F4F"/>
        </patternFill>
      </fill>
    </dxf>
    <dxf>
      <fill>
        <patternFill>
          <bgColor theme="6" tint="0.39994506668294322"/>
        </patternFill>
      </fill>
    </dxf>
    <dxf>
      <fill>
        <patternFill>
          <bgColor rgb="FFFF4F4F"/>
        </patternFill>
      </fill>
    </dxf>
    <dxf>
      <fill>
        <patternFill>
          <bgColor theme="6" tint="0.39994506668294322"/>
        </patternFill>
      </fill>
    </dxf>
    <dxf>
      <fill>
        <patternFill>
          <bgColor rgb="FFFF4F4F"/>
        </patternFill>
      </fill>
    </dxf>
    <dxf>
      <fill>
        <patternFill>
          <bgColor theme="6" tint="0.39994506668294322"/>
        </patternFill>
      </fill>
    </dxf>
    <dxf>
      <fill>
        <patternFill>
          <bgColor rgb="FFFF4F4F"/>
        </patternFill>
      </fill>
    </dxf>
    <dxf>
      <fill>
        <patternFill>
          <bgColor theme="6" tint="0.39994506668294322"/>
        </patternFill>
      </fill>
    </dxf>
    <dxf>
      <fill>
        <patternFill>
          <bgColor rgb="FFFF4F4F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4F4F"/>
        </patternFill>
      </fill>
    </dxf>
    <dxf>
      <fill>
        <patternFill>
          <bgColor theme="6" tint="0.39994506668294322"/>
        </patternFill>
      </fill>
    </dxf>
    <dxf>
      <fill>
        <patternFill>
          <bgColor rgb="FFFF4F4F"/>
        </patternFill>
      </fill>
    </dxf>
    <dxf>
      <fill>
        <patternFill>
          <bgColor theme="6" tint="0.39994506668294322"/>
        </patternFill>
      </fill>
    </dxf>
    <dxf>
      <fill>
        <patternFill>
          <bgColor rgb="FFFF4F4F"/>
        </patternFill>
      </fill>
    </dxf>
  </dxfs>
  <tableStyles count="0" defaultTableStyle="TableStyleMedium2" defaultPivotStyle="PivotStyleLight16"/>
  <colors>
    <mruColors>
      <color rgb="FF0099FF"/>
      <color rgb="FF000066"/>
      <color rgb="FFFF4F4F"/>
      <color rgb="FFCCECFF"/>
      <color rgb="FFD2F7FE"/>
      <color rgb="FF0033CC"/>
      <color rgb="FF3366CC"/>
      <color rgb="FF33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>
    <tabColor rgb="FFFFFF00"/>
    <pageSetUpPr fitToPage="1"/>
  </sheetPr>
  <dimension ref="A1:AK208"/>
  <sheetViews>
    <sheetView tabSelected="1" topLeftCell="A34" zoomScale="90" zoomScaleNormal="90" workbookViewId="0">
      <selection activeCell="I57" sqref="I57"/>
    </sheetView>
  </sheetViews>
  <sheetFormatPr baseColWidth="10" defaultColWidth="11.42578125" defaultRowHeight="15" outlineLevelRow="1" outlineLevelCol="1" x14ac:dyDescent="0.25"/>
  <cols>
    <col min="1" max="1" width="30.140625" style="97" customWidth="1"/>
    <col min="2" max="2" width="21.42578125" style="97" customWidth="1"/>
    <col min="3" max="3" width="16.5703125" style="97" customWidth="1"/>
    <col min="4" max="4" width="14.85546875" style="97" customWidth="1"/>
    <col min="5" max="5" width="17.140625" style="97" customWidth="1"/>
    <col min="6" max="6" width="18.85546875" style="97" customWidth="1"/>
    <col min="7" max="7" width="17.28515625" style="97" customWidth="1"/>
    <col min="8" max="8" width="16.42578125" style="97" customWidth="1"/>
    <col min="9" max="9" width="13.85546875" style="97" customWidth="1"/>
    <col min="10" max="10" width="11.42578125" style="97" hidden="1" customWidth="1"/>
    <col min="11" max="11" width="22.7109375" style="98" hidden="1" customWidth="1" outlineLevel="1"/>
    <col min="12" max="12" width="27.42578125" style="98" hidden="1" customWidth="1" outlineLevel="1"/>
    <col min="13" max="13" width="11.42578125" style="98" hidden="1" customWidth="1" outlineLevel="1"/>
    <col min="14" max="14" width="17" style="98" hidden="1" customWidth="1" outlineLevel="1"/>
    <col min="15" max="15" width="13.140625" style="98" hidden="1" customWidth="1" outlineLevel="1"/>
    <col min="16" max="16" width="11.42578125" style="98" hidden="1" customWidth="1" outlineLevel="1"/>
    <col min="17" max="17" width="15.42578125" style="98" hidden="1" customWidth="1" outlineLevel="1"/>
    <col min="18" max="18" width="11.42578125" style="97" hidden="1" customWidth="1" outlineLevel="1"/>
    <col min="19" max="19" width="15.7109375" style="97" hidden="1" customWidth="1" collapsed="1"/>
    <col min="20" max="22" width="11.42578125" style="97" hidden="1" customWidth="1"/>
    <col min="23" max="23" width="25.28515625" style="122" hidden="1" customWidth="1"/>
    <col min="24" max="24" width="24.5703125" style="122" hidden="1" customWidth="1"/>
    <col min="25" max="25" width="13.7109375" style="122" hidden="1" customWidth="1"/>
    <col min="26" max="27" width="11.42578125" style="97" hidden="1" customWidth="1"/>
    <col min="28" max="31" width="11.42578125" style="97" customWidth="1"/>
    <col min="32" max="16384" width="11.42578125" style="97"/>
  </cols>
  <sheetData>
    <row r="1" spans="1:21" ht="16.5" thickBot="1" x14ac:dyDescent="0.3">
      <c r="A1" s="529" t="s">
        <v>266</v>
      </c>
      <c r="B1" s="530"/>
      <c r="C1" s="530"/>
      <c r="D1" s="531"/>
    </row>
    <row r="2" spans="1:21" x14ac:dyDescent="0.25">
      <c r="A2" s="228" t="s">
        <v>142</v>
      </c>
      <c r="B2" s="524"/>
      <c r="C2" s="524"/>
      <c r="D2" s="524"/>
      <c r="E2" s="122"/>
      <c r="F2" s="122"/>
      <c r="G2" s="122"/>
      <c r="H2" s="122"/>
      <c r="I2" s="122"/>
      <c r="J2" s="122"/>
      <c r="L2" s="97"/>
      <c r="Q2" s="97"/>
      <c r="S2" s="122"/>
      <c r="T2" s="122"/>
      <c r="U2" s="122"/>
    </row>
    <row r="3" spans="1:21" ht="8.25" customHeight="1" x14ac:dyDescent="0.25">
      <c r="A3" s="534"/>
      <c r="B3" s="534"/>
      <c r="C3" s="534"/>
      <c r="D3" s="534"/>
      <c r="E3" s="122"/>
      <c r="F3" s="122"/>
      <c r="G3" s="122"/>
      <c r="H3" s="122"/>
      <c r="I3" s="122"/>
      <c r="J3" s="122"/>
      <c r="L3" s="97"/>
      <c r="M3" s="98" t="s">
        <v>68</v>
      </c>
      <c r="N3" s="98" t="s">
        <v>69</v>
      </c>
      <c r="O3" s="98" t="s">
        <v>122</v>
      </c>
      <c r="Q3" s="97"/>
      <c r="S3" s="122"/>
      <c r="T3" s="122"/>
      <c r="U3" s="122"/>
    </row>
    <row r="4" spans="1:21" x14ac:dyDescent="0.25">
      <c r="A4" s="539" t="s">
        <v>0</v>
      </c>
      <c r="B4" s="539"/>
      <c r="C4" s="539"/>
      <c r="D4" s="539"/>
      <c r="E4" s="122"/>
      <c r="F4" s="122"/>
      <c r="G4" s="122"/>
      <c r="H4" s="122"/>
      <c r="I4" s="122"/>
      <c r="J4" s="122"/>
      <c r="L4" s="97" t="s">
        <v>6</v>
      </c>
      <c r="M4" s="317">
        <v>3.2000000000000001E-2</v>
      </c>
      <c r="N4" s="317">
        <v>2.4E-2</v>
      </c>
      <c r="O4" s="317">
        <v>7.0000000000000001E-3</v>
      </c>
      <c r="Q4" s="97"/>
      <c r="S4" s="122"/>
      <c r="T4" s="122"/>
      <c r="U4" s="122"/>
    </row>
    <row r="5" spans="1:21" ht="13.5" customHeight="1" x14ac:dyDescent="0.25">
      <c r="A5" s="535"/>
      <c r="B5" s="535"/>
      <c r="C5" s="535"/>
      <c r="D5" s="535"/>
      <c r="E5" s="122"/>
      <c r="F5" s="122"/>
      <c r="G5" s="122"/>
      <c r="H5" s="122"/>
      <c r="I5" s="122"/>
      <c r="J5" s="122"/>
      <c r="L5" s="97" t="s">
        <v>7</v>
      </c>
      <c r="M5" s="317">
        <v>3.2000000000000001E-2</v>
      </c>
      <c r="N5" s="317">
        <v>2.4E-2</v>
      </c>
      <c r="O5" s="317">
        <v>6.0000000000000001E-3</v>
      </c>
      <c r="Q5" s="97"/>
      <c r="S5" s="122"/>
      <c r="T5" s="122"/>
      <c r="U5" s="122"/>
    </row>
    <row r="6" spans="1:21" x14ac:dyDescent="0.25">
      <c r="A6" s="621" t="s">
        <v>24</v>
      </c>
      <c r="B6" s="263" t="s">
        <v>211</v>
      </c>
      <c r="C6" s="621" t="s">
        <v>26</v>
      </c>
      <c r="D6" s="457">
        <v>6.86</v>
      </c>
      <c r="E6" s="122"/>
      <c r="F6" s="122"/>
      <c r="G6" s="122"/>
      <c r="H6" s="122"/>
      <c r="I6" s="122"/>
      <c r="J6" s="122" t="s">
        <v>319</v>
      </c>
      <c r="L6" s="97" t="s">
        <v>1</v>
      </c>
      <c r="M6" s="317">
        <v>3.2000000000000001E-2</v>
      </c>
      <c r="N6" s="317">
        <v>2.4E-2</v>
      </c>
      <c r="O6" s="317">
        <v>6.0000000000000001E-3</v>
      </c>
      <c r="Q6" s="97"/>
      <c r="S6" s="122"/>
      <c r="T6" s="122"/>
      <c r="U6" s="122"/>
    </row>
    <row r="7" spans="1:21" x14ac:dyDescent="0.25">
      <c r="A7" s="621" t="s">
        <v>25</v>
      </c>
      <c r="B7" s="263" t="s">
        <v>211</v>
      </c>
      <c r="C7" s="621" t="s">
        <v>296</v>
      </c>
      <c r="D7" s="458">
        <v>44504</v>
      </c>
      <c r="E7" s="122"/>
      <c r="F7" s="122"/>
      <c r="G7" s="122"/>
      <c r="H7" s="122"/>
      <c r="I7" s="122"/>
      <c r="J7" s="122" t="s">
        <v>263</v>
      </c>
      <c r="L7" s="97"/>
      <c r="Q7" s="97"/>
      <c r="S7" s="122"/>
      <c r="T7" s="122"/>
      <c r="U7" s="122"/>
    </row>
    <row r="8" spans="1:21" x14ac:dyDescent="0.25">
      <c r="A8" s="621" t="s">
        <v>65</v>
      </c>
      <c r="B8" s="263" t="s">
        <v>9</v>
      </c>
      <c r="C8" s="621" t="s">
        <v>138</v>
      </c>
      <c r="D8" s="263" t="s">
        <v>139</v>
      </c>
      <c r="E8" s="122"/>
      <c r="F8" s="122"/>
      <c r="G8" s="122"/>
      <c r="H8" s="122"/>
      <c r="I8" s="122"/>
      <c r="J8" s="122"/>
      <c r="L8" s="97"/>
      <c r="Q8" s="97"/>
      <c r="S8" s="122"/>
      <c r="T8" s="122"/>
      <c r="U8" s="122"/>
    </row>
    <row r="9" spans="1:21" x14ac:dyDescent="0.25">
      <c r="A9" s="625" t="s">
        <v>131</v>
      </c>
      <c r="B9" s="263" t="s">
        <v>212</v>
      </c>
      <c r="C9" s="624" t="s">
        <v>311</v>
      </c>
      <c r="D9" s="458">
        <v>24963</v>
      </c>
      <c r="E9" s="122"/>
      <c r="F9" s="122"/>
      <c r="G9" s="122"/>
      <c r="H9" s="122"/>
      <c r="I9" s="122"/>
      <c r="J9" s="122"/>
      <c r="Q9" s="97"/>
      <c r="S9" s="122"/>
      <c r="T9" s="122"/>
      <c r="U9" s="122"/>
    </row>
    <row r="10" spans="1:21" x14ac:dyDescent="0.25">
      <c r="A10" s="621" t="s">
        <v>262</v>
      </c>
      <c r="B10" s="263" t="s">
        <v>263</v>
      </c>
      <c r="C10" s="624" t="s">
        <v>312</v>
      </c>
      <c r="D10" s="459">
        <v>25689</v>
      </c>
      <c r="E10" s="122"/>
      <c r="F10" s="122"/>
      <c r="G10" s="122"/>
      <c r="H10" s="122"/>
      <c r="I10" s="122"/>
      <c r="J10" s="122"/>
      <c r="L10" s="97" t="s">
        <v>213</v>
      </c>
      <c r="Q10" s="97"/>
      <c r="S10" s="122"/>
      <c r="T10" s="122"/>
      <c r="U10" s="122"/>
    </row>
    <row r="11" spans="1:21" x14ac:dyDescent="0.25">
      <c r="A11" s="621"/>
      <c r="B11" s="263"/>
      <c r="C11" s="624"/>
      <c r="D11" s="627"/>
      <c r="E11" s="122"/>
      <c r="F11" s="122"/>
      <c r="G11" s="122"/>
      <c r="H11" s="122"/>
      <c r="I11" s="122"/>
      <c r="J11" s="122"/>
      <c r="L11" s="97"/>
      <c r="Q11" s="97"/>
      <c r="S11" s="122"/>
      <c r="T11" s="122"/>
      <c r="U11" s="122"/>
    </row>
    <row r="12" spans="1:21" x14ac:dyDescent="0.25">
      <c r="A12" s="621"/>
      <c r="B12" s="263"/>
      <c r="C12" s="624"/>
      <c r="D12" s="627"/>
      <c r="E12" s="122"/>
      <c r="F12" s="122"/>
      <c r="G12" s="122"/>
      <c r="H12" s="122"/>
      <c r="I12" s="122"/>
      <c r="J12" s="122"/>
      <c r="L12" s="97"/>
      <c r="Q12" s="97"/>
      <c r="S12" s="122"/>
      <c r="T12" s="122"/>
      <c r="U12" s="122"/>
    </row>
    <row r="13" spans="1:21" ht="13.5" customHeight="1" x14ac:dyDescent="0.25">
      <c r="A13" s="230"/>
      <c r="B13" s="230"/>
      <c r="C13" s="308"/>
      <c r="D13" s="434"/>
      <c r="E13" s="122"/>
      <c r="F13" s="122"/>
      <c r="G13" s="122"/>
      <c r="H13" s="122"/>
      <c r="I13" s="122"/>
      <c r="J13" s="122"/>
      <c r="L13" s="318">
        <v>0.15</v>
      </c>
      <c r="Q13" s="97"/>
      <c r="S13" s="122"/>
      <c r="T13" s="122"/>
      <c r="U13" s="122"/>
    </row>
    <row r="14" spans="1:21" x14ac:dyDescent="0.25">
      <c r="A14" s="539" t="s">
        <v>5</v>
      </c>
      <c r="B14" s="539"/>
      <c r="C14" s="539"/>
      <c r="D14" s="539"/>
      <c r="E14" s="122"/>
      <c r="F14" s="122"/>
      <c r="G14" s="122"/>
      <c r="H14" s="122"/>
      <c r="I14" s="122"/>
      <c r="L14" s="97" t="s">
        <v>212</v>
      </c>
      <c r="Q14" s="97" t="s">
        <v>137</v>
      </c>
      <c r="S14" s="122"/>
      <c r="T14" s="122"/>
      <c r="U14" s="122"/>
    </row>
    <row r="15" spans="1:21" x14ac:dyDescent="0.25">
      <c r="A15" s="421" t="s">
        <v>22</v>
      </c>
      <c r="B15" s="421"/>
      <c r="C15" s="426" t="s">
        <v>4</v>
      </c>
      <c r="D15" s="426" t="s">
        <v>29</v>
      </c>
      <c r="E15" s="122"/>
      <c r="F15" s="122"/>
      <c r="G15" s="122"/>
      <c r="H15" s="122"/>
      <c r="I15" s="122"/>
      <c r="L15" s="97" t="s">
        <v>211</v>
      </c>
      <c r="Q15" s="97"/>
      <c r="S15" s="122"/>
      <c r="T15" s="122"/>
      <c r="U15" s="122"/>
    </row>
    <row r="16" spans="1:21" x14ac:dyDescent="0.25">
      <c r="A16" s="622" t="s">
        <v>313</v>
      </c>
      <c r="B16" s="240">
        <f>C16+D16</f>
        <v>0</v>
      </c>
      <c r="C16" s="250"/>
      <c r="D16" s="250"/>
      <c r="E16" s="122"/>
      <c r="F16" s="122"/>
      <c r="G16" s="122"/>
      <c r="H16" s="122"/>
      <c r="I16" s="122"/>
      <c r="J16" s="122"/>
      <c r="S16" s="122"/>
      <c r="T16" s="122"/>
      <c r="U16" s="122"/>
    </row>
    <row r="17" spans="1:24" x14ac:dyDescent="0.25">
      <c r="A17" s="622" t="s">
        <v>147</v>
      </c>
      <c r="B17" s="240">
        <f t="shared" ref="B17:B19" si="0">C17+D17</f>
        <v>0</v>
      </c>
      <c r="C17" s="250"/>
      <c r="D17" s="250"/>
      <c r="E17" s="122"/>
      <c r="F17" s="122"/>
      <c r="G17" s="122"/>
      <c r="H17" s="122"/>
      <c r="I17" s="122"/>
      <c r="J17" s="122"/>
      <c r="Q17" s="97"/>
      <c r="S17" s="122"/>
      <c r="T17" s="122"/>
      <c r="U17" s="122"/>
    </row>
    <row r="18" spans="1:24" x14ac:dyDescent="0.25">
      <c r="A18" s="622" t="s">
        <v>146</v>
      </c>
      <c r="B18" s="240">
        <f t="shared" si="0"/>
        <v>0</v>
      </c>
      <c r="C18" s="250"/>
      <c r="D18" s="250"/>
      <c r="E18" s="122"/>
      <c r="F18" s="122"/>
      <c r="G18" s="122"/>
      <c r="H18" s="122"/>
      <c r="I18" s="122"/>
      <c r="J18" s="122"/>
      <c r="O18" s="98" t="s">
        <v>139</v>
      </c>
      <c r="Q18" s="97"/>
      <c r="S18" s="122"/>
      <c r="T18" s="122"/>
      <c r="U18" s="122"/>
    </row>
    <row r="19" spans="1:24" ht="13.5" customHeight="1" x14ac:dyDescent="0.25">
      <c r="A19" s="622" t="s">
        <v>314</v>
      </c>
      <c r="B19" s="240">
        <f t="shared" si="0"/>
        <v>10000</v>
      </c>
      <c r="C19" s="250">
        <v>10000</v>
      </c>
      <c r="D19" s="250"/>
      <c r="E19" s="122"/>
      <c r="F19" s="122"/>
      <c r="G19" s="122"/>
      <c r="H19" s="122"/>
      <c r="I19" s="122"/>
      <c r="J19" s="122"/>
      <c r="K19" s="98" t="s">
        <v>260</v>
      </c>
      <c r="L19" s="98">
        <f>((C16*0.82)+(C17/12)+(C18/12)+C19-C20)/D6</f>
        <v>1457.7259475218659</v>
      </c>
      <c r="M19" s="98" t="s">
        <v>212</v>
      </c>
      <c r="N19" s="98" t="s">
        <v>9</v>
      </c>
      <c r="O19" s="98" t="s">
        <v>200</v>
      </c>
      <c r="Q19" s="97"/>
      <c r="S19" s="122"/>
      <c r="T19" s="122"/>
      <c r="U19" s="122"/>
    </row>
    <row r="20" spans="1:24" ht="11.25" customHeight="1" x14ac:dyDescent="0.25">
      <c r="A20" s="626" t="s">
        <v>123</v>
      </c>
      <c r="B20" s="427">
        <f>SUM(C20:D20)</f>
        <v>0</v>
      </c>
      <c r="C20" s="428">
        <v>0</v>
      </c>
      <c r="D20" s="428">
        <v>0</v>
      </c>
      <c r="E20" s="122"/>
      <c r="F20" s="122"/>
      <c r="G20" s="122"/>
      <c r="H20" s="122"/>
      <c r="I20" s="122"/>
      <c r="J20" s="122"/>
      <c r="M20" s="98" t="s">
        <v>211</v>
      </c>
      <c r="N20" s="98" t="s">
        <v>196</v>
      </c>
      <c r="O20" s="98" t="s">
        <v>135</v>
      </c>
      <c r="Q20" s="97"/>
      <c r="S20" s="122"/>
      <c r="T20" s="122"/>
      <c r="U20" s="122"/>
    </row>
    <row r="21" spans="1:24" x14ac:dyDescent="0.25">
      <c r="A21" s="256" t="s">
        <v>315</v>
      </c>
      <c r="B21" s="240">
        <f>((B16*0.82)+(B17/12)+(B18/12)+B19-B20)/D6</f>
        <v>1457.7259475218659</v>
      </c>
      <c r="C21" s="406" t="s">
        <v>171</v>
      </c>
      <c r="D21" s="240">
        <f>+B21*D6</f>
        <v>10000</v>
      </c>
      <c r="F21" s="122"/>
      <c r="G21" s="122"/>
      <c r="H21" s="122"/>
      <c r="I21" s="122"/>
      <c r="J21" s="122"/>
      <c r="K21" s="98" t="s">
        <v>261</v>
      </c>
      <c r="L21" s="98">
        <f>((D16*0.82)+(D17/12)+(D18/12)+D19-D20)/D6</f>
        <v>0</v>
      </c>
      <c r="O21" s="98" t="s">
        <v>140</v>
      </c>
      <c r="Q21" s="97"/>
      <c r="S21" s="122"/>
      <c r="T21" s="122"/>
      <c r="U21" s="122"/>
    </row>
    <row r="22" spans="1:24" x14ac:dyDescent="0.25">
      <c r="A22" s="311" t="s">
        <v>30</v>
      </c>
      <c r="B22" s="244">
        <f>IF(B8=CONFIG!A20,CONFIG!B20,
 IF(AND($B$8=CONFIG!$G$2,IF(ISERROR(VLOOKUP($D$8,CONFIG!H:H,1,FALSE)),FALSE,TRUE)),
 VLOOKUP($D$91,CONFIG!$A$2:$B$4,2,FALSE),
  IF(AND($B$8=CONFIG!$G$2,IF(ISERROR(VLOOKUP($D$8,CONFIG!J:J,1,FALSE)),FALSE,TRUE)),
  VLOOKUP($D$91,CONFIG!$A$2:$C$4,3,FALSE),
   IF(AND($B$8=CONFIG!$G$2,IF(ISERROR(VLOOKUP($D$8,CONFIG!J:J,1,FALSE)),FALSE,TRUE)),
   VLOOKUP($D$91,CONFIG!$A$2:$E$4,4,FALSE),
    IF(AND($B$8=CONFIG!$G$2,IF(ISERROR(VLOOKUP($D$8,CONFIG!J:J,1,FALSE)),FALSE,TRUE),$B$73=""),
    VLOOKUP($D$91,CONFIG!$A$2:$F$4,6,FALSE),"S/T")))))</f>
        <v>0.25</v>
      </c>
      <c r="C22" s="241"/>
      <c r="D22" s="230"/>
      <c r="E22" s="385"/>
      <c r="G22" s="122"/>
      <c r="H22" s="122"/>
      <c r="I22" s="122"/>
      <c r="J22" s="122"/>
      <c r="K22" s="456" t="s">
        <v>328</v>
      </c>
      <c r="L22" s="98">
        <f>IF(L19&gt;L21,L19,L21)</f>
        <v>1457.7259475218659</v>
      </c>
      <c r="O22" s="98" t="s">
        <v>136</v>
      </c>
      <c r="Q22" s="97"/>
      <c r="S22" s="122"/>
      <c r="T22" s="122"/>
      <c r="U22" s="122"/>
    </row>
    <row r="23" spans="1:24" x14ac:dyDescent="0.25">
      <c r="A23" s="311" t="s">
        <v>88</v>
      </c>
      <c r="B23" s="429">
        <f>B21*B22</f>
        <v>364.43148688046648</v>
      </c>
      <c r="C23" s="264" t="s">
        <v>95</v>
      </c>
      <c r="D23" s="240">
        <f>B23*D6</f>
        <v>2500</v>
      </c>
      <c r="F23" s="122"/>
      <c r="H23" s="122"/>
      <c r="I23" s="122"/>
      <c r="J23" s="122" t="s">
        <v>122</v>
      </c>
      <c r="K23" s="98">
        <f>+((E30+F30)*0.6%*0.56%)/$D$6</f>
        <v>0</v>
      </c>
      <c r="L23" s="97"/>
      <c r="M23" s="97"/>
      <c r="N23" s="97"/>
      <c r="O23" s="98" t="s">
        <v>145</v>
      </c>
      <c r="Q23" s="97"/>
      <c r="S23" s="122"/>
      <c r="T23" s="122"/>
      <c r="U23" s="122"/>
      <c r="X23" s="122" t="e">
        <f>IF(OR(IF(B63=$R$81,IF(LOOKUP(C60,P93:P94,R93:R94)="CALIFICA",IF(C60&gt;O64,"NO CALIFICA","CALIFICA")),LOOKUP(C60,P93:P94,R93:R94)),IF(B63=$R$82,IF(LOOKUP(C60,X93:X94,Z93:Z94)="CALIFICA",IF(C60&gt;O64,"NO CALIFICA","CALIFICA")),LOOKUP(C60,X93:X94,Z93:Z94))),IF(LOOKUP(C60,T93:T94,V93:V94)="CALIFICA",IF(C60&gt;O64,"NO CALIFICA","CALIFICA"),LOOKUP(C60,T93:T94,V93:V94)))</f>
        <v>#VALUE!</v>
      </c>
    </row>
    <row r="24" spans="1:24" x14ac:dyDescent="0.25">
      <c r="A24" s="311" t="s">
        <v>258</v>
      </c>
      <c r="B24" s="540" t="str">
        <f>IF(L22&lt;500,"BAJOS INGRESOS",IF(L22&lt;1000,"CONSUMO B",IF(L22&lt;1700,"CONSUMO A",IF(L22&lt;2500,"PREMIUM",IF(L22&lt;5000,"TOP PREMIUM","VIP")))))</f>
        <v>CONSUMO A</v>
      </c>
      <c r="C24" s="541"/>
      <c r="D24" s="230"/>
      <c r="E24" s="122"/>
      <c r="F24" s="122"/>
      <c r="G24" s="122"/>
      <c r="H24" s="122"/>
      <c r="I24" s="122"/>
      <c r="J24" s="122" t="s">
        <v>69</v>
      </c>
      <c r="K24" s="98">
        <f>+((E31+F31)*2.4%*3.49%)/$D$6</f>
        <v>0</v>
      </c>
      <c r="M24" s="97"/>
      <c r="N24" s="97"/>
      <c r="Q24" s="97"/>
      <c r="S24" s="122"/>
      <c r="T24" s="122"/>
      <c r="U24" s="122"/>
    </row>
    <row r="25" spans="1:24" x14ac:dyDescent="0.25">
      <c r="A25" s="628"/>
      <c r="B25" s="629"/>
      <c r="C25" s="503"/>
      <c r="D25" s="230"/>
      <c r="E25" s="122"/>
      <c r="F25" s="122"/>
      <c r="G25" s="122"/>
      <c r="H25" s="122"/>
      <c r="I25" s="122"/>
      <c r="J25" s="122"/>
      <c r="M25" s="97"/>
      <c r="N25" s="97"/>
      <c r="Q25" s="97"/>
      <c r="S25" s="122"/>
      <c r="T25" s="122"/>
      <c r="U25" s="122"/>
    </row>
    <row r="26" spans="1:24" x14ac:dyDescent="0.25">
      <c r="A26" s="628"/>
      <c r="B26" s="629"/>
      <c r="C26" s="503"/>
      <c r="D26" s="230"/>
      <c r="E26" s="122"/>
      <c r="F26" s="122"/>
      <c r="G26" s="122"/>
      <c r="H26" s="122"/>
      <c r="I26" s="122"/>
      <c r="J26" s="122"/>
      <c r="M26" s="97"/>
      <c r="N26" s="97"/>
      <c r="Q26" s="97"/>
      <c r="S26" s="122"/>
      <c r="T26" s="122"/>
      <c r="U26" s="122"/>
    </row>
    <row r="27" spans="1:24" x14ac:dyDescent="0.25">
      <c r="A27" s="628"/>
      <c r="B27" s="629"/>
      <c r="C27" s="503"/>
      <c r="D27" s="230"/>
      <c r="E27" s="122"/>
      <c r="F27" s="122"/>
      <c r="G27" s="122"/>
      <c r="H27" s="122"/>
      <c r="I27" s="122"/>
      <c r="J27" s="122"/>
      <c r="M27" s="97"/>
      <c r="N27" s="97"/>
      <c r="Q27" s="97"/>
      <c r="S27" s="122"/>
      <c r="T27" s="122"/>
      <c r="U27" s="122"/>
    </row>
    <row r="28" spans="1:24" ht="16.5" customHeight="1" thickBot="1" x14ac:dyDescent="0.3">
      <c r="A28" s="417"/>
      <c r="B28" s="409"/>
      <c r="C28" s="510" t="s">
        <v>317</v>
      </c>
      <c r="D28" s="510"/>
      <c r="E28" s="511" t="s">
        <v>318</v>
      </c>
      <c r="F28" s="511"/>
      <c r="G28" s="122"/>
      <c r="H28" s="122"/>
      <c r="I28" s="122"/>
      <c r="J28" s="122" t="s">
        <v>68</v>
      </c>
      <c r="K28" s="98">
        <f>+((E32+F32)*3.2%*2.3%)/$D$6</f>
        <v>0</v>
      </c>
      <c r="M28" s="98" t="s">
        <v>67</v>
      </c>
      <c r="Q28" s="97"/>
      <c r="S28" s="122"/>
      <c r="T28" s="122"/>
      <c r="U28" s="122"/>
      <c r="W28" s="122" t="s">
        <v>285</v>
      </c>
      <c r="X28" s="122" t="str">
        <f>IF(B63=$R$81,IF(LOOKUP(C60,P93:P94,R93:R94)="CALIFICA",IF(C60&gt;O64,"NO CALIFICA","CALIFICA")),LOOKUP(C60,P93:P94,R93:R94))</f>
        <v>MTO MÍNIMO</v>
      </c>
    </row>
    <row r="29" spans="1:24" x14ac:dyDescent="0.25">
      <c r="A29" s="231" t="s">
        <v>19</v>
      </c>
      <c r="B29" s="232" t="s">
        <v>12</v>
      </c>
      <c r="C29" s="233" t="s">
        <v>4</v>
      </c>
      <c r="D29" s="426" t="s">
        <v>29</v>
      </c>
      <c r="E29" s="233" t="s">
        <v>4</v>
      </c>
      <c r="F29" s="426" t="s">
        <v>29</v>
      </c>
      <c r="G29" s="122"/>
      <c r="H29" s="122"/>
      <c r="I29" s="122"/>
      <c r="J29" s="122" t="s">
        <v>327</v>
      </c>
      <c r="K29" s="98">
        <f>+((E35+F35)*2.4%*5.28%)/$D$6</f>
        <v>0</v>
      </c>
      <c r="M29" s="321" t="s">
        <v>66</v>
      </c>
      <c r="N29" s="322" t="s">
        <v>6</v>
      </c>
      <c r="O29" s="322" t="s">
        <v>1</v>
      </c>
      <c r="P29" s="322" t="s">
        <v>7</v>
      </c>
      <c r="Q29" s="323" t="s">
        <v>98</v>
      </c>
      <c r="R29" s="98" t="s">
        <v>141</v>
      </c>
      <c r="S29" s="122"/>
      <c r="T29" s="122"/>
      <c r="U29" s="122"/>
      <c r="W29" s="122" t="s">
        <v>94</v>
      </c>
      <c r="X29" s="122" t="b">
        <f>IF(B63=$R$82,IF(LOOKUP(C60,X93:X94,Z93:Z94)="CALIFICA",IF(C60&gt;O64,"NO CALIFICA","CALIFICA")),LOOKUP(C60,X93:X94,Z93:Z94))</f>
        <v>0</v>
      </c>
    </row>
    <row r="30" spans="1:24" x14ac:dyDescent="0.25">
      <c r="A30" s="623" t="s">
        <v>10</v>
      </c>
      <c r="B30" s="247">
        <f>(((IF(B7="SI",(C30+D30)*$O$6,IF(B6="SI",(C30+D30)*$O$5,(C30+D30)*$O$4)))+((E30+F30)*0.6%*0.56%)))/$D$6</f>
        <v>0</v>
      </c>
      <c r="C30" s="250">
        <v>0</v>
      </c>
      <c r="D30" s="250"/>
      <c r="E30" s="250"/>
      <c r="F30" s="250"/>
      <c r="G30" s="122"/>
      <c r="H30" s="122"/>
      <c r="I30" s="122"/>
      <c r="J30" s="122"/>
      <c r="L30" s="98">
        <v>0</v>
      </c>
      <c r="M30" s="325">
        <v>880</v>
      </c>
      <c r="N30" s="111">
        <v>0.25</v>
      </c>
      <c r="O30" s="111">
        <v>0.25</v>
      </c>
      <c r="P30" s="111">
        <v>0.3</v>
      </c>
      <c r="Q30" s="326">
        <v>0.35</v>
      </c>
      <c r="S30" s="122"/>
      <c r="T30" s="122"/>
      <c r="U30" s="122"/>
      <c r="W30" s="122" t="s">
        <v>251</v>
      </c>
      <c r="X30" s="122" t="b">
        <f>IF(B63=$R$83,IF(LOOKUP(C60,T93:T94,V93:V94)="CALIFICA",IF(C60&gt;O64,"NO CALIFICA","CALIFICA"),LOOKUP(C60,T93:T94,V93:V94)))</f>
        <v>0</v>
      </c>
    </row>
    <row r="31" spans="1:24" x14ac:dyDescent="0.25">
      <c r="A31" s="622" t="s">
        <v>9</v>
      </c>
      <c r="B31" s="248">
        <f>((IF(B7="SI",(C31+D31)*$N$6,IF(B6="SI",(C31+D31)*$N$5,(C31+D31)*$N$4)))+(((E31+F31)*2.4%*3.49%)))/$D$6</f>
        <v>0</v>
      </c>
      <c r="C31" s="250">
        <v>0</v>
      </c>
      <c r="D31" s="250"/>
      <c r="E31" s="250"/>
      <c r="F31" s="250"/>
      <c r="G31" s="122"/>
      <c r="H31" s="122"/>
      <c r="I31" s="122"/>
      <c r="J31" s="122"/>
      <c r="K31" s="98" t="s">
        <v>329</v>
      </c>
      <c r="L31" s="98">
        <v>881</v>
      </c>
      <c r="M31" s="325">
        <v>1770</v>
      </c>
      <c r="N31" s="111">
        <v>0.25</v>
      </c>
      <c r="O31" s="111">
        <v>0.28000000000000003</v>
      </c>
      <c r="P31" s="111">
        <v>0.3</v>
      </c>
      <c r="Q31" s="326">
        <v>0.35</v>
      </c>
      <c r="S31" s="122"/>
      <c r="T31" s="122"/>
      <c r="U31" s="122"/>
    </row>
    <row r="32" spans="1:24" x14ac:dyDescent="0.25">
      <c r="A32" s="622" t="s">
        <v>20</v>
      </c>
      <c r="B32" s="248">
        <f>((IF(B7="SI",(C32+D32)*$M$6,IF(B6="SI",(C32+D32)*$M$5,(C32+D32)*$M$4)))+(((E32+F32)*3.2%*2.3%)))/$D$6</f>
        <v>0</v>
      </c>
      <c r="C32" s="250">
        <v>0</v>
      </c>
      <c r="D32" s="250"/>
      <c r="E32" s="250"/>
      <c r="F32" s="250"/>
      <c r="G32" s="122"/>
      <c r="H32" s="122"/>
      <c r="I32" s="122"/>
      <c r="J32" s="122" t="s">
        <v>122</v>
      </c>
      <c r="K32" s="98">
        <f>+((E46+F46)*0.56%)/$D$6</f>
        <v>0</v>
      </c>
      <c r="L32" s="98">
        <v>1771</v>
      </c>
      <c r="M32" s="325">
        <v>2660</v>
      </c>
      <c r="N32" s="111">
        <v>0.28000000000000003</v>
      </c>
      <c r="O32" s="111">
        <v>0.32</v>
      </c>
      <c r="P32" s="111">
        <v>0.35</v>
      </c>
      <c r="Q32" s="326">
        <f t="shared" ref="Q32:Q34" si="1">MAX(O32:P32)</f>
        <v>0.35</v>
      </c>
      <c r="S32" s="122"/>
      <c r="T32" s="122"/>
      <c r="U32" s="122"/>
    </row>
    <row r="33" spans="1:21" x14ac:dyDescent="0.25">
      <c r="A33" s="622" t="s">
        <v>194</v>
      </c>
      <c r="B33" s="248">
        <f>(C33+D33)/$D$6</f>
        <v>0</v>
      </c>
      <c r="C33" s="250">
        <v>0</v>
      </c>
      <c r="D33" s="250"/>
      <c r="E33" s="122"/>
      <c r="F33" s="122"/>
      <c r="G33" s="122"/>
      <c r="H33" s="122"/>
      <c r="I33" s="122"/>
      <c r="J33" s="122" t="s">
        <v>69</v>
      </c>
      <c r="K33" s="98">
        <f>+((E47+F47)*3.49%)/$D$6</f>
        <v>0</v>
      </c>
      <c r="L33" s="98">
        <v>2661</v>
      </c>
      <c r="M33" s="325">
        <v>3550</v>
      </c>
      <c r="N33" s="111">
        <v>0.3</v>
      </c>
      <c r="O33" s="111">
        <v>0.34</v>
      </c>
      <c r="P33" s="111">
        <v>0.35</v>
      </c>
      <c r="Q33" s="326">
        <f t="shared" si="1"/>
        <v>0.35</v>
      </c>
      <c r="S33" s="122"/>
      <c r="T33" s="122"/>
      <c r="U33" s="122"/>
    </row>
    <row r="34" spans="1:21" ht="15.75" thickBot="1" x14ac:dyDescent="0.3">
      <c r="A34" s="622" t="s">
        <v>195</v>
      </c>
      <c r="B34" s="239">
        <f>(C34+D34)/$D$6</f>
        <v>0</v>
      </c>
      <c r="C34" s="250">
        <v>0</v>
      </c>
      <c r="D34" s="250"/>
      <c r="E34" s="122"/>
      <c r="F34" s="122"/>
      <c r="G34" s="122"/>
      <c r="H34" s="122"/>
      <c r="I34" s="122"/>
      <c r="J34" s="122" t="s">
        <v>68</v>
      </c>
      <c r="K34" s="98">
        <f>+((E48+F48)*3.2%*2.3%)/$D$6</f>
        <v>0</v>
      </c>
      <c r="L34" s="98">
        <v>3551</v>
      </c>
      <c r="M34" s="328"/>
      <c r="N34" s="329">
        <v>0.35</v>
      </c>
      <c r="O34" s="329">
        <v>0.4</v>
      </c>
      <c r="P34" s="329">
        <v>0.35</v>
      </c>
      <c r="Q34" s="330">
        <f t="shared" si="1"/>
        <v>0.4</v>
      </c>
      <c r="S34" s="122"/>
      <c r="T34" s="122"/>
      <c r="U34" s="122"/>
    </row>
    <row r="35" spans="1:21" ht="14.25" customHeight="1" x14ac:dyDescent="0.25">
      <c r="A35" s="623" t="s">
        <v>323</v>
      </c>
      <c r="B35" s="239">
        <f>+((E35+F35)*2.4%*5.28%)/$D$6</f>
        <v>0</v>
      </c>
      <c r="C35" s="543"/>
      <c r="D35" s="544"/>
      <c r="E35" s="250"/>
      <c r="F35" s="250"/>
      <c r="G35" s="122"/>
      <c r="H35" s="122"/>
      <c r="I35" s="122"/>
      <c r="J35" s="122" t="s">
        <v>327</v>
      </c>
      <c r="K35" s="98">
        <f>+((E49+F49)*5.28%)/$D$6</f>
        <v>0</v>
      </c>
      <c r="Q35" s="97"/>
      <c r="S35" s="122"/>
      <c r="T35" s="122"/>
      <c r="U35" s="122"/>
    </row>
    <row r="36" spans="1:21" ht="14.25" customHeight="1" x14ac:dyDescent="0.25">
      <c r="A36" s="630"/>
      <c r="B36" s="631"/>
      <c r="C36" s="632"/>
      <c r="D36" s="632"/>
      <c r="E36" s="633"/>
      <c r="F36" s="633"/>
      <c r="G36" s="122"/>
      <c r="H36" s="122"/>
      <c r="I36" s="122"/>
      <c r="J36" s="122"/>
      <c r="Q36" s="97"/>
      <c r="S36" s="122"/>
      <c r="T36" s="122"/>
      <c r="U36" s="122"/>
    </row>
    <row r="37" spans="1:21" ht="14.25" customHeight="1" x14ac:dyDescent="0.25">
      <c r="A37" s="630"/>
      <c r="B37" s="631"/>
      <c r="C37" s="632"/>
      <c r="D37" s="632"/>
      <c r="E37" s="633"/>
      <c r="F37" s="633"/>
      <c r="G37" s="122"/>
      <c r="H37" s="122"/>
      <c r="I37" s="122"/>
      <c r="J37" s="122"/>
      <c r="Q37" s="97"/>
      <c r="S37" s="122"/>
      <c r="T37" s="122"/>
      <c r="U37" s="122"/>
    </row>
    <row r="38" spans="1:21" ht="14.25" customHeight="1" x14ac:dyDescent="0.25">
      <c r="A38" s="630"/>
      <c r="B38" s="631"/>
      <c r="C38" s="632"/>
      <c r="D38" s="632"/>
      <c r="E38" s="633"/>
      <c r="F38" s="633"/>
      <c r="G38" s="122"/>
      <c r="H38" s="122"/>
      <c r="I38" s="122"/>
      <c r="J38" s="122"/>
      <c r="Q38" s="97"/>
      <c r="S38" s="122"/>
      <c r="T38" s="122"/>
      <c r="U38" s="122"/>
    </row>
    <row r="39" spans="1:21" ht="17.25" customHeight="1" thickBot="1" x14ac:dyDescent="0.3">
      <c r="A39" s="249" t="s">
        <v>124</v>
      </c>
      <c r="B39" s="232" t="s">
        <v>12</v>
      </c>
      <c r="C39" s="425" t="s">
        <v>4</v>
      </c>
      <c r="D39" s="319" t="s">
        <v>29</v>
      </c>
      <c r="E39" s="122"/>
      <c r="F39" s="122"/>
      <c r="G39" s="122"/>
      <c r="H39" s="122"/>
      <c r="I39" s="122"/>
      <c r="Q39" s="97"/>
      <c r="S39" s="122"/>
      <c r="T39" s="122"/>
      <c r="U39" s="122"/>
    </row>
    <row r="40" spans="1:21" ht="17.25" customHeight="1" x14ac:dyDescent="0.25">
      <c r="A40" s="259"/>
      <c r="B40" s="327">
        <f>(C40+D40)/$D$6</f>
        <v>0</v>
      </c>
      <c r="C40" s="320">
        <v>0</v>
      </c>
      <c r="D40" s="320">
        <v>0</v>
      </c>
      <c r="E40" s="122"/>
      <c r="F40" s="122"/>
      <c r="G40" s="122"/>
      <c r="H40" s="122"/>
      <c r="I40" s="122"/>
      <c r="Q40" s="97"/>
      <c r="S40" s="122"/>
      <c r="T40" s="122"/>
      <c r="U40" s="122"/>
    </row>
    <row r="41" spans="1:21" ht="17.25" customHeight="1" x14ac:dyDescent="0.25">
      <c r="A41" s="634"/>
      <c r="B41" s="635"/>
      <c r="C41" s="633"/>
      <c r="D41" s="633"/>
      <c r="E41" s="122"/>
      <c r="F41" s="122"/>
      <c r="G41" s="122"/>
      <c r="H41" s="122"/>
      <c r="I41" s="122"/>
      <c r="Q41" s="97"/>
      <c r="S41" s="122"/>
      <c r="T41" s="122"/>
      <c r="U41" s="122"/>
    </row>
    <row r="42" spans="1:21" ht="17.25" customHeight="1" x14ac:dyDescent="0.25">
      <c r="A42" s="634"/>
      <c r="B42" s="635"/>
      <c r="C42" s="633"/>
      <c r="D42" s="633"/>
      <c r="E42" s="122"/>
      <c r="F42" s="122"/>
      <c r="G42" s="122"/>
      <c r="H42" s="122"/>
      <c r="I42" s="122"/>
      <c r="Q42" s="97"/>
      <c r="S42" s="122"/>
      <c r="T42" s="122"/>
      <c r="U42" s="122"/>
    </row>
    <row r="43" spans="1:21" ht="17.25" customHeight="1" x14ac:dyDescent="0.25">
      <c r="A43" s="634"/>
      <c r="B43" s="635"/>
      <c r="C43" s="633"/>
      <c r="D43" s="633"/>
      <c r="E43" s="122"/>
      <c r="F43" s="122"/>
      <c r="G43" s="122"/>
      <c r="H43" s="122"/>
      <c r="I43" s="122"/>
      <c r="Q43" s="97"/>
      <c r="S43" s="122"/>
      <c r="T43" s="122"/>
      <c r="U43" s="122"/>
    </row>
    <row r="44" spans="1:21" ht="15" customHeight="1" x14ac:dyDescent="0.25">
      <c r="A44" s="324"/>
      <c r="B44" s="274"/>
      <c r="C44" s="510" t="s">
        <v>317</v>
      </c>
      <c r="D44" s="510"/>
      <c r="E44" s="511" t="s">
        <v>318</v>
      </c>
      <c r="F44" s="511"/>
      <c r="G44" s="122"/>
      <c r="H44" s="122"/>
      <c r="I44" s="122"/>
      <c r="J44" s="122"/>
      <c r="Q44" s="97"/>
      <c r="S44" s="122"/>
      <c r="T44" s="122"/>
      <c r="U44" s="122"/>
    </row>
    <row r="45" spans="1:21" x14ac:dyDescent="0.25">
      <c r="A45" s="231" t="s">
        <v>21</v>
      </c>
      <c r="B45" s="232" t="s">
        <v>8</v>
      </c>
      <c r="C45" s="233" t="s">
        <v>4</v>
      </c>
      <c r="D45" s="426" t="s">
        <v>29</v>
      </c>
      <c r="E45" s="233"/>
      <c r="F45" s="426"/>
      <c r="G45" s="122"/>
      <c r="H45" s="122"/>
      <c r="I45" s="122"/>
      <c r="J45" s="122"/>
      <c r="Q45" s="97"/>
      <c r="S45" s="122"/>
      <c r="T45" s="122"/>
      <c r="U45" s="122"/>
    </row>
    <row r="46" spans="1:21" x14ac:dyDescent="0.25">
      <c r="A46" s="623" t="s">
        <v>10</v>
      </c>
      <c r="B46" s="238">
        <f>((C46+D46)+((E46+F46)*0.56%))/$D$6</f>
        <v>145.77259475218659</v>
      </c>
      <c r="C46" s="250">
        <v>1000</v>
      </c>
      <c r="D46" s="250"/>
      <c r="E46" s="250"/>
      <c r="F46" s="250"/>
      <c r="G46" s="122"/>
      <c r="H46" s="122"/>
      <c r="I46" s="122"/>
      <c r="J46" s="122"/>
      <c r="K46" s="98">
        <f>+B21*2.5</f>
        <v>3644.3148688046649</v>
      </c>
      <c r="Q46" s="97"/>
      <c r="S46" s="122"/>
      <c r="T46" s="122"/>
      <c r="U46" s="122"/>
    </row>
    <row r="47" spans="1:21" x14ac:dyDescent="0.25">
      <c r="A47" s="622" t="s">
        <v>9</v>
      </c>
      <c r="B47" s="239">
        <f>((C47+D47)+((E47+F47)*3.49%))/$D$6</f>
        <v>0</v>
      </c>
      <c r="C47" s="250"/>
      <c r="D47" s="250"/>
      <c r="E47" s="250"/>
      <c r="F47" s="250"/>
      <c r="G47" s="122"/>
      <c r="H47" s="122"/>
      <c r="I47" s="122"/>
      <c r="J47" s="122"/>
      <c r="Q47" s="97"/>
      <c r="S47" s="122"/>
      <c r="T47" s="122"/>
      <c r="U47" s="122"/>
    </row>
    <row r="48" spans="1:21" x14ac:dyDescent="0.25">
      <c r="A48" s="622" t="s">
        <v>20</v>
      </c>
      <c r="B48" s="248">
        <f>((C48+D48)*3.2%+((E48+F48)*3.2%*2.3%))/$D$6</f>
        <v>0</v>
      </c>
      <c r="C48" s="250"/>
      <c r="D48" s="250"/>
      <c r="E48" s="250"/>
      <c r="F48" s="250"/>
      <c r="G48" s="122"/>
      <c r="H48" s="122"/>
      <c r="I48" s="122"/>
      <c r="J48" s="122"/>
      <c r="Q48" s="97"/>
      <c r="S48" s="122"/>
      <c r="T48" s="122"/>
      <c r="U48" s="122"/>
    </row>
    <row r="49" spans="1:37" x14ac:dyDescent="0.25">
      <c r="A49" s="622" t="s">
        <v>324</v>
      </c>
      <c r="B49" s="239">
        <f>(C49+D49+((E49+F49)*5.28%))/$D$6</f>
        <v>0</v>
      </c>
      <c r="C49" s="250"/>
      <c r="D49" s="250"/>
      <c r="E49" s="250"/>
      <c r="F49" s="250"/>
      <c r="G49" s="122"/>
      <c r="H49" s="122"/>
      <c r="I49" s="122"/>
      <c r="J49" s="122"/>
      <c r="Q49" s="97"/>
      <c r="S49" s="122"/>
      <c r="T49" s="122"/>
      <c r="U49" s="122"/>
    </row>
    <row r="50" spans="1:37" x14ac:dyDescent="0.25">
      <c r="A50" s="630"/>
      <c r="B50" s="636"/>
      <c r="C50" s="633"/>
      <c r="D50" s="633"/>
      <c r="E50" s="633"/>
      <c r="F50" s="633"/>
      <c r="G50" s="122"/>
      <c r="H50" s="122"/>
      <c r="I50" s="122"/>
      <c r="J50" s="122"/>
      <c r="Q50" s="97"/>
      <c r="S50" s="122"/>
      <c r="T50" s="122"/>
      <c r="U50" s="122"/>
    </row>
    <row r="51" spans="1:37" x14ac:dyDescent="0.25">
      <c r="A51" s="630"/>
      <c r="B51" s="636"/>
      <c r="C51" s="633"/>
      <c r="D51" s="633"/>
      <c r="E51" s="633"/>
      <c r="F51" s="633"/>
      <c r="G51" s="122"/>
      <c r="H51" s="122"/>
      <c r="I51" s="122"/>
      <c r="J51" s="122"/>
      <c r="Q51" s="97"/>
      <c r="S51" s="122"/>
      <c r="T51" s="122"/>
      <c r="U51" s="122"/>
    </row>
    <row r="52" spans="1:37" x14ac:dyDescent="0.25">
      <c r="A52" s="630"/>
      <c r="B52" s="636"/>
      <c r="C52" s="633"/>
      <c r="D52" s="633"/>
      <c r="E52" s="633"/>
      <c r="F52" s="633"/>
      <c r="G52" s="122"/>
      <c r="H52" s="122"/>
      <c r="I52" s="122"/>
      <c r="J52" s="122"/>
      <c r="Q52" s="97"/>
      <c r="S52" s="122"/>
      <c r="T52" s="122"/>
      <c r="U52" s="122"/>
    </row>
    <row r="53" spans="1:37" ht="15.75" customHeight="1" x14ac:dyDescent="0.25">
      <c r="A53" s="518"/>
      <c r="B53" s="519"/>
      <c r="C53" s="519"/>
      <c r="D53" s="520"/>
      <c r="E53" s="122"/>
      <c r="F53" s="122"/>
      <c r="G53" s="122"/>
      <c r="H53" s="122"/>
      <c r="I53" s="122"/>
      <c r="J53" s="122"/>
      <c r="Q53" s="97"/>
      <c r="S53" s="122"/>
      <c r="T53" s="122"/>
      <c r="U53" s="122"/>
      <c r="AC53" s="122"/>
      <c r="AD53" s="122"/>
      <c r="AE53" s="122"/>
      <c r="AF53" s="122"/>
      <c r="AG53" s="122"/>
      <c r="AH53" s="122"/>
      <c r="AI53" s="122"/>
      <c r="AJ53" s="122"/>
      <c r="AK53" s="122"/>
    </row>
    <row r="54" spans="1:37" x14ac:dyDescent="0.25">
      <c r="A54" s="231" t="s">
        <v>11</v>
      </c>
      <c r="B54" s="331">
        <f>B23-B30-B31-B32-B33-B34-B35-B46-B47-B48-B49-B40</f>
        <v>218.65889212827989</v>
      </c>
      <c r="C54" s="231" t="s">
        <v>106</v>
      </c>
      <c r="D54" s="331">
        <f>B54*D6</f>
        <v>1500</v>
      </c>
      <c r="E54" s="122"/>
      <c r="F54" s="122"/>
      <c r="G54" s="122"/>
      <c r="H54" s="122"/>
      <c r="I54" s="122"/>
      <c r="J54" s="122"/>
      <c r="K54" s="98">
        <f>+IF(B62="Muy Bueno",B21*4.5,IF(B62="Bueno",B21*3.5,IF(B62="Regular",B21*2.5,0)))</f>
        <v>6559.7667638483963</v>
      </c>
      <c r="L54" s="97"/>
      <c r="M54" s="97"/>
      <c r="N54" s="533" t="s">
        <v>118</v>
      </c>
      <c r="O54" s="532" t="s">
        <v>117</v>
      </c>
      <c r="P54" s="532"/>
      <c r="Q54" s="532"/>
      <c r="S54" s="332"/>
      <c r="T54" s="526" t="s">
        <v>286</v>
      </c>
      <c r="U54" s="527"/>
      <c r="V54" s="528"/>
      <c r="AC54" s="122"/>
      <c r="AD54" s="122"/>
      <c r="AE54" s="122"/>
      <c r="AF54" s="122"/>
      <c r="AG54" s="122"/>
      <c r="AH54" s="122"/>
      <c r="AI54" s="122"/>
      <c r="AJ54" s="122"/>
      <c r="AK54" s="122"/>
    </row>
    <row r="55" spans="1:37" x14ac:dyDescent="0.25">
      <c r="A55" s="521"/>
      <c r="B55" s="522"/>
      <c r="C55" s="522"/>
      <c r="D55" s="523"/>
      <c r="E55" s="122"/>
      <c r="F55" s="122"/>
      <c r="G55" s="122"/>
      <c r="H55" s="122"/>
      <c r="I55" s="122"/>
      <c r="J55" s="122"/>
      <c r="K55" s="98">
        <f>+K54*D6</f>
        <v>45000</v>
      </c>
      <c r="L55" s="97"/>
      <c r="M55" s="97"/>
      <c r="N55" s="533"/>
      <c r="O55" s="334" t="s">
        <v>119</v>
      </c>
      <c r="P55" s="334" t="s">
        <v>120</v>
      </c>
      <c r="Q55" s="334" t="s">
        <v>121</v>
      </c>
      <c r="S55" s="332" t="s">
        <v>118</v>
      </c>
      <c r="T55" s="332" t="s">
        <v>119</v>
      </c>
      <c r="U55" s="332" t="s">
        <v>120</v>
      </c>
      <c r="V55" s="208" t="s">
        <v>284</v>
      </c>
      <c r="AC55" s="122"/>
      <c r="AD55" s="122"/>
      <c r="AE55" s="122"/>
      <c r="AF55" s="122"/>
      <c r="AG55" s="122"/>
      <c r="AH55" s="122"/>
      <c r="AI55" s="122"/>
      <c r="AJ55" s="122"/>
      <c r="AK55" s="122"/>
    </row>
    <row r="56" spans="1:37" x14ac:dyDescent="0.25">
      <c r="A56" s="536" t="s">
        <v>13</v>
      </c>
      <c r="B56" s="537"/>
      <c r="C56" s="537"/>
      <c r="D56" s="538"/>
      <c r="E56" s="122"/>
      <c r="F56" s="122"/>
      <c r="G56" s="122"/>
      <c r="H56" s="122"/>
      <c r="I56" s="122"/>
      <c r="J56" s="122"/>
      <c r="L56" s="97"/>
      <c r="M56" s="97"/>
      <c r="N56" s="208">
        <v>0</v>
      </c>
      <c r="O56" s="336">
        <f>$B$59/$D$6</f>
        <v>6833.0903790087459</v>
      </c>
      <c r="P56" s="336">
        <f>$B$59/$D$6</f>
        <v>6833.0903790087459</v>
      </c>
      <c r="Q56" s="336">
        <f>$B$59/$D$6</f>
        <v>6833.0903790087459</v>
      </c>
      <c r="S56" s="337">
        <f>+B21</f>
        <v>1457.7259475218659</v>
      </c>
      <c r="T56" s="332">
        <v>2.5</v>
      </c>
      <c r="U56" s="332">
        <v>3.5</v>
      </c>
      <c r="V56" s="208">
        <v>4.5</v>
      </c>
      <c r="AC56" s="122"/>
      <c r="AD56" s="122"/>
      <c r="AE56" s="122"/>
      <c r="AF56" s="122"/>
      <c r="AG56" s="122"/>
      <c r="AH56" s="122"/>
      <c r="AI56" s="122"/>
      <c r="AJ56" s="122"/>
      <c r="AK56" s="122"/>
    </row>
    <row r="57" spans="1:37" x14ac:dyDescent="0.25">
      <c r="A57" s="505" t="s">
        <v>20</v>
      </c>
      <c r="B57" s="506"/>
      <c r="C57" s="506"/>
      <c r="D57" s="507"/>
      <c r="E57" s="122"/>
      <c r="F57" s="122"/>
      <c r="G57" s="122"/>
      <c r="H57" s="122"/>
      <c r="I57" s="122"/>
      <c r="J57" s="122"/>
      <c r="L57" s="97"/>
      <c r="M57" s="97"/>
      <c r="N57" s="208">
        <v>800</v>
      </c>
      <c r="O57" s="336">
        <v>6000</v>
      </c>
      <c r="P57" s="336">
        <f>$B$59/$D$6</f>
        <v>6833.0903790087459</v>
      </c>
      <c r="Q57" s="336">
        <f>$B$59/$D$6</f>
        <v>6833.0903790087459</v>
      </c>
      <c r="S57" s="122"/>
      <c r="T57" s="122"/>
      <c r="U57" s="122"/>
      <c r="AC57" s="122"/>
      <c r="AD57" s="122"/>
      <c r="AE57" s="122"/>
      <c r="AF57" s="122"/>
      <c r="AG57" s="122"/>
      <c r="AH57" s="122"/>
      <c r="AI57" s="122"/>
      <c r="AJ57" s="122"/>
      <c r="AK57" s="122"/>
    </row>
    <row r="58" spans="1:37" x14ac:dyDescent="0.25">
      <c r="A58" s="430" t="s">
        <v>332</v>
      </c>
      <c r="B58" s="482">
        <f>IFERROR(((($B$21*0.25)-($B$31+$B$32+$B$33+$B$47+$B$48-K24-K28-K33-K34))/0.032)*6.86,"")</f>
        <v>78125</v>
      </c>
      <c r="C58" s="260"/>
      <c r="D58" s="242"/>
      <c r="E58" s="122"/>
      <c r="F58" s="122"/>
      <c r="G58" s="122"/>
      <c r="H58" s="122"/>
      <c r="I58" s="122"/>
      <c r="J58" s="122"/>
      <c r="L58" s="97"/>
      <c r="M58" s="97"/>
      <c r="N58" s="208">
        <v>1030</v>
      </c>
      <c r="O58" s="336">
        <v>6000</v>
      </c>
      <c r="P58" s="336">
        <v>8500</v>
      </c>
      <c r="Q58" s="336">
        <f>$B$59/$D$6</f>
        <v>6833.0903790087459</v>
      </c>
      <c r="S58" s="122"/>
      <c r="T58" s="338"/>
      <c r="U58" s="122"/>
      <c r="AC58" s="122"/>
      <c r="AD58" s="122"/>
      <c r="AE58" s="122"/>
      <c r="AF58" s="122"/>
      <c r="AG58" s="122"/>
      <c r="AH58" s="122"/>
      <c r="AI58" s="122"/>
      <c r="AJ58" s="122"/>
      <c r="AK58" s="122"/>
    </row>
    <row r="59" spans="1:37" x14ac:dyDescent="0.25">
      <c r="A59" s="430" t="s">
        <v>289</v>
      </c>
      <c r="B59" s="481">
        <f>($B$54/3.2%)*$D$6</f>
        <v>46875</v>
      </c>
      <c r="C59" s="426" t="s">
        <v>168</v>
      </c>
      <c r="D59" s="232" t="s">
        <v>167</v>
      </c>
      <c r="E59" s="122"/>
      <c r="F59" s="122"/>
      <c r="G59" s="122"/>
      <c r="H59" s="122"/>
      <c r="I59" s="122"/>
      <c r="J59" s="122"/>
      <c r="K59" s="98">
        <f>4000*6.86</f>
        <v>27440</v>
      </c>
      <c r="L59" s="97"/>
      <c r="M59" s="97"/>
      <c r="N59" s="208">
        <v>1320</v>
      </c>
      <c r="O59" s="336">
        <v>7000</v>
      </c>
      <c r="P59" s="336">
        <v>9500</v>
      </c>
      <c r="Q59" s="336">
        <v>12000</v>
      </c>
      <c r="S59" s="122"/>
      <c r="T59" s="122"/>
      <c r="U59" s="122"/>
      <c r="AC59" s="122"/>
      <c r="AD59" s="122"/>
      <c r="AE59" s="122"/>
      <c r="AF59" s="122"/>
      <c r="AG59" s="122"/>
      <c r="AH59" s="122"/>
      <c r="AI59" s="122"/>
      <c r="AJ59" s="122"/>
      <c r="AK59" s="122"/>
    </row>
    <row r="60" spans="1:37" x14ac:dyDescent="0.25">
      <c r="A60" s="308" t="s">
        <v>291</v>
      </c>
      <c r="B60" s="480">
        <f>O64</f>
        <v>45000</v>
      </c>
      <c r="C60" s="467">
        <v>0</v>
      </c>
      <c r="D60" s="467">
        <v>0</v>
      </c>
      <c r="E60" s="122"/>
      <c r="F60" s="122"/>
      <c r="G60" s="122"/>
      <c r="H60" s="122"/>
      <c r="I60" s="122"/>
      <c r="J60" s="122"/>
      <c r="L60" s="97"/>
      <c r="M60" s="97"/>
      <c r="N60" s="208">
        <v>2499</v>
      </c>
      <c r="O60" s="336">
        <v>7000</v>
      </c>
      <c r="P60" s="336">
        <v>9500</v>
      </c>
      <c r="Q60" s="336">
        <v>12000</v>
      </c>
      <c r="S60" s="122"/>
      <c r="T60" s="122"/>
      <c r="U60" s="122"/>
      <c r="AC60" s="122"/>
      <c r="AD60" s="122"/>
      <c r="AE60" s="122"/>
      <c r="AF60" s="122"/>
      <c r="AG60" s="122"/>
      <c r="AH60" s="122"/>
      <c r="AI60" s="122"/>
      <c r="AJ60" s="122"/>
      <c r="AK60" s="122"/>
    </row>
    <row r="61" spans="1:37" ht="15" customHeight="1" x14ac:dyDescent="0.25">
      <c r="A61" s="542" t="s">
        <v>30</v>
      </c>
      <c r="B61" s="542"/>
      <c r="C61" s="431">
        <f>IFERROR((($B$30+$B$31+$B$32+$B$33+$B$34+$B$35+$B$46+$B$47+$B$48+$B$49+$B$40+(C60/$D$6*3.2%))/$B$21),0)</f>
        <v>0.1</v>
      </c>
      <c r="D61" s="431">
        <f>IFERROR((($B$30+$B$31+$B$32+$B$33+$B$34+$B$35+$B$46+$B$47+$B$48+$B$49+$B$40+(D60/$D$6*3.2%))/$B$21),0)</f>
        <v>0.1</v>
      </c>
      <c r="E61" s="122"/>
      <c r="F61" s="122"/>
      <c r="G61" s="122"/>
      <c r="H61" s="122"/>
      <c r="I61" s="122"/>
      <c r="J61" s="122"/>
      <c r="L61" s="97"/>
      <c r="M61" s="97"/>
      <c r="N61" s="208">
        <v>2500</v>
      </c>
      <c r="O61" s="336">
        <v>7500</v>
      </c>
      <c r="P61" s="336">
        <v>12000</v>
      </c>
      <c r="Q61" s="336">
        <v>15000</v>
      </c>
      <c r="S61" s="122"/>
      <c r="T61" s="122"/>
      <c r="U61" s="122"/>
      <c r="AC61" s="122"/>
      <c r="AD61" s="122"/>
      <c r="AE61" s="122"/>
      <c r="AF61" s="122"/>
      <c r="AG61" s="122"/>
      <c r="AH61" s="122"/>
      <c r="AI61" s="122"/>
      <c r="AJ61" s="122"/>
      <c r="AK61" s="122"/>
    </row>
    <row r="62" spans="1:37" x14ac:dyDescent="0.25">
      <c r="A62" s="308" t="s">
        <v>117</v>
      </c>
      <c r="B62" s="468" t="s">
        <v>121</v>
      </c>
      <c r="C62" s="230"/>
      <c r="D62" s="230"/>
      <c r="I62" s="122"/>
      <c r="J62" s="122"/>
      <c r="L62" s="97"/>
      <c r="M62" s="97"/>
      <c r="N62" s="97"/>
      <c r="O62" s="97">
        <v>2</v>
      </c>
      <c r="P62" s="97">
        <v>3</v>
      </c>
      <c r="Q62" s="97">
        <v>4</v>
      </c>
      <c r="S62" s="122"/>
      <c r="T62" s="122"/>
      <c r="U62" s="122"/>
      <c r="AC62" s="122"/>
      <c r="AD62" s="122"/>
      <c r="AE62" s="122"/>
      <c r="AF62" s="122"/>
      <c r="AG62" s="122"/>
      <c r="AH62" s="122"/>
      <c r="AI62" s="122"/>
      <c r="AJ62" s="122"/>
      <c r="AK62" s="122"/>
    </row>
    <row r="63" spans="1:37" x14ac:dyDescent="0.25">
      <c r="A63" s="308" t="s">
        <v>96</v>
      </c>
      <c r="B63" s="426" t="str">
        <f>LOOKUP(B21,P80:Q83,R80:R83)</f>
        <v>ORO</v>
      </c>
      <c r="C63" s="432" t="str">
        <f>IF(B63=$R$81,IF(LOOKUP(C60,P93:P94,R93:R94)="CALIFICA",IF(C60&gt;O63,"NO CALIFICA","CALIFICA"),LOOKUP(C60,P93:P94,R93:R94)),IF(B63=$R$82,IF(LOOKUP(C60,X93:X94,Z93:Z94)="CALIFICA",IF(C60&gt;O63,"NO CALIFICA","CALIFICA"),LOOKUP(C60,X93:X94,Z93:Z94)),IF(B63=$R$83,IF(LOOKUP(C60,T93:T94,V93:V94)="CALIFICA",IF(C60&gt;O63,"NO CALIFICA","CALIFICA"),LOOKUP(C60,T93:T94,V93:V94)))))</f>
        <v>MTO MÍNIMO</v>
      </c>
      <c r="D63" s="432" t="str">
        <f>IF(B63=$R$81,IF(LOOKUP(D60,P93:P94,R93:R94)="CALIFICA",IF(D60&gt;O63,"NO CALIFICA","CALIFICA"),LOOKUP(D60,P93:P94,R93:R94)),IF(B63=$R$82,IF(LOOKUP(D60,X93:X94,Z93:Z94)="CALIFICA",IF(D60&gt;O63,"NO CALIFICA","CALIFICA"),LOOKUP(D60,X93:X94,Z93:Z94)),IF(B63=$R$83,IF(LOOKUP(D60,T93:T94,V93:V94)="CALIFICA",IF(D60&gt;O63,"NO CALIFICA","CALIFICA"),LOOKUP(D60,T93:T94,V93:V94)))))</f>
        <v>MTO MÍNIMO</v>
      </c>
      <c r="I63" s="122"/>
      <c r="J63" s="122"/>
      <c r="L63" s="97"/>
      <c r="M63" s="97"/>
      <c r="N63" s="98" t="s">
        <v>290</v>
      </c>
      <c r="O63" s="225">
        <f>MIN(B59:B60)</f>
        <v>45000</v>
      </c>
      <c r="Q63" s="97"/>
      <c r="S63" s="122"/>
      <c r="T63" s="122"/>
      <c r="U63" s="122"/>
      <c r="AC63" s="122"/>
      <c r="AD63" s="122"/>
      <c r="AE63" s="122"/>
      <c r="AF63" s="122"/>
      <c r="AG63" s="122"/>
      <c r="AH63" s="122"/>
      <c r="AI63" s="122"/>
      <c r="AJ63" s="122"/>
      <c r="AK63" s="122"/>
    </row>
    <row r="64" spans="1:37" x14ac:dyDescent="0.25">
      <c r="A64" s="315" t="s">
        <v>193</v>
      </c>
      <c r="B64" s="230"/>
      <c r="C64" s="334" t="str">
        <f>IFERROR(IF(($B$31+$B$32+$B$33+$B$47+$B$48-K24-K28-K33-K34+(C60*3.2%/$D$6))/($B$21)&gt;25%,"No cumple","Cumple"),"")</f>
        <v>Cumple</v>
      </c>
      <c r="D64" s="334" t="str">
        <f>IFERROR(IF(($B$31+$B$32+$B$33+$B$47+$B$48-K24-K28-K33-K34+(D60*3.2%/$D$6))/($B$21)&gt;25%,"No cumple","Cumple"),"")</f>
        <v>Cumple</v>
      </c>
      <c r="I64" s="122"/>
      <c r="J64" s="122"/>
      <c r="L64" s="97"/>
      <c r="M64" s="97"/>
      <c r="N64" s="342" t="s">
        <v>294</v>
      </c>
      <c r="O64" s="343">
        <f>(IF($B$62="Muy Bueno",$B$21*V56,IF($B$62="Bueno",$B$21*U56,IF($B$62="Regular",$B$21*T56,0))))*$D$6</f>
        <v>45000</v>
      </c>
      <c r="P64" s="97"/>
      <c r="Q64" s="97"/>
      <c r="S64" s="122"/>
      <c r="T64" s="122"/>
      <c r="U64" s="122"/>
      <c r="AC64" s="122"/>
      <c r="AD64" s="122"/>
      <c r="AE64" s="122"/>
      <c r="AF64" s="122"/>
      <c r="AG64" s="122"/>
      <c r="AH64" s="122"/>
      <c r="AI64" s="122"/>
      <c r="AJ64" s="122"/>
      <c r="AK64" s="122"/>
    </row>
    <row r="65" spans="1:37" ht="15" customHeight="1" x14ac:dyDescent="0.25">
      <c r="A65" s="515"/>
      <c r="B65" s="516"/>
      <c r="C65" s="516"/>
      <c r="D65" s="517"/>
      <c r="I65" s="122"/>
      <c r="J65" s="122"/>
      <c r="L65" s="97"/>
      <c r="M65" s="97"/>
      <c r="O65" s="225"/>
      <c r="P65" s="97"/>
      <c r="Q65" s="97"/>
      <c r="S65" s="122"/>
      <c r="T65" s="122"/>
      <c r="U65" s="122"/>
      <c r="AC65" s="122"/>
      <c r="AD65" s="122"/>
      <c r="AE65" s="122"/>
      <c r="AF65" s="122"/>
      <c r="AG65" s="122"/>
      <c r="AH65" s="122"/>
      <c r="AI65" s="122"/>
      <c r="AJ65" s="122"/>
      <c r="AK65" s="122"/>
    </row>
    <row r="66" spans="1:37" x14ac:dyDescent="0.25">
      <c r="A66" s="433" t="s">
        <v>91</v>
      </c>
      <c r="B66" s="426">
        <v>1</v>
      </c>
      <c r="C66" s="426" t="s">
        <v>162</v>
      </c>
      <c r="D66" s="426">
        <v>2</v>
      </c>
      <c r="E66" s="426" t="s">
        <v>163</v>
      </c>
      <c r="I66" s="122"/>
      <c r="L66" s="97"/>
      <c r="M66" s="97"/>
      <c r="N66" s="97"/>
      <c r="O66" s="97"/>
      <c r="P66" s="97"/>
      <c r="Q66" s="97"/>
      <c r="S66" s="122"/>
      <c r="T66" s="122"/>
      <c r="U66" s="122"/>
      <c r="AC66" s="122"/>
      <c r="AD66" s="122"/>
      <c r="AE66" s="122"/>
      <c r="AF66" s="122"/>
      <c r="AG66" s="122"/>
      <c r="AH66" s="122"/>
      <c r="AI66" s="122"/>
      <c r="AJ66" s="122"/>
      <c r="AK66" s="122"/>
    </row>
    <row r="67" spans="1:37" x14ac:dyDescent="0.25">
      <c r="A67" s="412" t="s">
        <v>132</v>
      </c>
      <c r="B67" s="461" t="s">
        <v>121</v>
      </c>
      <c r="C67" s="260"/>
      <c r="D67" s="260"/>
      <c r="E67" s="260"/>
      <c r="I67" s="122"/>
      <c r="L67" s="97"/>
      <c r="M67" s="97"/>
      <c r="N67" s="97"/>
      <c r="P67" s="97"/>
      <c r="Q67" s="97"/>
      <c r="S67" s="122"/>
      <c r="AC67" s="122"/>
      <c r="AD67" s="122"/>
      <c r="AE67" s="122"/>
      <c r="AF67" s="122"/>
      <c r="AG67" s="122"/>
      <c r="AH67" s="122"/>
      <c r="AI67" s="122"/>
      <c r="AJ67" s="122"/>
      <c r="AK67" s="122"/>
    </row>
    <row r="68" spans="1:37" x14ac:dyDescent="0.25">
      <c r="A68" s="311" t="s">
        <v>89</v>
      </c>
      <c r="B68" s="462">
        <f>B69</f>
        <v>184793.04</v>
      </c>
      <c r="C68" s="271">
        <f>B68</f>
        <v>184793.04</v>
      </c>
      <c r="D68" s="462">
        <f>D69</f>
        <v>184793.04</v>
      </c>
      <c r="E68" s="271">
        <f>D68</f>
        <v>184793.04</v>
      </c>
      <c r="I68" s="122"/>
      <c r="L68" s="97"/>
      <c r="M68" s="208" t="s">
        <v>133</v>
      </c>
      <c r="N68" s="208"/>
      <c r="O68" s="97"/>
      <c r="P68" s="97"/>
      <c r="Q68" s="97"/>
      <c r="S68" s="122"/>
      <c r="AC68" s="122"/>
      <c r="AD68" s="122"/>
      <c r="AE68" s="122"/>
      <c r="AF68" s="122"/>
      <c r="AG68" s="122"/>
      <c r="AH68" s="122"/>
      <c r="AI68" s="122"/>
      <c r="AJ68" s="122"/>
      <c r="AK68" s="122"/>
    </row>
    <row r="69" spans="1:37" ht="15" customHeight="1" x14ac:dyDescent="0.25">
      <c r="A69" s="316" t="s">
        <v>198</v>
      </c>
      <c r="B69" s="271">
        <f>IF(OR(B73="",B73=0%),ROUNDDOWN(((($B$21*$D$6*$B$22-SUM($B$30:$B$35,$B$46:$B$49,$B$40)*$D$6-B77*B81/12)*((1+(B72+B76)/12)^B75-1))/(((B72+B76)/12)*((1+(B72+B76)/12)^B75))),2),ROUNDDOWN(((($B$21*$D$6*$B$22-SUM($B$30:$B$35,$B$46:$B$49,$B$40)*$D$6-B77*B81/12)*((1+(B73+B74+B76)/12)^B75-1))/(((B73+B74+B76)/12)*((1+(B73+B74+B76)/12)^B75))),2))</f>
        <v>184793.04</v>
      </c>
      <c r="C69" s="271">
        <f>B69</f>
        <v>184793.04</v>
      </c>
      <c r="D69" s="271">
        <f>IF(OR(D73="",D73=0%),ROUNDDOWN(((($B$21*$D$6*$B$22-SUM($B$30:$B$35,$B$46:$B$49,$B$40)*$D$6-D77*D81/12)*((1+(D72+D76)/12)^D75-1))/(((D72+D76)/12)*((1+(D72+D76)/12)^D75))),2),ROUNDDOWN(((($B$21*$D$6*$B$22-SUM($B$30:$B$35,$B$46:$B$49,$B$40)*$D$6-D77*D81/12)*((1+(D73+D74+D76)/12)^D75-1))/(((D73+D74+D76)/12)*((1+(D73+D74+D76)/12)^D75))),2))</f>
        <v>184793.04</v>
      </c>
      <c r="E69" s="271">
        <f t="shared" ref="C69:E81" si="2">D69</f>
        <v>184793.04</v>
      </c>
      <c r="I69" s="122"/>
      <c r="L69" s="97"/>
      <c r="M69" s="209"/>
      <c r="N69" s="209" t="s">
        <v>134</v>
      </c>
      <c r="O69" s="97"/>
      <c r="P69" s="334" t="s">
        <v>117</v>
      </c>
      <c r="Q69" s="334" t="s">
        <v>15</v>
      </c>
      <c r="AC69" s="122"/>
      <c r="AD69" s="122"/>
      <c r="AE69" s="122"/>
      <c r="AF69" s="122"/>
      <c r="AG69" s="122"/>
      <c r="AH69" s="122"/>
      <c r="AI69" s="122"/>
      <c r="AJ69" s="122"/>
      <c r="AK69" s="122"/>
    </row>
    <row r="70" spans="1:37" ht="15" customHeight="1" x14ac:dyDescent="0.25">
      <c r="A70" s="316" t="s">
        <v>197</v>
      </c>
      <c r="B70" s="271">
        <f>IF(OR(B73="",B73=0%),ROUNDDOWN(((($B$21*$D$6*25%-(SUM($B$31:$B$33,$B$47:$B$48)-K24-K28-K33-K34)*$D$6-B77*B81/12)*((1+(B72+B76)/12)^B75-1))/(((B72+B76)/12)*((1+(B72+B76)/12)^B75))),2),ROUNDDOWN(((($B$21*$D$6*25%-(SUM($B$31:$B$33,$B$47:$B$48)-K24-K28-K33-K34)*$D$6-B77*B81/12)*((1+(B73+B74+B76)/12)^B75-1))/(((B73+B74+B76)/12)*((1+(B73+B74+B76)/12)^B75))),2))</f>
        <v>307988.40000000002</v>
      </c>
      <c r="C70" s="271">
        <f>+B70</f>
        <v>307988.40000000002</v>
      </c>
      <c r="D70" s="271">
        <f>IF(D73="",ROUNDDOWN(((($B$21*$D$6*25%-(SUM($B$31:$B$33,$B$47:$B$48)-K24-K28-K33-K34)*$D$6-D77*D81/12)*((1+(D72+D76)/12)^D75-1))/(((D72+D76)/12)*((1+(D72+D76)/12)^D75))),2),ROUNDDOWN(((($B$21*$D$6*25%-(SUM($B$31:$B$33,$B$47:$B$48)-K24-K28-K33-K34)*$D$6-D77*D81/12)*((1+(D73+D74+D76)/12)^D75-1))/(((D73+D74+D76)/12)*((1+(D73+D74+D76)/12)^D75))),2))</f>
        <v>388831.9</v>
      </c>
      <c r="E70" s="271">
        <f>+D70</f>
        <v>388831.9</v>
      </c>
      <c r="I70" s="122"/>
      <c r="L70" s="97"/>
      <c r="M70" s="208" t="s">
        <v>9</v>
      </c>
      <c r="N70" s="208">
        <v>6</v>
      </c>
      <c r="O70" s="97"/>
      <c r="P70" s="334" t="s">
        <v>119</v>
      </c>
      <c r="Q70" s="334">
        <v>36</v>
      </c>
      <c r="AC70" s="122"/>
      <c r="AD70" s="122"/>
      <c r="AE70" s="122"/>
      <c r="AF70" s="122"/>
      <c r="AG70" s="122"/>
      <c r="AH70" s="122"/>
      <c r="AI70" s="122"/>
      <c r="AJ70" s="122"/>
      <c r="AK70" s="122"/>
    </row>
    <row r="71" spans="1:37" x14ac:dyDescent="0.25">
      <c r="A71" s="311" t="s">
        <v>93</v>
      </c>
      <c r="B71" s="240">
        <f>B68/$D$6</f>
        <v>26937.760932944606</v>
      </c>
      <c r="C71" s="240">
        <f t="shared" si="2"/>
        <v>26937.760932944606</v>
      </c>
      <c r="D71" s="240">
        <f>D68/$D$6</f>
        <v>26937.760932944606</v>
      </c>
      <c r="E71" s="240">
        <f t="shared" si="2"/>
        <v>26937.760932944606</v>
      </c>
      <c r="I71" s="122"/>
      <c r="L71" s="97"/>
      <c r="M71" s="208"/>
      <c r="N71" s="208"/>
      <c r="O71" s="97"/>
      <c r="P71" s="334"/>
      <c r="Q71" s="334"/>
      <c r="AC71" s="122"/>
      <c r="AD71" s="122"/>
      <c r="AE71" s="122"/>
      <c r="AF71" s="122"/>
      <c r="AG71" s="122"/>
      <c r="AH71" s="122"/>
      <c r="AI71" s="122"/>
      <c r="AJ71" s="122"/>
      <c r="AK71" s="122"/>
    </row>
    <row r="72" spans="1:37" x14ac:dyDescent="0.25">
      <c r="A72" s="256" t="s">
        <v>335</v>
      </c>
      <c r="B72" s="463">
        <v>0.06</v>
      </c>
      <c r="C72" s="272">
        <f t="shared" si="2"/>
        <v>0.06</v>
      </c>
      <c r="D72" s="463">
        <v>0.06</v>
      </c>
      <c r="E72" s="272">
        <f t="shared" si="2"/>
        <v>0.06</v>
      </c>
      <c r="I72" s="122"/>
      <c r="L72" s="97"/>
      <c r="M72" s="208" t="s">
        <v>143</v>
      </c>
      <c r="N72" s="208">
        <v>12</v>
      </c>
      <c r="O72" s="97"/>
      <c r="P72" s="334" t="s">
        <v>120</v>
      </c>
      <c r="Q72" s="334">
        <v>60</v>
      </c>
      <c r="AC72" s="122"/>
      <c r="AD72" s="122"/>
      <c r="AE72" s="122"/>
      <c r="AF72" s="122"/>
      <c r="AG72" s="122"/>
      <c r="AH72" s="122"/>
      <c r="AI72" s="122"/>
      <c r="AJ72" s="122"/>
      <c r="AK72" s="122"/>
    </row>
    <row r="73" spans="1:37" x14ac:dyDescent="0.25">
      <c r="A73" s="256" t="s">
        <v>334</v>
      </c>
      <c r="B73" s="463">
        <v>0</v>
      </c>
      <c r="C73" s="272">
        <f>+B73</f>
        <v>0</v>
      </c>
      <c r="D73" s="463">
        <v>0</v>
      </c>
      <c r="E73" s="272">
        <f>+D73</f>
        <v>0</v>
      </c>
      <c r="I73" s="122"/>
      <c r="L73" s="97"/>
      <c r="M73" s="208" t="s">
        <v>144</v>
      </c>
      <c r="N73" s="208">
        <v>24</v>
      </c>
      <c r="O73" s="97"/>
      <c r="P73" s="334" t="s">
        <v>121</v>
      </c>
      <c r="Q73" s="334">
        <v>72</v>
      </c>
      <c r="AC73" s="122"/>
      <c r="AD73" s="122"/>
      <c r="AE73" s="122"/>
      <c r="AF73" s="122"/>
      <c r="AG73" s="122"/>
      <c r="AH73" s="122"/>
      <c r="AI73" s="122"/>
      <c r="AJ73" s="122"/>
      <c r="AK73" s="122"/>
    </row>
    <row r="74" spans="1:37" x14ac:dyDescent="0.25">
      <c r="A74" s="256" t="s">
        <v>336</v>
      </c>
      <c r="B74" s="463">
        <v>3.09E-2</v>
      </c>
      <c r="C74" s="272">
        <f>B74</f>
        <v>3.09E-2</v>
      </c>
      <c r="D74" s="463">
        <v>3.09E-2</v>
      </c>
      <c r="E74" s="272">
        <f>D74</f>
        <v>3.09E-2</v>
      </c>
      <c r="I74" s="122"/>
      <c r="L74" s="97"/>
      <c r="M74" s="497"/>
      <c r="N74" s="497"/>
      <c r="O74" s="97"/>
      <c r="P74" s="498"/>
      <c r="Q74" s="498"/>
      <c r="AC74" s="122"/>
      <c r="AD74" s="122"/>
      <c r="AE74" s="122"/>
      <c r="AF74" s="122"/>
      <c r="AG74" s="122"/>
      <c r="AH74" s="122"/>
      <c r="AI74" s="122"/>
      <c r="AJ74" s="122"/>
      <c r="AK74" s="122"/>
    </row>
    <row r="75" spans="1:37" x14ac:dyDescent="0.25">
      <c r="A75" s="256" t="s">
        <v>15</v>
      </c>
      <c r="B75" s="263">
        <v>240</v>
      </c>
      <c r="C75" s="245">
        <f>+IF(OR($D$8=$O$18,$D$8=$O$19,$D$8=$O$20),B75+6,IF($D$8=$O$23,B75+12,B75+12))</f>
        <v>246</v>
      </c>
      <c r="D75" s="263">
        <v>240</v>
      </c>
      <c r="E75" s="245">
        <f>+IF(OR($D$8=$O$18,$D$8=$O$19,$D$8=$O$20),D75+6,IF($D$8=$O$23,D75+12,D75+12))</f>
        <v>246</v>
      </c>
      <c r="L75" s="97"/>
      <c r="M75" s="97"/>
      <c r="N75" s="97"/>
      <c r="O75" s="97"/>
      <c r="P75" s="344"/>
      <c r="Q75" s="344"/>
      <c r="AC75" s="122"/>
      <c r="AD75" s="122"/>
      <c r="AE75" s="122"/>
      <c r="AF75" s="122"/>
      <c r="AG75" s="122"/>
      <c r="AH75" s="122"/>
      <c r="AI75" s="122"/>
      <c r="AJ75" s="122"/>
      <c r="AK75" s="122"/>
    </row>
    <row r="76" spans="1:37" x14ac:dyDescent="0.25">
      <c r="A76" s="256" t="s">
        <v>16</v>
      </c>
      <c r="B76" s="272">
        <f>IF(D8="Vehicular",IF(SUM($D$16:$D$19)&gt;0,1.53%,0.85%),IF(D8="Vivienda",IF(B10="Casado/Conviviente",1.53%,0.85%),IF(D8="Vivienda Social",IF(B10="Casado/Conviviente",1.53%,0.85%),IF(SUM($D$16:$D$19)&gt;0,3.2%,1.6%))))</f>
        <v>1.6E-2</v>
      </c>
      <c r="C76" s="272">
        <f t="shared" si="2"/>
        <v>1.6E-2</v>
      </c>
      <c r="D76" s="463">
        <v>1.6E-2</v>
      </c>
      <c r="E76" s="272">
        <f t="shared" si="2"/>
        <v>1.6E-2</v>
      </c>
      <c r="F76" s="122"/>
      <c r="G76" s="469" t="str">
        <f>IF(AND(D91="Regular",G87&lt;=20000,(OR(B91="Pdh",B91="Stock",B91="Premium",B91="Regular"))),"SE CUMPLE CÚMULO",IF(AND(D91="BUENO",G87&lt;=30000,OR(B91="Pdh",B91="Stock",B91="Premium",B91="Regular")),"SE CUMPLE CÚMULO",IF(AND(D91="Muy Bueno",G87&lt;=30000,OR(B91="Pdh",B91="Stock",B91="Premium",B91="Regular")),"SE CUMPLE CÚMULO",IF(AND(G87&lt;=40000,B91="Enalta"),"SE CUMPLE CÚMULO","SOBREPASA CÚMULO"))))</f>
        <v>SE CUMPLE CÚMULO</v>
      </c>
      <c r="H76" s="122"/>
      <c r="I76" s="122"/>
      <c r="Q76" s="97"/>
      <c r="AC76" s="122"/>
      <c r="AD76" s="122"/>
      <c r="AE76" s="122"/>
      <c r="AF76" s="122"/>
      <c r="AG76" s="122"/>
      <c r="AH76" s="122"/>
      <c r="AI76" s="122"/>
      <c r="AJ76" s="122"/>
      <c r="AK76" s="122"/>
    </row>
    <row r="77" spans="1:37" x14ac:dyDescent="0.25">
      <c r="A77" s="256" t="s">
        <v>17</v>
      </c>
      <c r="B77" s="464">
        <v>1.9499999999999999E-3</v>
      </c>
      <c r="C77" s="273">
        <f t="shared" si="2"/>
        <v>1.9499999999999999E-3</v>
      </c>
      <c r="D77" s="464">
        <v>1.9499999999999999E-3</v>
      </c>
      <c r="E77" s="273">
        <f t="shared" si="2"/>
        <v>1.9499999999999999E-3</v>
      </c>
      <c r="F77" s="122"/>
      <c r="G77" s="122"/>
      <c r="H77" s="122"/>
      <c r="I77" s="122"/>
      <c r="M77" s="97"/>
      <c r="N77" s="345">
        <f>IF(B8=M70,N70,IF(D8="Comercial",N72,N73))</f>
        <v>6</v>
      </c>
      <c r="O77" s="97"/>
      <c r="P77" s="97"/>
      <c r="Q77" s="97"/>
      <c r="AC77" s="122"/>
      <c r="AD77" s="122"/>
      <c r="AE77" s="122"/>
      <c r="AF77" s="122"/>
      <c r="AG77" s="122"/>
      <c r="AH77" s="122"/>
      <c r="AI77" s="122"/>
      <c r="AJ77" s="122"/>
      <c r="AK77" s="122"/>
    </row>
    <row r="78" spans="1:37" outlineLevel="1" x14ac:dyDescent="0.25">
      <c r="A78" s="256" t="s">
        <v>99</v>
      </c>
      <c r="B78" s="464">
        <v>0</v>
      </c>
      <c r="C78" s="273">
        <f t="shared" si="2"/>
        <v>0</v>
      </c>
      <c r="D78" s="465">
        <v>0</v>
      </c>
      <c r="E78" s="273">
        <f t="shared" si="2"/>
        <v>0</v>
      </c>
      <c r="F78" s="512" t="s">
        <v>214</v>
      </c>
      <c r="G78" s="512"/>
      <c r="H78" s="512"/>
      <c r="I78" s="512"/>
      <c r="Q78" s="97"/>
      <c r="AC78" s="122"/>
      <c r="AD78" s="122"/>
      <c r="AE78" s="122"/>
      <c r="AF78" s="122"/>
      <c r="AG78" s="122"/>
      <c r="AH78" s="122"/>
      <c r="AI78" s="122"/>
      <c r="AJ78" s="122"/>
      <c r="AK78" s="122"/>
    </row>
    <row r="79" spans="1:37" outlineLevel="1" x14ac:dyDescent="0.25">
      <c r="A79" s="256" t="s">
        <v>111</v>
      </c>
      <c r="B79" s="250">
        <v>0</v>
      </c>
      <c r="C79" s="240">
        <f t="shared" si="2"/>
        <v>0</v>
      </c>
      <c r="D79" s="466">
        <v>0</v>
      </c>
      <c r="E79" s="240">
        <f t="shared" si="2"/>
        <v>0</v>
      </c>
      <c r="F79" s="333" t="s">
        <v>215</v>
      </c>
      <c r="G79" s="333" t="s">
        <v>216</v>
      </c>
      <c r="H79" s="333" t="s">
        <v>225</v>
      </c>
      <c r="I79" s="333" t="s">
        <v>226</v>
      </c>
      <c r="P79" s="97" t="s">
        <v>110</v>
      </c>
      <c r="Q79" s="97"/>
      <c r="AC79" s="122"/>
      <c r="AD79" s="122"/>
      <c r="AE79" s="122"/>
      <c r="AF79" s="122"/>
      <c r="AG79" s="122"/>
      <c r="AH79" s="122"/>
      <c r="AI79" s="122"/>
      <c r="AJ79" s="122"/>
      <c r="AK79" s="122"/>
    </row>
    <row r="80" spans="1:37" x14ac:dyDescent="0.25">
      <c r="A80" s="256" t="s">
        <v>112</v>
      </c>
      <c r="B80" s="250">
        <v>0</v>
      </c>
      <c r="C80" s="240">
        <f t="shared" si="2"/>
        <v>0</v>
      </c>
      <c r="D80" s="466">
        <v>0</v>
      </c>
      <c r="E80" s="240">
        <f t="shared" si="2"/>
        <v>0</v>
      </c>
      <c r="F80" s="439" t="s">
        <v>252</v>
      </c>
      <c r="G80" s="263" t="s">
        <v>218</v>
      </c>
      <c r="H80" s="335">
        <f>B100</f>
        <v>184793.04</v>
      </c>
      <c r="I80" s="335">
        <f t="shared" ref="I80:I85" si="3">+IFERROR(H80/$D$6,0)</f>
        <v>26937.760932944606</v>
      </c>
      <c r="P80" s="483">
        <v>0</v>
      </c>
      <c r="Q80" s="483">
        <f>3500/6.86</f>
        <v>510.20408163265301</v>
      </c>
      <c r="R80" s="98" t="s">
        <v>108</v>
      </c>
      <c r="T80" s="97">
        <f>3500/6.86</f>
        <v>510.20408163265301</v>
      </c>
      <c r="AC80" s="122"/>
      <c r="AD80" s="122"/>
      <c r="AE80" s="122"/>
      <c r="AF80" s="122"/>
      <c r="AG80" s="122"/>
      <c r="AH80" s="122"/>
      <c r="AI80" s="122"/>
      <c r="AJ80" s="122"/>
      <c r="AK80" s="122"/>
    </row>
    <row r="81" spans="1:37" ht="14.25" customHeight="1" x14ac:dyDescent="0.25">
      <c r="A81" s="256" t="s">
        <v>113</v>
      </c>
      <c r="B81" s="250">
        <v>0</v>
      </c>
      <c r="C81" s="240">
        <f t="shared" si="2"/>
        <v>0</v>
      </c>
      <c r="D81" s="466">
        <v>0</v>
      </c>
      <c r="E81" s="240">
        <f t="shared" si="2"/>
        <v>0</v>
      </c>
      <c r="F81" s="263" t="s">
        <v>326</v>
      </c>
      <c r="G81" s="263" t="s">
        <v>219</v>
      </c>
      <c r="H81" s="460">
        <v>274400</v>
      </c>
      <c r="I81" s="335">
        <f t="shared" si="3"/>
        <v>40000</v>
      </c>
      <c r="P81" s="483">
        <f>Q80</f>
        <v>510.20408163265301</v>
      </c>
      <c r="Q81" s="483">
        <v>801.7492711370262</v>
      </c>
      <c r="R81" s="97" t="s">
        <v>116</v>
      </c>
      <c r="T81" s="97">
        <f>5500/6.86</f>
        <v>801.7492711370262</v>
      </c>
      <c r="AC81" s="122"/>
      <c r="AD81" s="122"/>
      <c r="AE81" s="122"/>
      <c r="AF81" s="122"/>
      <c r="AG81" s="122"/>
      <c r="AH81" s="122"/>
      <c r="AI81" s="122"/>
      <c r="AJ81" s="122"/>
      <c r="AK81" s="122"/>
    </row>
    <row r="82" spans="1:37" ht="20.25" hidden="1" customHeight="1" x14ac:dyDescent="0.25">
      <c r="A82" s="307"/>
      <c r="B82" s="409"/>
      <c r="C82" s="409"/>
      <c r="D82" s="409"/>
      <c r="E82" s="409"/>
      <c r="F82" s="263"/>
      <c r="G82" s="263"/>
      <c r="H82" s="460"/>
      <c r="I82" s="440">
        <f t="shared" si="3"/>
        <v>0</v>
      </c>
      <c r="P82" s="97">
        <f>Q81</f>
        <v>801.7492711370262</v>
      </c>
      <c r="Q82" s="97">
        <v>2499</v>
      </c>
      <c r="R82" s="97" t="s">
        <v>94</v>
      </c>
      <c r="AC82" s="122"/>
      <c r="AD82" s="122"/>
      <c r="AE82" s="122"/>
      <c r="AF82" s="122"/>
      <c r="AG82" s="122"/>
      <c r="AH82" s="122"/>
      <c r="AI82" s="122"/>
      <c r="AJ82" s="122"/>
      <c r="AK82" s="122"/>
    </row>
    <row r="83" spans="1:37" x14ac:dyDescent="0.25">
      <c r="A83" s="256" t="s">
        <v>27</v>
      </c>
      <c r="B83" s="240">
        <f>IF(OR(B73="",B73=0%),ABS(PMT((B72+B76)/12,B75,B68))+B77*B81/12,ABS(PMT((B73+B76+B74)/12,B75,B68))+B77*B81/12)</f>
        <v>1499.9999858680303</v>
      </c>
      <c r="C83" s="240">
        <f>IF(OR(C73="",C73=0%),ABS(PMT((C72+C76)/12,C75,C68))+C77*C81/12,ABS(PMT((C73+C76+C74)/12,C75,C68))+C77*C81/12)</f>
        <v>1484.4579629128455</v>
      </c>
      <c r="D83" s="239">
        <f>IF(OR(D73="",D73=0%),ABS(PMT((D72+D76)/12,D75,D68))+D77*D81/12,ABS(PMT((D73+D76+D74)/12,D75,D68))+D77*D81/12)</f>
        <v>1499.9999858680303</v>
      </c>
      <c r="E83" s="239">
        <f>IF(OR(E73="",E73=0%),ABS(PMT((E72+E76)/12,E75,E68))+E77*E81/12,ABS(PMT((E73+E76+E74)/12,E75,E68))+E77*E81/12)</f>
        <v>1484.4579629128455</v>
      </c>
      <c r="F83" s="263"/>
      <c r="G83" s="263"/>
      <c r="H83" s="460"/>
      <c r="I83" s="335">
        <f t="shared" si="3"/>
        <v>0</v>
      </c>
      <c r="K83" s="350" t="str">
        <f>+F78</f>
        <v>AUTONOMIA DE LA OPERACIÓN</v>
      </c>
      <c r="P83" s="483">
        <v>2536.4431486880467</v>
      </c>
      <c r="Q83" s="97">
        <v>100000</v>
      </c>
      <c r="R83" s="97" t="s">
        <v>251</v>
      </c>
      <c r="T83" s="97">
        <f>17400/6.86</f>
        <v>2536.4431486880467</v>
      </c>
      <c r="AC83" s="122"/>
      <c r="AD83" s="122"/>
      <c r="AE83" s="122"/>
      <c r="AF83" s="122"/>
      <c r="AG83" s="122"/>
      <c r="AH83" s="122"/>
      <c r="AI83" s="122"/>
      <c r="AJ83" s="122"/>
      <c r="AK83" s="122"/>
    </row>
    <row r="84" spans="1:37" x14ac:dyDescent="0.25">
      <c r="A84" s="256" t="s">
        <v>18</v>
      </c>
      <c r="B84" s="275">
        <f>B83/$D$6</f>
        <v>218.65889006822599</v>
      </c>
      <c r="C84" s="275">
        <f t="shared" ref="C84:D84" si="4">C83/$D$6</f>
        <v>216.39328905435065</v>
      </c>
      <c r="D84" s="436">
        <f t="shared" si="4"/>
        <v>218.65889006822599</v>
      </c>
      <c r="E84" s="275">
        <f t="shared" ref="E84" si="5">E83/$D$6</f>
        <v>216.39328905435065</v>
      </c>
      <c r="F84" s="263"/>
      <c r="G84" s="263"/>
      <c r="H84" s="460"/>
      <c r="I84" s="335">
        <f t="shared" si="3"/>
        <v>0</v>
      </c>
      <c r="P84" s="97"/>
      <c r="Q84" s="97"/>
      <c r="AC84" s="122"/>
      <c r="AD84" s="122"/>
      <c r="AE84" s="122"/>
      <c r="AF84" s="122"/>
      <c r="AG84" s="122"/>
      <c r="AH84" s="122"/>
      <c r="AI84" s="122"/>
      <c r="AJ84" s="122"/>
      <c r="AK84" s="122"/>
    </row>
    <row r="85" spans="1:37" ht="18" customHeight="1" x14ac:dyDescent="0.25">
      <c r="A85" s="256" t="s">
        <v>92</v>
      </c>
      <c r="B85" s="410">
        <f>IFERROR((($B$30+$B$31+$B$32+$B$33+$B$34+B35+$B$46+$B$47+$B$48+$B$49+B84+$B$40)/$B$21),0)</f>
        <v>0.24999999858680305</v>
      </c>
      <c r="C85" s="410">
        <f>IFERROR((($B$30+$B$31+$B$32+$B$33+$B$34+B35+$B$46+$B$47+$B$48+$B$49+C84+$B$40)/$B$21),0)</f>
        <v>0.24844579629128455</v>
      </c>
      <c r="D85" s="437">
        <f>IFERROR((($B$30+$B$31+$B$32+$B$33+$B$34+B35+$B$46+$B$47+$B$48+$B$49+D84+$B$40)/$B$21),0)</f>
        <v>0.24999999858680305</v>
      </c>
      <c r="E85" s="410">
        <f>IFERROR((($B$30+$B$31+$B$32+$B$33+$B$34+B35+$B$46+$B$47+$B$48+$B$49+E84+$B$40)/$B$21),0)</f>
        <v>0.24844579629128455</v>
      </c>
      <c r="F85" s="263"/>
      <c r="G85" s="263"/>
      <c r="H85" s="460"/>
      <c r="I85" s="335">
        <f t="shared" si="3"/>
        <v>0</v>
      </c>
      <c r="P85" s="97"/>
      <c r="Q85" s="97"/>
      <c r="AC85" s="122"/>
      <c r="AD85" s="122"/>
      <c r="AE85" s="122"/>
      <c r="AF85" s="122"/>
      <c r="AG85" s="122"/>
      <c r="AH85" s="122"/>
      <c r="AI85" s="122"/>
      <c r="AJ85" s="122"/>
      <c r="AK85" s="122"/>
    </row>
    <row r="86" spans="1:37" ht="16.5" hidden="1" customHeight="1" x14ac:dyDescent="0.25">
      <c r="A86" s="276"/>
      <c r="B86" s="346">
        <f>ROUND(B85,2)%*100</f>
        <v>0.25</v>
      </c>
      <c r="C86" s="346">
        <f t="shared" ref="C86:E86" si="6">ROUND(C85,2)%*100</f>
        <v>0.25</v>
      </c>
      <c r="D86" s="347">
        <f>ROUND(I87,2)%*100</f>
        <v>0</v>
      </c>
      <c r="E86" s="346">
        <f t="shared" si="6"/>
        <v>0.25</v>
      </c>
      <c r="F86" s="339"/>
      <c r="G86" s="340"/>
      <c r="H86" s="340"/>
      <c r="I86" s="341"/>
      <c r="P86" s="97"/>
      <c r="Q86" s="97"/>
      <c r="AC86" s="122"/>
      <c r="AD86" s="122"/>
      <c r="AE86" s="122"/>
      <c r="AF86" s="122"/>
      <c r="AG86" s="122"/>
      <c r="AH86" s="122"/>
      <c r="AI86" s="122"/>
      <c r="AJ86" s="122"/>
      <c r="AK86" s="122"/>
    </row>
    <row r="87" spans="1:37" x14ac:dyDescent="0.25">
      <c r="A87" s="421" t="s">
        <v>191</v>
      </c>
      <c r="B87" s="426" t="str">
        <f>IF(D9="Si",IF(OR(B85&gt;$B22,SUM($D$16:$D$19)&gt;0,IFERROR(B84/$B$21,0)&gt;$L$13),"No califica","Califica"),IF(B85&gt;$B22,"No califica","Califica"))</f>
        <v>Califica</v>
      </c>
      <c r="C87" s="426" t="str">
        <f>IF(E9="Si",IF(OR(C85&gt;$B22,SUM($D$16:$D$19)&gt;0,IFERROR(C84/$B$21,0)&gt;$L$13),"No califica","Califica"),IF(C85&gt;$B22,"No califica","Califica"))</f>
        <v>Califica</v>
      </c>
      <c r="D87" s="426" t="str">
        <f>IF(F9="Si",IF(OR(D85&gt;$B22,SUM($D$16:$D$19)&gt;0,IFERROR(D84/$B$21,0)&gt;$L$13),"No califica","Califica"),IF(D85&gt;$B22,"No califica","Califica"))</f>
        <v>Califica</v>
      </c>
      <c r="E87" s="426" t="str">
        <f>IF(G9="Si",IF(OR(E85&gt;$B22,SUM($D$16:$D$19)&gt;0,IFERROR(E84/$B$21,0)&gt;$L$13),"No califica","Califica"),IF(E85&gt;$B22,"No califica","Califica"))</f>
        <v>Califica</v>
      </c>
      <c r="F87" s="340" t="s">
        <v>220</v>
      </c>
      <c r="G87" s="435">
        <f>+L117</f>
        <v>26937.760932944606</v>
      </c>
      <c r="H87" s="513" t="s">
        <v>224</v>
      </c>
      <c r="I87" s="514"/>
      <c r="P87" s="97"/>
      <c r="Q87" s="97"/>
      <c r="AC87" s="122"/>
      <c r="AD87" s="122"/>
      <c r="AE87" s="122"/>
      <c r="AF87" s="122"/>
      <c r="AG87" s="122"/>
      <c r="AH87" s="122"/>
      <c r="AI87" s="122"/>
      <c r="AJ87" s="122"/>
      <c r="AK87" s="122"/>
    </row>
    <row r="88" spans="1:37" x14ac:dyDescent="0.25">
      <c r="A88" s="421" t="s">
        <v>192</v>
      </c>
      <c r="B88" s="426" t="str">
        <f>IFERROR(IF(($B$31+$B$32+$B$33+$B$47+$B$48+B84-K24-K28-K33-K34)/($B$21)&gt;25%,"No cumple","Cumple"),"")</f>
        <v>Cumple</v>
      </c>
      <c r="C88" s="426" t="str">
        <f>IFERROR(IF(($B$31+$B$32+$B$33+$B$47+$B$48+C84-K24-K28-K33-K34)/($B$21)&gt;25%,"No cumple","Cumple"),"")</f>
        <v>Cumple</v>
      </c>
      <c r="D88" s="426" t="str">
        <f>IFERROR(IF(($B$31+$B$32+$B$33+$B$47+$B$48+D84-K24-K28-K33-K34)/($B$21)&gt;25%,"No cumple","Cumple"),"")</f>
        <v>Cumple</v>
      </c>
      <c r="E88" s="426" t="str">
        <f>IFERROR(IF(($B$31+$B$32+$B$33+$B$47+$B$48+E84-K24-K28-K33-K34)/($B$21)&gt;25%,"No cumple","Cumple"),"")</f>
        <v>Cumple</v>
      </c>
      <c r="F88" s="229" t="s">
        <v>221</v>
      </c>
      <c r="G88" s="335">
        <f>+I80+I81+I82+I83+I84+I85</f>
        <v>66937.760932944599</v>
      </c>
      <c r="H88" s="504" t="str">
        <f ca="1">+P194</f>
        <v>División Riesgos</v>
      </c>
      <c r="I88" s="504"/>
      <c r="P88" s="97"/>
      <c r="Q88" s="97"/>
    </row>
    <row r="89" spans="1:37" ht="15.75" thickBot="1" x14ac:dyDescent="0.3">
      <c r="A89" s="508" t="s">
        <v>90</v>
      </c>
      <c r="B89" s="509"/>
      <c r="C89" s="509"/>
      <c r="D89" s="509"/>
      <c r="E89" s="509"/>
      <c r="K89" s="98" t="s">
        <v>150</v>
      </c>
      <c r="L89" s="98" t="s">
        <v>154</v>
      </c>
      <c r="P89" s="97"/>
      <c r="Q89" s="97"/>
    </row>
    <row r="90" spans="1:37" ht="15" customHeight="1" x14ac:dyDescent="0.25">
      <c r="A90" s="493" t="s">
        <v>297</v>
      </c>
      <c r="B90" s="494" t="str">
        <f ca="1">IF(B10="Casado/Conviviente",O208,K208)</f>
        <v>SI CALIFICA</v>
      </c>
      <c r="C90" s="278"/>
      <c r="D90" s="278"/>
      <c r="E90" s="278"/>
      <c r="F90" s="278"/>
      <c r="G90" s="278"/>
      <c r="H90" s="278"/>
      <c r="I90" s="279"/>
      <c r="J90" s="122"/>
      <c r="K90" s="98" t="s">
        <v>149</v>
      </c>
      <c r="L90" s="98" t="s">
        <v>156</v>
      </c>
      <c r="P90" s="97"/>
      <c r="Q90" s="97"/>
    </row>
    <row r="91" spans="1:37" x14ac:dyDescent="0.25">
      <c r="A91" s="413" t="s">
        <v>159</v>
      </c>
      <c r="B91" s="263" t="s">
        <v>250</v>
      </c>
      <c r="C91" s="495" t="s">
        <v>117</v>
      </c>
      <c r="D91" s="280" t="str">
        <f>IF(OR(B99=K105,B99=K106),B62,B67)</f>
        <v>Muy Bueno</v>
      </c>
      <c r="E91" s="492"/>
      <c r="F91" s="492" t="s">
        <v>270</v>
      </c>
      <c r="G91" s="476"/>
      <c r="H91" s="263"/>
      <c r="I91" s="486"/>
      <c r="J91" s="122"/>
      <c r="K91" s="98" t="s">
        <v>170</v>
      </c>
      <c r="L91" s="98" t="s">
        <v>184</v>
      </c>
      <c r="P91" s="97" t="s">
        <v>285</v>
      </c>
      <c r="Q91" s="97"/>
      <c r="T91" s="97" t="s">
        <v>251</v>
      </c>
      <c r="X91" s="122" t="s">
        <v>94</v>
      </c>
    </row>
    <row r="92" spans="1:37" x14ac:dyDescent="0.25">
      <c r="A92" s="413"/>
      <c r="B92" s="492"/>
      <c r="C92" s="492" t="s">
        <v>173</v>
      </c>
      <c r="D92" s="492"/>
      <c r="E92" s="492"/>
      <c r="F92" s="492" t="s">
        <v>271</v>
      </c>
      <c r="G92" s="476"/>
      <c r="H92" s="263"/>
      <c r="I92" s="486"/>
      <c r="J92" s="122"/>
      <c r="K92" s="98" t="s">
        <v>151</v>
      </c>
      <c r="L92" s="98" t="s">
        <v>152</v>
      </c>
      <c r="P92" s="97" t="s">
        <v>110</v>
      </c>
      <c r="Q92" s="97"/>
      <c r="T92" s="97" t="s">
        <v>110</v>
      </c>
      <c r="X92" s="97" t="s">
        <v>110</v>
      </c>
    </row>
    <row r="93" spans="1:37" x14ac:dyDescent="0.25">
      <c r="A93" s="413" t="s">
        <v>320</v>
      </c>
      <c r="B93" s="476"/>
      <c r="C93" s="263"/>
      <c r="D93" s="492"/>
      <c r="E93" s="492"/>
      <c r="F93" s="492" t="s">
        <v>316</v>
      </c>
      <c r="G93" s="476"/>
      <c r="H93" s="263"/>
      <c r="I93" s="486"/>
      <c r="J93" s="122"/>
      <c r="K93" s="98" t="s">
        <v>152</v>
      </c>
      <c r="L93" s="98" t="s">
        <v>155</v>
      </c>
      <c r="P93" s="97">
        <v>0</v>
      </c>
      <c r="Q93" s="348">
        <f>750*D6</f>
        <v>5145</v>
      </c>
      <c r="R93" s="97" t="s">
        <v>107</v>
      </c>
      <c r="S93" s="122"/>
      <c r="T93" s="97">
        <v>0</v>
      </c>
      <c r="U93" s="97">
        <f>D6*4000</f>
        <v>27440</v>
      </c>
      <c r="V93" s="97" t="s">
        <v>107</v>
      </c>
      <c r="X93" s="97">
        <v>0</v>
      </c>
      <c r="Y93" s="97">
        <f>D6*1500</f>
        <v>10290</v>
      </c>
      <c r="Z93" s="97" t="s">
        <v>107</v>
      </c>
    </row>
    <row r="94" spans="1:37" x14ac:dyDescent="0.25">
      <c r="A94" s="413" t="s">
        <v>321</v>
      </c>
      <c r="B94" s="476"/>
      <c r="C94" s="263"/>
      <c r="D94" s="492"/>
      <c r="E94" s="492"/>
      <c r="F94" s="492"/>
      <c r="G94" s="492"/>
      <c r="H94" s="492"/>
      <c r="I94" s="486"/>
      <c r="J94" s="122"/>
      <c r="K94" s="98" t="s">
        <v>155</v>
      </c>
      <c r="L94" s="98" t="s">
        <v>199</v>
      </c>
      <c r="P94" s="97">
        <f>Q93</f>
        <v>5145</v>
      </c>
      <c r="Q94" s="97">
        <f>100000*D6</f>
        <v>686000</v>
      </c>
      <c r="R94" s="97" t="s">
        <v>109</v>
      </c>
      <c r="S94" s="122"/>
      <c r="T94" s="97">
        <f>U93</f>
        <v>27440</v>
      </c>
      <c r="U94" s="97">
        <f>Q94</f>
        <v>686000</v>
      </c>
      <c r="V94" s="97" t="s">
        <v>109</v>
      </c>
      <c r="X94" s="97">
        <f>Y93</f>
        <v>10290</v>
      </c>
      <c r="Y94" s="97">
        <f>U94</f>
        <v>686000</v>
      </c>
      <c r="Z94" s="97" t="s">
        <v>109</v>
      </c>
    </row>
    <row r="95" spans="1:37" x14ac:dyDescent="0.25">
      <c r="A95" s="413" t="s">
        <v>322</v>
      </c>
      <c r="B95" s="476"/>
      <c r="C95" s="263"/>
      <c r="D95" s="492"/>
      <c r="E95" s="492"/>
      <c r="F95" s="492"/>
      <c r="G95" s="492"/>
      <c r="H95" s="492"/>
      <c r="I95" s="486"/>
      <c r="J95" s="122"/>
      <c r="K95" s="98" t="s">
        <v>201</v>
      </c>
      <c r="L95" s="98" t="s">
        <v>201</v>
      </c>
      <c r="P95" s="97"/>
      <c r="Q95" s="97"/>
      <c r="S95" s="122"/>
    </row>
    <row r="96" spans="1:37" ht="9.75" customHeight="1" x14ac:dyDescent="0.25">
      <c r="A96" s="411"/>
      <c r="B96" s="492"/>
      <c r="C96" s="492"/>
      <c r="D96" s="492"/>
      <c r="E96" s="492"/>
      <c r="F96" s="492"/>
      <c r="G96" s="492"/>
      <c r="H96" s="492"/>
      <c r="I96" s="486"/>
      <c r="J96" s="122"/>
      <c r="P96" s="97"/>
      <c r="Q96" s="97"/>
    </row>
    <row r="97" spans="1:19" x14ac:dyDescent="0.25">
      <c r="A97" s="413" t="s">
        <v>157</v>
      </c>
      <c r="B97" s="281" t="str">
        <f>B9</f>
        <v>Si</v>
      </c>
      <c r="C97" s="492"/>
      <c r="D97" s="492"/>
      <c r="E97" s="492"/>
      <c r="F97" s="492"/>
      <c r="G97" s="492"/>
      <c r="H97" s="492"/>
      <c r="I97" s="486"/>
      <c r="J97" s="122"/>
      <c r="L97" s="98" t="s">
        <v>161</v>
      </c>
      <c r="M97" s="98" t="s">
        <v>14</v>
      </c>
      <c r="N97" s="98" t="s">
        <v>15</v>
      </c>
      <c r="O97" s="98" t="s">
        <v>183</v>
      </c>
      <c r="P97" s="98" t="s">
        <v>183</v>
      </c>
      <c r="Q97" s="98" t="s">
        <v>334</v>
      </c>
    </row>
    <row r="98" spans="1:19" ht="9" customHeight="1" x14ac:dyDescent="0.25">
      <c r="A98" s="413"/>
      <c r="B98" s="496" t="str">
        <f>IF(D9="SI","CON SEGURO DE CESANTIA","")</f>
        <v/>
      </c>
      <c r="C98" s="492"/>
      <c r="D98" s="492"/>
      <c r="E98" s="492"/>
      <c r="F98" s="492"/>
      <c r="G98" s="492"/>
      <c r="H98" s="492"/>
      <c r="I98" s="486"/>
      <c r="J98" s="454">
        <v>1</v>
      </c>
      <c r="K98" s="454">
        <v>1</v>
      </c>
      <c r="L98" s="349">
        <f>+B68</f>
        <v>184793.04</v>
      </c>
      <c r="M98" s="350">
        <f>+B72</f>
        <v>0.06</v>
      </c>
      <c r="N98" s="98">
        <f>+B75</f>
        <v>240</v>
      </c>
      <c r="O98" s="350">
        <f>+B76</f>
        <v>1.6E-2</v>
      </c>
      <c r="P98" s="350">
        <f>+B77</f>
        <v>1.9499999999999999E-3</v>
      </c>
      <c r="Q98" s="351">
        <f>B73</f>
        <v>0</v>
      </c>
    </row>
    <row r="99" spans="1:19" x14ac:dyDescent="0.25">
      <c r="A99" s="414" t="s">
        <v>165</v>
      </c>
      <c r="B99" s="475">
        <v>2</v>
      </c>
      <c r="C99" s="263"/>
      <c r="D99" s="492"/>
      <c r="E99" s="492"/>
      <c r="F99" s="492"/>
      <c r="G99" s="492"/>
      <c r="H99" s="492"/>
      <c r="I99" s="486"/>
      <c r="J99" s="454" t="s">
        <v>162</v>
      </c>
      <c r="K99" s="454" t="s">
        <v>162</v>
      </c>
      <c r="L99" s="349">
        <f>+C68</f>
        <v>184793.04</v>
      </c>
      <c r="M99" s="350">
        <f>+C72</f>
        <v>0.06</v>
      </c>
      <c r="N99" s="98">
        <f>+C75</f>
        <v>246</v>
      </c>
      <c r="O99" s="350">
        <f>+C76</f>
        <v>1.6E-2</v>
      </c>
      <c r="P99" s="350">
        <f>C77</f>
        <v>1.9499999999999999E-3</v>
      </c>
      <c r="Q99" s="350">
        <f>C73</f>
        <v>0</v>
      </c>
      <c r="S99" s="122"/>
    </row>
    <row r="100" spans="1:19" x14ac:dyDescent="0.25">
      <c r="A100" s="414" t="s">
        <v>158</v>
      </c>
      <c r="B100" s="282">
        <f>IFERROR(VLOOKUP(B99,K98:O106,2,TRUE),"")</f>
        <v>184793.04</v>
      </c>
      <c r="C100" s="492"/>
      <c r="D100" s="492"/>
      <c r="E100" s="492"/>
      <c r="F100" s="492"/>
      <c r="G100" s="492"/>
      <c r="H100" s="492"/>
      <c r="I100" s="486"/>
      <c r="J100" s="454">
        <v>2</v>
      </c>
      <c r="K100" s="454">
        <v>2</v>
      </c>
      <c r="L100" s="349">
        <f>+D68</f>
        <v>184793.04</v>
      </c>
      <c r="M100" s="350">
        <f>+D72</f>
        <v>0.06</v>
      </c>
      <c r="N100" s="98">
        <f>+D75</f>
        <v>240</v>
      </c>
      <c r="O100" s="350">
        <f>+D76</f>
        <v>1.6E-2</v>
      </c>
      <c r="P100" s="350">
        <f>+D77</f>
        <v>1.9499999999999999E-3</v>
      </c>
      <c r="Q100" s="318">
        <f>D73</f>
        <v>0</v>
      </c>
      <c r="S100" s="122"/>
    </row>
    <row r="101" spans="1:19" x14ac:dyDescent="0.25">
      <c r="A101" s="414" t="s">
        <v>335</v>
      </c>
      <c r="B101" s="283">
        <f>IFERROR(VLOOKUP(B99,K98:N106,3,TRUE),"")</f>
        <v>0.06</v>
      </c>
      <c r="C101" s="492"/>
      <c r="D101" s="492"/>
      <c r="E101" s="492"/>
      <c r="F101" s="492"/>
      <c r="G101" s="492"/>
      <c r="H101" s="492"/>
      <c r="I101" s="486"/>
      <c r="J101" s="454" t="s">
        <v>163</v>
      </c>
      <c r="K101" s="454" t="s">
        <v>163</v>
      </c>
      <c r="L101" s="349">
        <f>E68</f>
        <v>184793.04</v>
      </c>
      <c r="M101" s="350">
        <f>E72</f>
        <v>0.06</v>
      </c>
      <c r="N101" s="351">
        <f>E75</f>
        <v>246</v>
      </c>
      <c r="O101" s="350">
        <f>E76</f>
        <v>1.6E-2</v>
      </c>
      <c r="P101" s="501">
        <f>E77</f>
        <v>1.9499999999999999E-3</v>
      </c>
      <c r="Q101" s="318">
        <f>E73</f>
        <v>0</v>
      </c>
      <c r="S101" s="122"/>
    </row>
    <row r="102" spans="1:19" ht="15.75" customHeight="1" x14ac:dyDescent="0.25">
      <c r="A102" s="414" t="s">
        <v>334</v>
      </c>
      <c r="B102" s="502">
        <f>IFERROR(VLOOKUP(B99,K98:Q106,7,TRUE),"")</f>
        <v>0</v>
      </c>
      <c r="C102" s="499" t="s">
        <v>340</v>
      </c>
      <c r="D102" s="492"/>
      <c r="E102" s="492"/>
      <c r="F102" s="492"/>
      <c r="G102" s="492"/>
      <c r="H102" s="492"/>
      <c r="I102" s="486"/>
      <c r="J102" s="454" t="s">
        <v>166</v>
      </c>
      <c r="K102" s="454">
        <v>3</v>
      </c>
      <c r="L102" s="349" t="e">
        <f>+#REF!</f>
        <v>#REF!</v>
      </c>
      <c r="M102" s="350" t="e">
        <f>+#REF!</f>
        <v>#REF!</v>
      </c>
      <c r="N102" s="98">
        <f>+G77</f>
        <v>0</v>
      </c>
      <c r="O102" s="350">
        <f>+G78</f>
        <v>0</v>
      </c>
      <c r="P102" s="97"/>
      <c r="Q102" s="97"/>
      <c r="S102" s="122"/>
    </row>
    <row r="103" spans="1:19" x14ac:dyDescent="0.25">
      <c r="A103" s="414" t="s">
        <v>15</v>
      </c>
      <c r="B103" s="281">
        <f>IFERROR(VLOOKUP(B99,K98:N106,4,TRUE),"")</f>
        <v>240</v>
      </c>
      <c r="C103" s="492"/>
      <c r="D103" s="492"/>
      <c r="E103" s="492"/>
      <c r="F103" s="492"/>
      <c r="G103" s="492"/>
      <c r="H103" s="492"/>
      <c r="I103" s="486"/>
      <c r="J103" s="454" t="s">
        <v>167</v>
      </c>
      <c r="K103" s="454" t="s">
        <v>164</v>
      </c>
      <c r="L103" s="349" t="e">
        <f>+#REF!</f>
        <v>#REF!</v>
      </c>
      <c r="M103" s="350" t="e">
        <f>+#REF!</f>
        <v>#REF!</v>
      </c>
      <c r="N103" s="98">
        <f>+H77</f>
        <v>0</v>
      </c>
      <c r="O103" s="350">
        <f>+H78</f>
        <v>0</v>
      </c>
      <c r="P103" s="97"/>
      <c r="Q103" s="97"/>
      <c r="S103" s="122"/>
    </row>
    <row r="104" spans="1:19" x14ac:dyDescent="0.25">
      <c r="A104" s="413" t="s">
        <v>182</v>
      </c>
      <c r="B104" s="283">
        <f>IFERROR(VLOOKUP(B99,K98:O106,5,TRUE),"")</f>
        <v>1.6E-2</v>
      </c>
      <c r="C104" s="496" t="str">
        <f>IFERROR(IF(B10="Casado/Conviviente","Mancómuno","Individual"),"")</f>
        <v>Mancómuno</v>
      </c>
      <c r="D104" s="492"/>
      <c r="E104" s="492"/>
      <c r="F104" s="492"/>
      <c r="G104" s="492"/>
      <c r="H104" s="492"/>
      <c r="I104" s="486"/>
      <c r="J104" s="122"/>
      <c r="K104" s="454">
        <v>4</v>
      </c>
      <c r="L104" s="349" t="e">
        <f>+#REF!</f>
        <v>#REF!</v>
      </c>
      <c r="M104" s="350" t="e">
        <f>+#REF!</f>
        <v>#REF!</v>
      </c>
      <c r="N104" s="98">
        <f>+I77</f>
        <v>0</v>
      </c>
      <c r="O104" s="350">
        <f>+I78</f>
        <v>0</v>
      </c>
      <c r="P104" s="97"/>
      <c r="Q104" s="97"/>
      <c r="S104" s="122"/>
    </row>
    <row r="105" spans="1:19" x14ac:dyDescent="0.25">
      <c r="A105" s="413" t="s">
        <v>17</v>
      </c>
      <c r="B105" s="284">
        <f>IFERROR(VLOOKUP(B99,K98:P106,6,TRUE),"")</f>
        <v>1.9499999999999999E-3</v>
      </c>
      <c r="C105" s="496"/>
      <c r="D105" s="492"/>
      <c r="E105" s="492"/>
      <c r="F105" s="492"/>
      <c r="G105" s="492"/>
      <c r="H105" s="492"/>
      <c r="I105" s="486"/>
      <c r="J105" s="122"/>
      <c r="K105" s="98" t="s">
        <v>166</v>
      </c>
      <c r="L105" s="225">
        <f>+C60</f>
        <v>0</v>
      </c>
      <c r="M105" s="98" t="s">
        <v>169</v>
      </c>
      <c r="N105" s="98" t="s">
        <v>169</v>
      </c>
      <c r="O105" s="98" t="s">
        <v>202</v>
      </c>
      <c r="P105" s="97"/>
      <c r="Q105" s="97"/>
      <c r="S105" s="122"/>
    </row>
    <row r="106" spans="1:19" x14ac:dyDescent="0.25">
      <c r="A106" s="415" t="s">
        <v>222</v>
      </c>
      <c r="B106" s="478" t="s">
        <v>223</v>
      </c>
      <c r="C106" s="496"/>
      <c r="D106" s="492"/>
      <c r="E106" s="492"/>
      <c r="F106" s="492"/>
      <c r="G106" s="492"/>
      <c r="H106" s="492"/>
      <c r="I106" s="486"/>
      <c r="J106" s="122"/>
      <c r="K106" s="98" t="s">
        <v>167</v>
      </c>
      <c r="L106" s="225">
        <f>+D60</f>
        <v>0</v>
      </c>
      <c r="M106" s="98" t="s">
        <v>169</v>
      </c>
      <c r="N106" s="98" t="s">
        <v>169</v>
      </c>
      <c r="O106" s="98" t="s">
        <v>202</v>
      </c>
      <c r="P106" s="97"/>
      <c r="Q106" s="97"/>
      <c r="S106" s="122"/>
    </row>
    <row r="107" spans="1:19" x14ac:dyDescent="0.25">
      <c r="A107" s="415" t="s">
        <v>259</v>
      </c>
      <c r="B107" s="479" t="str">
        <f>IF(OR(B24="PREMIUM",B24="VIP",B24="TOP"),B24,"")</f>
        <v/>
      </c>
      <c r="C107" s="496"/>
      <c r="D107" s="492"/>
      <c r="E107" s="492"/>
      <c r="F107" s="492"/>
      <c r="G107" s="492"/>
      <c r="H107" s="492"/>
      <c r="I107" s="486"/>
      <c r="J107" s="122"/>
      <c r="N107" s="98">
        <v>60</v>
      </c>
      <c r="P107" s="97"/>
      <c r="Q107" s="97"/>
      <c r="S107" s="122"/>
    </row>
    <row r="108" spans="1:19" x14ac:dyDescent="0.25">
      <c r="A108" s="413" t="s">
        <v>174</v>
      </c>
      <c r="B108" s="545" t="s">
        <v>179</v>
      </c>
      <c r="C108" s="546"/>
      <c r="D108" s="492"/>
      <c r="E108" s="492"/>
      <c r="F108" s="492"/>
      <c r="G108" s="492"/>
      <c r="H108" s="492"/>
      <c r="I108" s="486"/>
      <c r="J108" s="122"/>
      <c r="P108" s="97"/>
      <c r="Q108" s="97"/>
      <c r="S108" s="122"/>
    </row>
    <row r="109" spans="1:19" x14ac:dyDescent="0.25">
      <c r="A109" s="413" t="s">
        <v>254</v>
      </c>
      <c r="B109" s="492"/>
      <c r="C109" s="492"/>
      <c r="D109" s="492"/>
      <c r="E109" s="492"/>
      <c r="F109" s="492"/>
      <c r="G109" s="492"/>
      <c r="H109" s="492"/>
      <c r="I109" s="486"/>
      <c r="J109" s="122"/>
      <c r="L109" s="98" t="s">
        <v>241</v>
      </c>
      <c r="P109" s="97"/>
      <c r="Q109" s="97"/>
      <c r="S109" s="122"/>
    </row>
    <row r="110" spans="1:19" x14ac:dyDescent="0.25">
      <c r="A110" s="413"/>
      <c r="B110" s="492"/>
      <c r="C110" s="492"/>
      <c r="D110" s="492"/>
      <c r="E110" s="492"/>
      <c r="F110" s="492"/>
      <c r="G110" s="492"/>
      <c r="H110" s="492"/>
      <c r="I110" s="486"/>
      <c r="J110" s="122"/>
      <c r="L110" s="209" t="s">
        <v>218</v>
      </c>
      <c r="P110" s="97"/>
      <c r="Q110" s="97"/>
      <c r="S110" s="122"/>
    </row>
    <row r="111" spans="1:19" x14ac:dyDescent="0.25">
      <c r="A111" s="413" t="s">
        <v>255</v>
      </c>
      <c r="B111" s="492"/>
      <c r="C111" s="492"/>
      <c r="D111" s="492"/>
      <c r="E111" s="492"/>
      <c r="F111" s="492"/>
      <c r="G111" s="492"/>
      <c r="H111" s="492"/>
      <c r="I111" s="486"/>
      <c r="J111" s="122"/>
      <c r="L111" s="352">
        <f t="shared" ref="L111:L116" si="7">+IF(G80=$K$143,I80,0)</f>
        <v>26937.760932944606</v>
      </c>
      <c r="P111" s="97"/>
      <c r="Q111" s="97"/>
      <c r="S111" s="122"/>
    </row>
    <row r="112" spans="1:19" x14ac:dyDescent="0.25">
      <c r="A112" s="411"/>
      <c r="B112" s="492"/>
      <c r="C112" s="492"/>
      <c r="D112" s="492"/>
      <c r="E112" s="492"/>
      <c r="F112" s="492"/>
      <c r="G112" s="492"/>
      <c r="H112" s="492"/>
      <c r="I112" s="486"/>
      <c r="J112" s="122"/>
      <c r="L112" s="352">
        <f t="shared" si="7"/>
        <v>0</v>
      </c>
      <c r="P112" s="97"/>
      <c r="Q112" s="97"/>
      <c r="S112" s="122"/>
    </row>
    <row r="113" spans="1:19" ht="15.75" customHeight="1" x14ac:dyDescent="0.25">
      <c r="A113" s="411"/>
      <c r="B113" s="492"/>
      <c r="C113" s="492"/>
      <c r="D113" s="492"/>
      <c r="E113" s="492"/>
      <c r="F113" s="492"/>
      <c r="G113" s="492"/>
      <c r="H113" s="492"/>
      <c r="I113" s="486"/>
      <c r="J113" s="122"/>
      <c r="L113" s="352">
        <f t="shared" si="7"/>
        <v>0</v>
      </c>
      <c r="P113" s="97"/>
      <c r="Q113" s="97"/>
      <c r="S113" s="122"/>
    </row>
    <row r="114" spans="1:19" ht="15.75" customHeight="1" x14ac:dyDescent="0.25">
      <c r="A114" s="411"/>
      <c r="B114" s="492"/>
      <c r="C114" s="492"/>
      <c r="D114" s="492"/>
      <c r="E114" s="492"/>
      <c r="F114" s="492"/>
      <c r="G114" s="492"/>
      <c r="H114" s="492"/>
      <c r="I114" s="486"/>
      <c r="J114" s="122"/>
      <c r="L114" s="352">
        <f t="shared" si="7"/>
        <v>0</v>
      </c>
      <c r="P114" s="97"/>
      <c r="Q114" s="97"/>
      <c r="S114" s="122"/>
    </row>
    <row r="115" spans="1:19" ht="13.5" customHeight="1" x14ac:dyDescent="0.25">
      <c r="A115" s="411"/>
      <c r="B115" s="492"/>
      <c r="C115" s="492"/>
      <c r="D115" s="492"/>
      <c r="E115" s="492"/>
      <c r="F115" s="492"/>
      <c r="G115" s="492"/>
      <c r="H115" s="492"/>
      <c r="I115" s="486"/>
      <c r="L115" s="352">
        <f t="shared" si="7"/>
        <v>0</v>
      </c>
      <c r="P115" s="97"/>
      <c r="Q115" s="97"/>
      <c r="S115" s="122"/>
    </row>
    <row r="116" spans="1:19" ht="18.75" customHeight="1" x14ac:dyDescent="0.25">
      <c r="A116" s="411"/>
      <c r="B116" s="492"/>
      <c r="C116" s="492"/>
      <c r="D116" s="492"/>
      <c r="E116" s="492"/>
      <c r="F116" s="492"/>
      <c r="G116" s="492"/>
      <c r="H116" s="492"/>
      <c r="I116" s="486"/>
      <c r="J116" s="122"/>
      <c r="L116" s="352">
        <f t="shared" si="7"/>
        <v>0</v>
      </c>
      <c r="P116" s="97"/>
      <c r="Q116" s="97"/>
      <c r="S116" s="122"/>
    </row>
    <row r="117" spans="1:19" ht="12" customHeight="1" x14ac:dyDescent="0.25">
      <c r="A117" s="411"/>
      <c r="B117" s="492"/>
      <c r="C117" s="492"/>
      <c r="D117" s="492"/>
      <c r="E117" s="492"/>
      <c r="F117" s="492"/>
      <c r="G117" s="492"/>
      <c r="H117" s="492"/>
      <c r="I117" s="486"/>
      <c r="J117" s="122"/>
      <c r="K117" s="122" t="s">
        <v>242</v>
      </c>
      <c r="L117" s="352">
        <f>SUM(L111:L116)</f>
        <v>26937.760932944606</v>
      </c>
      <c r="P117" s="97"/>
      <c r="Q117" s="97"/>
      <c r="S117" s="122"/>
    </row>
    <row r="118" spans="1:19" ht="14.25" customHeight="1" x14ac:dyDescent="0.25">
      <c r="A118" s="411"/>
      <c r="B118" s="492"/>
      <c r="C118" s="492"/>
      <c r="D118" s="492"/>
      <c r="E118" s="492"/>
      <c r="F118" s="492"/>
      <c r="G118" s="492"/>
      <c r="H118" s="492"/>
      <c r="I118" s="486"/>
      <c r="J118" s="122"/>
      <c r="P118" s="97"/>
      <c r="Q118" s="97"/>
      <c r="S118" s="122"/>
    </row>
    <row r="119" spans="1:19" x14ac:dyDescent="0.25">
      <c r="A119" s="411"/>
      <c r="B119" s="492"/>
      <c r="C119" s="492"/>
      <c r="D119" s="492"/>
      <c r="E119" s="492"/>
      <c r="F119" s="492"/>
      <c r="G119" s="492"/>
      <c r="H119" s="492"/>
      <c r="I119" s="486"/>
      <c r="J119" s="122"/>
      <c r="P119" s="97"/>
      <c r="Q119" s="97"/>
      <c r="S119" s="122"/>
    </row>
    <row r="120" spans="1:19" x14ac:dyDescent="0.25">
      <c r="A120" s="411"/>
      <c r="B120" s="492"/>
      <c r="C120" s="492"/>
      <c r="D120" s="492"/>
      <c r="E120" s="492"/>
      <c r="F120" s="492"/>
      <c r="G120" s="492"/>
      <c r="H120" s="492"/>
      <c r="I120" s="486"/>
      <c r="J120" s="122"/>
      <c r="P120" s="97"/>
      <c r="Q120" s="97"/>
      <c r="S120" s="122"/>
    </row>
    <row r="121" spans="1:19" x14ac:dyDescent="0.25">
      <c r="A121" s="411"/>
      <c r="B121" s="492"/>
      <c r="C121" s="492"/>
      <c r="D121" s="492"/>
      <c r="E121" s="492"/>
      <c r="F121" s="492"/>
      <c r="G121" s="492"/>
      <c r="H121" s="492"/>
      <c r="I121" s="486"/>
      <c r="J121" s="122"/>
      <c r="P121" s="97"/>
      <c r="Q121" s="97"/>
      <c r="S121" s="122"/>
    </row>
    <row r="122" spans="1:19" x14ac:dyDescent="0.25">
      <c r="A122" s="411"/>
      <c r="B122" s="492"/>
      <c r="C122" s="492"/>
      <c r="D122" s="492"/>
      <c r="E122" s="492"/>
      <c r="F122" s="492"/>
      <c r="G122" s="492"/>
      <c r="H122" s="492"/>
      <c r="I122" s="486"/>
      <c r="J122" s="122"/>
      <c r="O122" s="98" t="s">
        <v>333</v>
      </c>
      <c r="P122" s="97"/>
      <c r="Q122" s="97"/>
      <c r="S122" s="122"/>
    </row>
    <row r="123" spans="1:19" x14ac:dyDescent="0.25">
      <c r="A123" s="411"/>
      <c r="B123" s="492"/>
      <c r="C123" s="492"/>
      <c r="D123" s="492"/>
      <c r="E123" s="492"/>
      <c r="F123" s="492"/>
      <c r="G123" s="492"/>
      <c r="H123" s="492"/>
      <c r="I123" s="486"/>
      <c r="J123" s="122"/>
      <c r="O123" s="98" t="s">
        <v>250</v>
      </c>
      <c r="P123" s="97"/>
      <c r="Q123" s="97"/>
      <c r="S123" s="122"/>
    </row>
    <row r="124" spans="1:19" x14ac:dyDescent="0.25">
      <c r="A124" s="411"/>
      <c r="B124" s="492"/>
      <c r="C124" s="492"/>
      <c r="D124" s="492"/>
      <c r="E124" s="492"/>
      <c r="F124" s="492"/>
      <c r="G124" s="492"/>
      <c r="H124" s="492"/>
      <c r="I124" s="486"/>
      <c r="J124" s="122"/>
      <c r="K124" s="98" t="s">
        <v>174</v>
      </c>
      <c r="O124" s="98" t="s">
        <v>160</v>
      </c>
      <c r="P124" s="97"/>
      <c r="Q124" s="97"/>
      <c r="S124" s="122"/>
    </row>
    <row r="125" spans="1:19" ht="15.75" customHeight="1" thickBot="1" x14ac:dyDescent="0.3">
      <c r="A125" s="487"/>
      <c r="B125" s="488"/>
      <c r="C125" s="488"/>
      <c r="D125" s="488"/>
      <c r="E125" s="488"/>
      <c r="F125" s="488"/>
      <c r="G125" s="488"/>
      <c r="H125" s="488"/>
      <c r="I125" s="489"/>
      <c r="J125" s="122"/>
      <c r="K125" s="98" t="s">
        <v>175</v>
      </c>
      <c r="O125" s="98" t="s">
        <v>63</v>
      </c>
      <c r="P125" s="97"/>
      <c r="Q125" s="98" t="s">
        <v>203</v>
      </c>
      <c r="S125" s="122"/>
    </row>
    <row r="126" spans="1:19" ht="15" hidden="1" customHeight="1" outlineLevel="1" thickBot="1" x14ac:dyDescent="0.3">
      <c r="A126" s="386" t="s">
        <v>50</v>
      </c>
      <c r="B126" s="387" t="s">
        <v>51</v>
      </c>
      <c r="C126" s="388">
        <f>C16</f>
        <v>0</v>
      </c>
      <c r="D126" s="389"/>
      <c r="K126" s="98" t="s">
        <v>176</v>
      </c>
      <c r="O126" s="98" t="s">
        <v>119</v>
      </c>
      <c r="P126" s="97"/>
      <c r="Q126" s="98" t="s">
        <v>204</v>
      </c>
      <c r="S126" s="122"/>
    </row>
    <row r="127" spans="1:19" ht="15" hidden="1" customHeight="1" outlineLevel="1" thickTop="1" x14ac:dyDescent="0.25">
      <c r="A127" s="88"/>
      <c r="B127" s="88"/>
      <c r="C127" s="88"/>
      <c r="D127" s="88"/>
      <c r="K127" s="98" t="s">
        <v>177</v>
      </c>
      <c r="O127" s="98" t="s">
        <v>209</v>
      </c>
      <c r="P127" s="97"/>
      <c r="Q127" s="98" t="s">
        <v>253</v>
      </c>
      <c r="S127" s="122"/>
    </row>
    <row r="128" spans="1:19" ht="14.25" hidden="1" customHeight="1" outlineLevel="1" x14ac:dyDescent="0.25">
      <c r="A128" s="390" t="s">
        <v>33</v>
      </c>
      <c r="B128" s="391" t="s">
        <v>34</v>
      </c>
      <c r="C128" s="390" t="s">
        <v>35</v>
      </c>
      <c r="D128" s="389"/>
      <c r="K128" s="98" t="s">
        <v>302</v>
      </c>
      <c r="O128" s="98" t="s">
        <v>210</v>
      </c>
      <c r="P128" s="97"/>
      <c r="Q128" s="97" t="s">
        <v>256</v>
      </c>
      <c r="S128" s="122"/>
    </row>
    <row r="129" spans="1:24" ht="14.25" hidden="1" customHeight="1" outlineLevel="1" x14ac:dyDescent="0.25">
      <c r="A129" s="392" t="s">
        <v>36</v>
      </c>
      <c r="B129" s="393">
        <v>0.03</v>
      </c>
      <c r="C129" s="394">
        <f>IF(C126&gt;40770,40770*B129,C126*B129)</f>
        <v>0</v>
      </c>
      <c r="D129" s="389"/>
      <c r="K129" s="98" t="s">
        <v>178</v>
      </c>
      <c r="P129" s="97"/>
      <c r="Q129" s="97" t="s">
        <v>257</v>
      </c>
    </row>
    <row r="130" spans="1:24" ht="14.25" hidden="1" customHeight="1" outlineLevel="1" x14ac:dyDescent="0.25">
      <c r="A130" s="392" t="s">
        <v>37</v>
      </c>
      <c r="B130" s="395">
        <v>1.7100000000000001E-2</v>
      </c>
      <c r="C130" s="394">
        <f>IF(C126&gt;40770,40770*B130,C126*B130)</f>
        <v>0</v>
      </c>
      <c r="D130" s="389"/>
      <c r="K130" s="98" t="s">
        <v>179</v>
      </c>
      <c r="P130" s="97"/>
      <c r="Q130" s="97" t="s">
        <v>337</v>
      </c>
    </row>
    <row r="131" spans="1:24" ht="14.25" hidden="1" customHeight="1" outlineLevel="1" x14ac:dyDescent="0.25">
      <c r="A131" s="396" t="s">
        <v>38</v>
      </c>
      <c r="B131" s="397"/>
      <c r="C131" s="398">
        <f>SUM(C129:C130)</f>
        <v>0</v>
      </c>
      <c r="D131" s="399"/>
      <c r="K131" s="98" t="s">
        <v>180</v>
      </c>
      <c r="P131" s="97"/>
      <c r="Q131" s="97" t="s">
        <v>338</v>
      </c>
    </row>
    <row r="132" spans="1:24" ht="14.25" hidden="1" customHeight="1" outlineLevel="1" x14ac:dyDescent="0.25">
      <c r="A132" s="390" t="s">
        <v>39</v>
      </c>
      <c r="B132" s="390"/>
      <c r="C132" s="400"/>
      <c r="D132" s="389"/>
      <c r="K132" s="98" t="s">
        <v>181</v>
      </c>
      <c r="P132" s="97"/>
      <c r="Q132" s="97" t="s">
        <v>339</v>
      </c>
    </row>
    <row r="133" spans="1:24" ht="14.25" hidden="1" customHeight="1" outlineLevel="1" x14ac:dyDescent="0.25">
      <c r="A133" s="392" t="s">
        <v>40</v>
      </c>
      <c r="B133" s="395">
        <v>0.1</v>
      </c>
      <c r="C133" s="394">
        <f>IF(C126&gt;40770,40770*B133,C126*B133)</f>
        <v>0</v>
      </c>
      <c r="D133" s="389"/>
      <c r="K133" s="98" t="s">
        <v>185</v>
      </c>
      <c r="P133" s="97"/>
      <c r="Q133" s="97"/>
    </row>
    <row r="134" spans="1:24" ht="14.25" hidden="1" customHeight="1" outlineLevel="1" x14ac:dyDescent="0.25">
      <c r="A134" s="392" t="s">
        <v>41</v>
      </c>
      <c r="B134" s="395">
        <v>5.0000000000000001E-3</v>
      </c>
      <c r="C134" s="394">
        <f>IF(C126&gt;40770,40770*B134,C126*B134)</f>
        <v>0</v>
      </c>
      <c r="D134" s="389"/>
      <c r="K134" s="98" t="s">
        <v>186</v>
      </c>
      <c r="P134" s="97"/>
      <c r="Q134" s="97"/>
    </row>
    <row r="135" spans="1:24" ht="14.25" hidden="1" customHeight="1" outlineLevel="1" x14ac:dyDescent="0.25">
      <c r="A135" s="392" t="s">
        <v>42</v>
      </c>
      <c r="B135" s="395">
        <v>1.7100000000000001E-2</v>
      </c>
      <c r="C135" s="394">
        <f>IF(C126&gt;40770,40770*B135,C126*B135)</f>
        <v>0</v>
      </c>
      <c r="D135" s="389"/>
      <c r="K135" s="98" t="s">
        <v>187</v>
      </c>
      <c r="P135" s="97"/>
      <c r="Q135" s="97"/>
    </row>
    <row r="136" spans="1:24" ht="14.25" hidden="1" customHeight="1" outlineLevel="1" x14ac:dyDescent="0.25">
      <c r="A136" s="392" t="s">
        <v>43</v>
      </c>
      <c r="B136" s="395">
        <v>5.0000000000000001E-3</v>
      </c>
      <c r="C136" s="394">
        <f>IF(C126&gt;40770,40770*B136,C126*B136)</f>
        <v>0</v>
      </c>
      <c r="D136" s="390" t="s">
        <v>44</v>
      </c>
      <c r="K136" s="98" t="s">
        <v>188</v>
      </c>
      <c r="P136" s="97"/>
      <c r="Q136" s="97"/>
    </row>
    <row r="137" spans="1:24" ht="14.25" hidden="1" customHeight="1" outlineLevel="1" x14ac:dyDescent="0.25">
      <c r="A137" s="392" t="s">
        <v>45</v>
      </c>
      <c r="B137" s="395">
        <v>0.01</v>
      </c>
      <c r="C137" s="394">
        <f>IF((C126-13000)&gt;0,(C126-13000)*B137,0)</f>
        <v>0</v>
      </c>
      <c r="D137" s="401" t="s">
        <v>46</v>
      </c>
      <c r="K137" s="98" t="s">
        <v>189</v>
      </c>
      <c r="P137" s="97"/>
      <c r="Q137" s="97"/>
    </row>
    <row r="138" spans="1:24" ht="14.25" hidden="1" customHeight="1" outlineLevel="1" x14ac:dyDescent="0.25">
      <c r="A138" s="392" t="s">
        <v>45</v>
      </c>
      <c r="B138" s="395">
        <v>0.05</v>
      </c>
      <c r="C138" s="394">
        <f>IF((C126-25000)&gt;0,(C126-25000)*B138,0)</f>
        <v>0</v>
      </c>
      <c r="D138" s="401" t="s">
        <v>47</v>
      </c>
      <c r="K138" s="98" t="s">
        <v>190</v>
      </c>
      <c r="P138" s="97"/>
      <c r="Q138" s="97"/>
    </row>
    <row r="139" spans="1:24" ht="14.25" hidden="1" customHeight="1" outlineLevel="1" x14ac:dyDescent="0.25">
      <c r="A139" s="392" t="s">
        <v>45</v>
      </c>
      <c r="B139" s="395">
        <v>0.1</v>
      </c>
      <c r="C139" s="394">
        <f>IF((C126-35000)&gt;0,(C126-35000)*B139,0)</f>
        <v>0</v>
      </c>
      <c r="D139" s="401" t="s">
        <v>48</v>
      </c>
      <c r="P139" s="97"/>
      <c r="Q139" s="97"/>
    </row>
    <row r="140" spans="1:24" ht="14.25" hidden="1" customHeight="1" outlineLevel="1" x14ac:dyDescent="0.25">
      <c r="A140" s="396"/>
      <c r="B140" s="397"/>
      <c r="C140" s="398">
        <f>SUM(C133:C139)</f>
        <v>0</v>
      </c>
      <c r="D140" s="399" t="e">
        <f>(C137+C138+C139)/C126</f>
        <v>#DIV/0!</v>
      </c>
      <c r="K140" s="353" t="s">
        <v>217</v>
      </c>
      <c r="O140" s="98" t="s">
        <v>237</v>
      </c>
      <c r="P140" s="97"/>
      <c r="Q140" s="97"/>
    </row>
    <row r="141" spans="1:24" ht="14.25" hidden="1" customHeight="1" outlineLevel="1" x14ac:dyDescent="0.25">
      <c r="A141" s="396" t="s">
        <v>49</v>
      </c>
      <c r="B141" s="397"/>
      <c r="C141" s="398">
        <f>C131+C140</f>
        <v>0</v>
      </c>
      <c r="D141" s="399"/>
      <c r="P141" s="97"/>
      <c r="Q141" s="97"/>
    </row>
    <row r="142" spans="1:24" ht="14.25" hidden="1" customHeight="1" outlineLevel="1" x14ac:dyDescent="0.25">
      <c r="A142" s="389"/>
      <c r="B142" s="389"/>
      <c r="C142" s="389"/>
      <c r="D142" s="389"/>
      <c r="K142" s="354" t="s">
        <v>216</v>
      </c>
      <c r="O142" s="355" t="s">
        <v>235</v>
      </c>
      <c r="S142" s="356"/>
      <c r="T142" s="357" t="s">
        <v>236</v>
      </c>
      <c r="U142" s="358"/>
      <c r="V142" s="358"/>
      <c r="W142" s="359"/>
      <c r="X142" s="360"/>
    </row>
    <row r="143" spans="1:24" ht="14.25" hidden="1" customHeight="1" outlineLevel="1" x14ac:dyDescent="0.25">
      <c r="A143" s="402" t="s">
        <v>52</v>
      </c>
      <c r="B143" s="403"/>
      <c r="C143" s="404">
        <f>C126-C140</f>
        <v>0</v>
      </c>
      <c r="D143" s="123"/>
      <c r="K143" s="98" t="s">
        <v>218</v>
      </c>
      <c r="O143" s="361">
        <v>0</v>
      </c>
      <c r="P143" s="358"/>
      <c r="Q143" s="358"/>
      <c r="R143" s="358"/>
      <c r="S143" s="362"/>
      <c r="T143" s="363">
        <v>0</v>
      </c>
      <c r="U143" s="364">
        <v>9000</v>
      </c>
      <c r="V143" s="98">
        <v>1</v>
      </c>
      <c r="W143" s="365" t="s">
        <v>234</v>
      </c>
      <c r="X143" s="366"/>
    </row>
    <row r="144" spans="1:24" ht="14.25" hidden="1" customHeight="1" outlineLevel="1" x14ac:dyDescent="0.25">
      <c r="K144" s="98" t="s">
        <v>219</v>
      </c>
      <c r="O144" s="361">
        <v>45001</v>
      </c>
      <c r="P144" s="364">
        <v>45000</v>
      </c>
      <c r="Q144" s="98">
        <v>1</v>
      </c>
      <c r="R144" s="98" t="s">
        <v>234</v>
      </c>
      <c r="S144" s="362"/>
      <c r="T144" s="363">
        <v>9001</v>
      </c>
      <c r="U144" s="364">
        <v>17000</v>
      </c>
      <c r="V144" s="98">
        <v>2</v>
      </c>
      <c r="W144" s="365" t="s">
        <v>233</v>
      </c>
      <c r="X144" s="366"/>
    </row>
    <row r="145" spans="1:24" ht="15" hidden="1" customHeight="1" outlineLevel="1" thickBot="1" x14ac:dyDescent="0.3">
      <c r="O145" s="361">
        <v>90001</v>
      </c>
      <c r="P145" s="364">
        <v>90000</v>
      </c>
      <c r="Q145" s="98">
        <v>2</v>
      </c>
      <c r="R145" s="98" t="s">
        <v>233</v>
      </c>
      <c r="S145" s="362"/>
      <c r="T145" s="363">
        <v>17001</v>
      </c>
      <c r="U145" s="364">
        <v>24000</v>
      </c>
      <c r="V145" s="98">
        <v>3</v>
      </c>
      <c r="W145" s="365" t="s">
        <v>232</v>
      </c>
      <c r="X145" s="366"/>
    </row>
    <row r="146" spans="1:24" ht="15.75" hidden="1" customHeight="1" outlineLevel="1" thickTop="1" thickBot="1" x14ac:dyDescent="0.3">
      <c r="A146" s="386" t="s">
        <v>50</v>
      </c>
      <c r="B146" s="387" t="s">
        <v>51</v>
      </c>
      <c r="C146" s="405">
        <f>D16</f>
        <v>0</v>
      </c>
      <c r="D146" s="389"/>
      <c r="K146" s="354" t="s">
        <v>222</v>
      </c>
      <c r="L146" s="98" t="s">
        <v>227</v>
      </c>
      <c r="O146" s="361">
        <v>150001</v>
      </c>
      <c r="P146" s="364">
        <v>150000</v>
      </c>
      <c r="Q146" s="98">
        <v>3</v>
      </c>
      <c r="R146" s="98" t="s">
        <v>232</v>
      </c>
      <c r="S146" s="362"/>
      <c r="T146" s="363">
        <v>24001</v>
      </c>
      <c r="U146" s="364">
        <v>35000</v>
      </c>
      <c r="V146" s="98">
        <v>4</v>
      </c>
      <c r="W146" s="365" t="s">
        <v>231</v>
      </c>
      <c r="X146" s="366"/>
    </row>
    <row r="147" spans="1:24" ht="15" hidden="1" customHeight="1" outlineLevel="1" thickTop="1" x14ac:dyDescent="0.25">
      <c r="A147" s="88"/>
      <c r="B147" s="88"/>
      <c r="C147" s="88"/>
      <c r="D147" s="88"/>
      <c r="K147" s="98" t="s">
        <v>223</v>
      </c>
      <c r="O147" s="361">
        <v>180001</v>
      </c>
      <c r="P147" s="364">
        <v>180000</v>
      </c>
      <c r="Q147" s="98">
        <v>4</v>
      </c>
      <c r="R147" s="98" t="s">
        <v>231</v>
      </c>
      <c r="S147" s="362"/>
      <c r="T147" s="363">
        <v>35001</v>
      </c>
      <c r="U147" s="364">
        <v>50000</v>
      </c>
      <c r="V147" s="98">
        <v>5</v>
      </c>
      <c r="W147" s="365" t="s">
        <v>229</v>
      </c>
      <c r="X147" s="366"/>
    </row>
    <row r="148" spans="1:24" ht="14.25" hidden="1" customHeight="1" outlineLevel="1" x14ac:dyDescent="0.25">
      <c r="A148" s="390" t="s">
        <v>33</v>
      </c>
      <c r="B148" s="391" t="s">
        <v>34</v>
      </c>
      <c r="C148" s="390" t="s">
        <v>35</v>
      </c>
      <c r="D148" s="389"/>
      <c r="K148" s="98" t="s">
        <v>9</v>
      </c>
      <c r="O148" s="361">
        <v>280001</v>
      </c>
      <c r="P148" s="364">
        <v>280000</v>
      </c>
      <c r="Q148" s="98">
        <v>5</v>
      </c>
      <c r="R148" s="98" t="s">
        <v>229</v>
      </c>
      <c r="S148" s="362"/>
      <c r="T148" s="363">
        <v>50001</v>
      </c>
      <c r="U148" s="364">
        <v>75000</v>
      </c>
      <c r="V148" s="98">
        <v>6</v>
      </c>
      <c r="W148" s="365" t="s">
        <v>230</v>
      </c>
      <c r="X148" s="366"/>
    </row>
    <row r="149" spans="1:24" ht="14.25" hidden="1" customHeight="1" outlineLevel="1" x14ac:dyDescent="0.25">
      <c r="A149" s="392" t="s">
        <v>36</v>
      </c>
      <c r="B149" s="393">
        <v>0.03</v>
      </c>
      <c r="C149" s="394">
        <f>IF(C146&gt;40770,40770*B149,C146*B149)</f>
        <v>0</v>
      </c>
      <c r="D149" s="389"/>
      <c r="K149" s="98" t="s">
        <v>267</v>
      </c>
      <c r="O149" s="361">
        <v>380001</v>
      </c>
      <c r="P149" s="364">
        <v>380000</v>
      </c>
      <c r="Q149" s="98">
        <v>6</v>
      </c>
      <c r="R149" s="98" t="s">
        <v>230</v>
      </c>
      <c r="S149" s="362"/>
      <c r="T149" s="363">
        <v>75001</v>
      </c>
      <c r="U149" s="364">
        <v>100000</v>
      </c>
      <c r="V149" s="98">
        <v>7</v>
      </c>
      <c r="W149" s="365" t="s">
        <v>228</v>
      </c>
      <c r="X149" s="366"/>
    </row>
    <row r="150" spans="1:24" ht="14.25" hidden="1" customHeight="1" outlineLevel="1" x14ac:dyDescent="0.25">
      <c r="A150" s="392" t="s">
        <v>37</v>
      </c>
      <c r="B150" s="395">
        <v>1.7100000000000001E-2</v>
      </c>
      <c r="C150" s="394">
        <f>IF(C146&gt;40770,40770*B150,C146*B150)</f>
        <v>0</v>
      </c>
      <c r="D150" s="389"/>
      <c r="K150" s="98" t="s">
        <v>135</v>
      </c>
      <c r="O150" s="367">
        <v>500001</v>
      </c>
      <c r="P150" s="364">
        <v>500000</v>
      </c>
      <c r="Q150" s="98">
        <v>7</v>
      </c>
      <c r="R150" s="98" t="s">
        <v>228</v>
      </c>
      <c r="S150" s="368"/>
      <c r="T150" s="369">
        <v>100001</v>
      </c>
      <c r="U150" s="370">
        <v>150000</v>
      </c>
      <c r="V150" s="371">
        <v>8</v>
      </c>
      <c r="W150" s="372" t="s">
        <v>227</v>
      </c>
      <c r="X150" s="373"/>
    </row>
    <row r="151" spans="1:24" ht="14.25" hidden="1" customHeight="1" outlineLevel="1" x14ac:dyDescent="0.25">
      <c r="A151" s="396" t="s">
        <v>38</v>
      </c>
      <c r="B151" s="397"/>
      <c r="C151" s="398">
        <f>SUM(C149:C150)</f>
        <v>0</v>
      </c>
      <c r="D151" s="399"/>
      <c r="K151" s="98" t="s">
        <v>144</v>
      </c>
      <c r="O151" s="98">
        <v>600001</v>
      </c>
      <c r="P151" s="370">
        <v>600000</v>
      </c>
      <c r="Q151" s="371">
        <v>8</v>
      </c>
      <c r="R151" s="371" t="s">
        <v>227</v>
      </c>
      <c r="T151" s="97">
        <v>150001</v>
      </c>
      <c r="U151" s="97">
        <v>1000000</v>
      </c>
      <c r="V151" s="98">
        <v>9</v>
      </c>
      <c r="W151" s="97" t="s">
        <v>276</v>
      </c>
      <c r="X151" s="365"/>
    </row>
    <row r="152" spans="1:24" ht="14.25" hidden="1" customHeight="1" outlineLevel="1" x14ac:dyDescent="0.25">
      <c r="A152" s="390" t="s">
        <v>39</v>
      </c>
      <c r="B152" s="390"/>
      <c r="C152" s="400"/>
      <c r="D152" s="389"/>
      <c r="K152" s="98" t="s">
        <v>143</v>
      </c>
      <c r="O152" s="98" t="s">
        <v>239</v>
      </c>
      <c r="Q152" s="98">
        <v>9</v>
      </c>
      <c r="R152" s="97" t="s">
        <v>276</v>
      </c>
      <c r="T152" s="98" t="s">
        <v>242</v>
      </c>
      <c r="U152" s="352">
        <f>+G87</f>
        <v>26937.760932944606</v>
      </c>
      <c r="V152" s="364"/>
      <c r="W152" s="365"/>
      <c r="X152" s="365"/>
    </row>
    <row r="153" spans="1:24" ht="14.25" hidden="1" customHeight="1" outlineLevel="1" x14ac:dyDescent="0.25">
      <c r="A153" s="392" t="s">
        <v>40</v>
      </c>
      <c r="B153" s="395">
        <v>0.1</v>
      </c>
      <c r="C153" s="394">
        <f>IF(C146&gt;40770,40770*B153,C146*B153)</f>
        <v>0</v>
      </c>
      <c r="D153" s="389"/>
      <c r="O153" s="98" t="s">
        <v>240</v>
      </c>
      <c r="P153" s="352">
        <f>+G88</f>
        <v>66937.760932944599</v>
      </c>
      <c r="T153" s="98" t="s">
        <v>243</v>
      </c>
      <c r="U153" s="210">
        <f>+LOOKUP(U152,T143:U151,V143:V151)</f>
        <v>4</v>
      </c>
      <c r="V153" s="364"/>
      <c r="W153" s="365"/>
      <c r="X153" s="365"/>
    </row>
    <row r="154" spans="1:24" ht="14.25" hidden="1" customHeight="1" outlineLevel="1" x14ac:dyDescent="0.25">
      <c r="A154" s="392" t="s">
        <v>41</v>
      </c>
      <c r="B154" s="395">
        <v>5.0000000000000001E-3</v>
      </c>
      <c r="C154" s="394">
        <f>IF(C146&gt;40770,40770*B154,C146*B154)</f>
        <v>0</v>
      </c>
      <c r="D154" s="389"/>
      <c r="P154" s="210">
        <f ca="1">+LOOKUP(P153,O143:P151,Q144:Q151)</f>
        <v>2</v>
      </c>
      <c r="V154" s="364"/>
      <c r="W154" s="365"/>
      <c r="X154" s="365"/>
    </row>
    <row r="155" spans="1:24" ht="14.25" hidden="1" customHeight="1" outlineLevel="1" x14ac:dyDescent="0.25">
      <c r="A155" s="392" t="s">
        <v>42</v>
      </c>
      <c r="B155" s="395">
        <v>1.7100000000000001E-2</v>
      </c>
      <c r="C155" s="394">
        <f>IF(C146&gt;40770,40770*B155,C146*B155)</f>
        <v>0</v>
      </c>
      <c r="D155" s="389"/>
      <c r="V155" s="364"/>
      <c r="W155" s="365"/>
      <c r="X155" s="365"/>
    </row>
    <row r="156" spans="1:24" ht="14.25" hidden="1" customHeight="1" outlineLevel="1" x14ac:dyDescent="0.25">
      <c r="A156" s="392" t="s">
        <v>43</v>
      </c>
      <c r="B156" s="395">
        <v>5.0000000000000001E-3</v>
      </c>
      <c r="C156" s="394">
        <f>IF(C146&gt;40770,40770*B156,C146*B156)</f>
        <v>0</v>
      </c>
      <c r="D156" s="390" t="s">
        <v>44</v>
      </c>
      <c r="O156" s="98" t="s">
        <v>238</v>
      </c>
      <c r="V156" s="364"/>
      <c r="W156" s="365"/>
      <c r="X156" s="365"/>
    </row>
    <row r="157" spans="1:24" ht="14.25" hidden="1" customHeight="1" outlineLevel="1" x14ac:dyDescent="0.25">
      <c r="A157" s="392" t="s">
        <v>45</v>
      </c>
      <c r="B157" s="395">
        <v>0.01</v>
      </c>
      <c r="C157" s="394">
        <f>IF((C146-13000)&gt;0,(C146-13000)*B157,0)</f>
        <v>0</v>
      </c>
      <c r="D157" s="401" t="s">
        <v>46</v>
      </c>
      <c r="O157" s="374" t="s">
        <v>223</v>
      </c>
      <c r="P157" s="97"/>
      <c r="Q157" s="97"/>
      <c r="T157" s="375" t="s">
        <v>143</v>
      </c>
      <c r="U157" s="358"/>
      <c r="V157" s="358"/>
      <c r="W157" s="376"/>
      <c r="X157" s="365"/>
    </row>
    <row r="158" spans="1:24" ht="14.25" hidden="1" customHeight="1" outlineLevel="1" x14ac:dyDescent="0.25">
      <c r="A158" s="392" t="s">
        <v>45</v>
      </c>
      <c r="B158" s="395">
        <v>0.05</v>
      </c>
      <c r="C158" s="394">
        <f>IF((C146-25000)&gt;0,(C146-25000)*B158,0)</f>
        <v>0</v>
      </c>
      <c r="D158" s="401" t="s">
        <v>47</v>
      </c>
      <c r="O158" s="363">
        <v>2000</v>
      </c>
      <c r="P158" s="375" t="s">
        <v>9</v>
      </c>
      <c r="Q158" s="375" t="s">
        <v>267</v>
      </c>
      <c r="R158" s="375" t="s">
        <v>135</v>
      </c>
      <c r="S158" s="375" t="s">
        <v>144</v>
      </c>
      <c r="T158" s="364">
        <v>0</v>
      </c>
      <c r="U158" s="98">
        <v>1</v>
      </c>
      <c r="V158" s="98" t="s">
        <v>234</v>
      </c>
      <c r="W158" s="377"/>
      <c r="X158" s="365"/>
    </row>
    <row r="159" spans="1:24" ht="14.25" hidden="1" customHeight="1" outlineLevel="1" x14ac:dyDescent="0.25">
      <c r="A159" s="392" t="s">
        <v>45</v>
      </c>
      <c r="B159" s="395">
        <v>0.1</v>
      </c>
      <c r="C159" s="394">
        <f>IF((C146-35000)&gt;0,(C146-35000)*B159,0)</f>
        <v>0</v>
      </c>
      <c r="D159" s="401" t="s">
        <v>48</v>
      </c>
      <c r="O159" s="363">
        <v>4000</v>
      </c>
      <c r="P159" s="364">
        <v>7000</v>
      </c>
      <c r="Q159" s="364">
        <v>0</v>
      </c>
      <c r="R159" s="364">
        <v>5000</v>
      </c>
      <c r="S159" s="364">
        <v>35000</v>
      </c>
      <c r="T159" s="364">
        <v>0</v>
      </c>
      <c r="U159" s="98">
        <v>2</v>
      </c>
      <c r="V159" s="98" t="s">
        <v>233</v>
      </c>
      <c r="W159" s="362"/>
    </row>
    <row r="160" spans="1:24" ht="14.25" hidden="1" customHeight="1" outlineLevel="1" x14ac:dyDescent="0.25">
      <c r="A160" s="396"/>
      <c r="B160" s="397"/>
      <c r="C160" s="398">
        <f>SUM(C153:C159)</f>
        <v>0</v>
      </c>
      <c r="D160" s="399" t="e">
        <f>(C157+C158+C159)/C146</f>
        <v>#DIV/0!</v>
      </c>
      <c r="O160" s="363">
        <v>6000</v>
      </c>
      <c r="P160" s="364">
        <v>13000</v>
      </c>
      <c r="Q160" s="364">
        <v>0</v>
      </c>
      <c r="R160" s="364">
        <v>15000</v>
      </c>
      <c r="S160" s="364">
        <v>70000</v>
      </c>
      <c r="T160" s="364">
        <v>0</v>
      </c>
      <c r="U160" s="98">
        <v>3</v>
      </c>
      <c r="V160" s="98" t="s">
        <v>232</v>
      </c>
      <c r="W160" s="362"/>
    </row>
    <row r="161" spans="1:27" ht="14.25" hidden="1" customHeight="1" outlineLevel="1" x14ac:dyDescent="0.25">
      <c r="A161" s="396" t="s">
        <v>49</v>
      </c>
      <c r="B161" s="397"/>
      <c r="C161" s="398">
        <f>C151+C160</f>
        <v>0</v>
      </c>
      <c r="D161" s="399"/>
      <c r="O161" s="363">
        <v>8000</v>
      </c>
      <c r="P161" s="364">
        <v>18000</v>
      </c>
      <c r="Q161" s="364">
        <v>0</v>
      </c>
      <c r="R161" s="364">
        <v>30000</v>
      </c>
      <c r="S161" s="364">
        <v>120000</v>
      </c>
      <c r="T161" s="364">
        <v>120000</v>
      </c>
      <c r="U161" s="98">
        <v>4</v>
      </c>
      <c r="V161" s="98" t="s">
        <v>231</v>
      </c>
      <c r="W161" s="362"/>
    </row>
    <row r="162" spans="1:27" ht="14.25" hidden="1" customHeight="1" outlineLevel="1" x14ac:dyDescent="0.25">
      <c r="A162" s="389"/>
      <c r="B162" s="389"/>
      <c r="C162" s="389"/>
      <c r="D162" s="389"/>
      <c r="O162" s="361">
        <v>13000</v>
      </c>
      <c r="P162" s="364">
        <v>27000</v>
      </c>
      <c r="Q162" s="364">
        <v>0</v>
      </c>
      <c r="R162" s="364">
        <v>40000</v>
      </c>
      <c r="S162" s="364">
        <v>180000</v>
      </c>
      <c r="T162" s="364">
        <v>150000</v>
      </c>
      <c r="U162" s="98">
        <v>5</v>
      </c>
      <c r="V162" s="98" t="s">
        <v>229</v>
      </c>
      <c r="W162" s="362"/>
    </row>
    <row r="163" spans="1:27" ht="14.25" hidden="1" customHeight="1" outlineLevel="1" x14ac:dyDescent="0.25">
      <c r="A163" s="402" t="s">
        <v>52</v>
      </c>
      <c r="B163" s="403"/>
      <c r="C163" s="404">
        <f>C146-C160</f>
        <v>0</v>
      </c>
      <c r="D163" s="378">
        <f>C163/7</f>
        <v>0</v>
      </c>
      <c r="O163" s="361">
        <v>20000</v>
      </c>
      <c r="P163" s="225">
        <v>40000</v>
      </c>
      <c r="Q163" s="225">
        <v>80000</v>
      </c>
      <c r="R163" s="225">
        <v>45000</v>
      </c>
      <c r="S163" s="364">
        <v>250000</v>
      </c>
      <c r="T163" s="364">
        <v>200000</v>
      </c>
      <c r="U163" s="98">
        <v>6</v>
      </c>
      <c r="V163" s="98" t="s">
        <v>230</v>
      </c>
      <c r="W163" s="362"/>
    </row>
    <row r="164" spans="1:27" ht="14.25" hidden="1" customHeight="1" outlineLevel="1" x14ac:dyDescent="0.25">
      <c r="O164" s="361">
        <v>40000</v>
      </c>
      <c r="P164" s="225">
        <v>65000</v>
      </c>
      <c r="Q164" s="225">
        <v>120000</v>
      </c>
      <c r="R164" s="225">
        <v>50000</v>
      </c>
      <c r="S164" s="364">
        <v>300000</v>
      </c>
      <c r="T164" s="364">
        <v>400000</v>
      </c>
      <c r="U164" s="98">
        <v>7</v>
      </c>
      <c r="V164" s="98" t="s">
        <v>228</v>
      </c>
      <c r="W164" s="362"/>
    </row>
    <row r="165" spans="1:27" ht="14.25" hidden="1" customHeight="1" outlineLevel="1" x14ac:dyDescent="0.25">
      <c r="O165" s="367">
        <v>80000</v>
      </c>
      <c r="P165" s="225">
        <v>80000</v>
      </c>
      <c r="Q165" s="225">
        <v>150000</v>
      </c>
      <c r="R165" s="225">
        <v>80000</v>
      </c>
      <c r="S165" s="364">
        <v>400000</v>
      </c>
      <c r="T165" s="370">
        <v>500000</v>
      </c>
      <c r="U165" s="371">
        <v>8</v>
      </c>
      <c r="V165" s="371" t="s">
        <v>227</v>
      </c>
      <c r="W165" s="368"/>
    </row>
    <row r="166" spans="1:27" hidden="1" outlineLevel="1" x14ac:dyDescent="0.25">
      <c r="A166" s="122">
        <f t="array" ref="A166:A172">TRANSPOSE(B66:H66)</f>
        <v>1</v>
      </c>
      <c r="B166" s="305" t="str">
        <f>CONCATENATE("Cliente ",B$87," a Bs. ",ROUNDDOWN(B$68,0)," con ",B$72*100,"% de Tasa, a un plazo de ",B$75," meses.")</f>
        <v>Cliente Califica a Bs. 184793 con 6% de Tasa, a un plazo de 240 meses.</v>
      </c>
      <c r="C166" s="379"/>
      <c r="K166" s="353"/>
      <c r="O166" s="98" t="s">
        <v>244</v>
      </c>
      <c r="P166" s="380">
        <v>100000</v>
      </c>
      <c r="Q166" s="380">
        <v>200000</v>
      </c>
      <c r="R166" s="380">
        <v>100000</v>
      </c>
      <c r="S166" s="370">
        <v>500000</v>
      </c>
      <c r="U166" s="97">
        <v>9</v>
      </c>
      <c r="V166" s="97" t="s">
        <v>276</v>
      </c>
    </row>
    <row r="167" spans="1:27" hidden="1" outlineLevel="1" x14ac:dyDescent="0.25">
      <c r="A167" s="122" t="str">
        <v>1 CPOP</v>
      </c>
      <c r="B167" s="305" t="str">
        <f>CONCATENATE("Cliente ",C$87," a Bs. ",ROUNDDOWN(C$68,0)," con ",C$72*100,"% de Tasa, a un plazo de ",C$75," meses.")</f>
        <v>Cliente Califica a Bs. 184793 con 6% de Tasa, a un plazo de 246 meses.</v>
      </c>
      <c r="O167" s="364">
        <v>8000</v>
      </c>
      <c r="S167" s="364">
        <v>120000</v>
      </c>
    </row>
    <row r="168" spans="1:27" hidden="1" outlineLevel="1" x14ac:dyDescent="0.25">
      <c r="A168" s="122">
        <v>2</v>
      </c>
      <c r="B168" s="305" t="str">
        <f>CONCATENATE("Cliente ",D$87," a Bs. ",ROUNDDOWN(D$68,0)," con ",D$72*100,"% de Tasa, a un plazo de ",D$75," meses.")</f>
        <v>Cliente Califica a Bs. 184793 con 6% de Tasa, a un plazo de 240 meses.</v>
      </c>
      <c r="C168" s="379"/>
      <c r="O168" s="364">
        <v>6000</v>
      </c>
      <c r="P168" s="364">
        <v>27000</v>
      </c>
      <c r="Q168" s="364">
        <v>40000</v>
      </c>
      <c r="R168" s="364">
        <v>180000</v>
      </c>
      <c r="S168" s="364">
        <v>0</v>
      </c>
    </row>
    <row r="169" spans="1:27" hidden="1" outlineLevel="1" x14ac:dyDescent="0.25">
      <c r="A169" s="122" t="str">
        <v>2 CPOP</v>
      </c>
      <c r="B169" s="122" t="e">
        <f>CONCATENATE("Cliente ",#REF!," a Bs. ",ROUNDDOWN(#REF!,0)," con ",#REF!*100,"% de Tasa, a un plazo de ",F$77," meses.")</f>
        <v>#REF!</v>
      </c>
      <c r="O169" s="364">
        <v>4000</v>
      </c>
      <c r="P169" s="364">
        <v>18000</v>
      </c>
      <c r="Q169" s="364">
        <v>30000</v>
      </c>
      <c r="R169" s="364">
        <v>120000</v>
      </c>
      <c r="S169" s="364">
        <v>0</v>
      </c>
    </row>
    <row r="170" spans="1:27" hidden="1" outlineLevel="1" x14ac:dyDescent="0.25">
      <c r="A170" s="122">
        <v>0</v>
      </c>
      <c r="B170" s="305" t="e">
        <f>CONCATENATE("Cliente ",#REF!," a Bs. ",ROUNDDOWN(#REF!,0)," con ",#REF!*100,"% de Tasa, a un plazo de ",G$77," meses.")</f>
        <v>#REF!</v>
      </c>
      <c r="O170" s="364">
        <v>2000</v>
      </c>
      <c r="P170" s="364">
        <v>13000</v>
      </c>
      <c r="Q170" s="364">
        <v>15000</v>
      </c>
      <c r="R170" s="364">
        <v>70000</v>
      </c>
      <c r="S170" s="364">
        <v>0</v>
      </c>
    </row>
    <row r="171" spans="1:27" hidden="1" outlineLevel="1" x14ac:dyDescent="0.25">
      <c r="A171" s="122">
        <v>0</v>
      </c>
      <c r="B171" s="122" t="e">
        <f>CONCATENATE("Cliente ",#REF!," a Bs. ",ROUNDDOWN(#REF!,0)," con ",#REF!*100,"% de Tasa, a un plazo de ",H$77," meses.")</f>
        <v>#REF!</v>
      </c>
      <c r="P171" s="364">
        <v>7000</v>
      </c>
      <c r="Q171" s="364">
        <v>5000</v>
      </c>
      <c r="R171" s="364">
        <v>35000</v>
      </c>
    </row>
    <row r="172" spans="1:27" hidden="1" outlineLevel="1" x14ac:dyDescent="0.25">
      <c r="A172" s="122">
        <v>0</v>
      </c>
      <c r="B172" s="122" t="e">
        <f>CONCATENATE("Cliente ",#REF!," a Bs. ",ROUNDDOWN(#REF!,0)," con ",#REF!*100,"% de Tasa, a un plazo de ",I$77," meses.")</f>
        <v>#REF!</v>
      </c>
      <c r="P172" s="97"/>
      <c r="Q172" s="97"/>
    </row>
    <row r="173" spans="1:27" hidden="1" outlineLevel="1" x14ac:dyDescent="0.25"/>
    <row r="174" spans="1:27" hidden="1" outlineLevel="1" x14ac:dyDescent="0.25">
      <c r="O174" s="374" t="s">
        <v>223</v>
      </c>
      <c r="T174" s="375" t="s">
        <v>143</v>
      </c>
      <c r="U174" s="358"/>
      <c r="V174" s="376"/>
    </row>
    <row r="175" spans="1:27" hidden="1" outlineLevel="1" x14ac:dyDescent="0.25">
      <c r="K175" s="354"/>
      <c r="O175" s="363">
        <f t="shared" ref="O175:O182" si="8">+IF($B$106=$O$174,O158,0)</f>
        <v>2000</v>
      </c>
      <c r="P175" s="375" t="s">
        <v>9</v>
      </c>
      <c r="Q175" s="375" t="s">
        <v>267</v>
      </c>
      <c r="R175" s="375" t="s">
        <v>135</v>
      </c>
      <c r="S175" s="375" t="s">
        <v>144</v>
      </c>
      <c r="T175" s="363">
        <f t="shared" ref="T175:T182" si="9">+IF($B$106=$T$174,T158,0)</f>
        <v>0</v>
      </c>
      <c r="U175" s="98">
        <v>1</v>
      </c>
      <c r="V175" s="98" t="s">
        <v>234</v>
      </c>
      <c r="X175" s="332">
        <v>0</v>
      </c>
      <c r="Y175" s="337">
        <f>+S176+R176+Q176+P176+O175+T175</f>
        <v>2000</v>
      </c>
      <c r="Z175" s="209">
        <v>1</v>
      </c>
      <c r="AA175" s="209" t="s">
        <v>234</v>
      </c>
    </row>
    <row r="176" spans="1:27" hidden="1" outlineLevel="1" x14ac:dyDescent="0.25">
      <c r="O176" s="363">
        <f t="shared" si="8"/>
        <v>4000</v>
      </c>
      <c r="P176" s="363">
        <f t="shared" ref="P176:P183" si="10">+IF($B$106=$P$175,P159,0)</f>
        <v>0</v>
      </c>
      <c r="Q176" s="363">
        <f t="shared" ref="Q176:Q183" si="11">+IF($B$106=$Q$175,Q159,0)</f>
        <v>0</v>
      </c>
      <c r="R176" s="363">
        <f t="shared" ref="R176:R183" si="12">+IF($B$106=$R$175,R159,0)</f>
        <v>0</v>
      </c>
      <c r="S176" s="363">
        <f t="shared" ref="S176:S183" si="13">+IF($B$106=$S$175,S159,0)</f>
        <v>0</v>
      </c>
      <c r="T176" s="363">
        <f t="shared" si="9"/>
        <v>0</v>
      </c>
      <c r="U176" s="98">
        <v>2</v>
      </c>
      <c r="V176" s="98" t="s">
        <v>233</v>
      </c>
      <c r="X176" s="337">
        <f>+Y175+1</f>
        <v>2001</v>
      </c>
      <c r="Y176" s="337">
        <f>+S177+R177+Q177+P177+O176+T176</f>
        <v>4000</v>
      </c>
      <c r="Z176" s="209">
        <v>2</v>
      </c>
      <c r="AA176" s="209" t="s">
        <v>233</v>
      </c>
    </row>
    <row r="177" spans="15:27" hidden="1" outlineLevel="1" x14ac:dyDescent="0.25">
      <c r="O177" s="363">
        <f t="shared" si="8"/>
        <v>6000</v>
      </c>
      <c r="P177" s="363">
        <f t="shared" si="10"/>
        <v>0</v>
      </c>
      <c r="Q177" s="363">
        <f t="shared" si="11"/>
        <v>0</v>
      </c>
      <c r="R177" s="363">
        <f t="shared" si="12"/>
        <v>0</v>
      </c>
      <c r="S177" s="363">
        <f t="shared" si="13"/>
        <v>0</v>
      </c>
      <c r="T177" s="363">
        <f t="shared" si="9"/>
        <v>0</v>
      </c>
      <c r="U177" s="98">
        <v>3</v>
      </c>
      <c r="V177" s="98" t="s">
        <v>232</v>
      </c>
      <c r="X177" s="337">
        <f>+Y176+1</f>
        <v>4001</v>
      </c>
      <c r="Y177" s="337">
        <f t="shared" ref="Y177:Y181" si="14">+S178+R178+Q178+P178+O177+T177</f>
        <v>6000</v>
      </c>
      <c r="Z177" s="209">
        <v>3</v>
      </c>
      <c r="AA177" s="209" t="s">
        <v>232</v>
      </c>
    </row>
    <row r="178" spans="15:27" hidden="1" outlineLevel="1" x14ac:dyDescent="0.25">
      <c r="O178" s="363">
        <f t="shared" si="8"/>
        <v>8000</v>
      </c>
      <c r="P178" s="363">
        <f t="shared" si="10"/>
        <v>0</v>
      </c>
      <c r="Q178" s="363">
        <f t="shared" si="11"/>
        <v>0</v>
      </c>
      <c r="R178" s="363">
        <f t="shared" si="12"/>
        <v>0</v>
      </c>
      <c r="S178" s="363">
        <f t="shared" si="13"/>
        <v>0</v>
      </c>
      <c r="T178" s="363">
        <f t="shared" si="9"/>
        <v>0</v>
      </c>
      <c r="U178" s="98">
        <v>4</v>
      </c>
      <c r="V178" s="98" t="s">
        <v>231</v>
      </c>
      <c r="X178" s="337">
        <f t="shared" ref="X178:X181" si="15">+Y177+1</f>
        <v>6001</v>
      </c>
      <c r="Y178" s="337">
        <f>+S179+R179+Q179+P179+O178+T178</f>
        <v>8000</v>
      </c>
      <c r="Z178" s="209">
        <v>4</v>
      </c>
      <c r="AA178" s="209" t="s">
        <v>231</v>
      </c>
    </row>
    <row r="179" spans="15:27" hidden="1" outlineLevel="1" x14ac:dyDescent="0.25">
      <c r="O179" s="363">
        <f t="shared" si="8"/>
        <v>13000</v>
      </c>
      <c r="P179" s="363">
        <f t="shared" si="10"/>
        <v>0</v>
      </c>
      <c r="Q179" s="363">
        <f t="shared" si="11"/>
        <v>0</v>
      </c>
      <c r="R179" s="363">
        <f t="shared" si="12"/>
        <v>0</v>
      </c>
      <c r="S179" s="363">
        <f t="shared" si="13"/>
        <v>0</v>
      </c>
      <c r="T179" s="363">
        <f t="shared" si="9"/>
        <v>0</v>
      </c>
      <c r="U179" s="98">
        <v>5</v>
      </c>
      <c r="V179" s="98" t="s">
        <v>229</v>
      </c>
      <c r="X179" s="337">
        <f t="shared" si="15"/>
        <v>8001</v>
      </c>
      <c r="Y179" s="337">
        <f t="shared" si="14"/>
        <v>13000</v>
      </c>
      <c r="Z179" s="209">
        <v>5</v>
      </c>
      <c r="AA179" s="209" t="s">
        <v>229</v>
      </c>
    </row>
    <row r="180" spans="15:27" hidden="1" outlineLevel="1" x14ac:dyDescent="0.25">
      <c r="O180" s="363">
        <f t="shared" si="8"/>
        <v>20000</v>
      </c>
      <c r="P180" s="363">
        <f t="shared" si="10"/>
        <v>0</v>
      </c>
      <c r="Q180" s="363">
        <f t="shared" si="11"/>
        <v>0</v>
      </c>
      <c r="R180" s="363">
        <f t="shared" si="12"/>
        <v>0</v>
      </c>
      <c r="S180" s="363">
        <f t="shared" si="13"/>
        <v>0</v>
      </c>
      <c r="T180" s="363">
        <f t="shared" si="9"/>
        <v>0</v>
      </c>
      <c r="U180" s="98">
        <v>6</v>
      </c>
      <c r="V180" s="98" t="s">
        <v>230</v>
      </c>
      <c r="X180" s="337">
        <f t="shared" si="15"/>
        <v>13001</v>
      </c>
      <c r="Y180" s="337">
        <f t="shared" si="14"/>
        <v>20000</v>
      </c>
      <c r="Z180" s="209">
        <v>6</v>
      </c>
      <c r="AA180" s="209" t="s">
        <v>230</v>
      </c>
    </row>
    <row r="181" spans="15:27" hidden="1" outlineLevel="1" x14ac:dyDescent="0.25">
      <c r="O181" s="363">
        <f t="shared" si="8"/>
        <v>40000</v>
      </c>
      <c r="P181" s="363">
        <f t="shared" si="10"/>
        <v>0</v>
      </c>
      <c r="Q181" s="363">
        <f t="shared" si="11"/>
        <v>0</v>
      </c>
      <c r="R181" s="363">
        <f t="shared" si="12"/>
        <v>0</v>
      </c>
      <c r="S181" s="363">
        <f t="shared" si="13"/>
        <v>0</v>
      </c>
      <c r="T181" s="363">
        <f t="shared" si="9"/>
        <v>0</v>
      </c>
      <c r="U181" s="98">
        <v>7</v>
      </c>
      <c r="V181" s="98" t="s">
        <v>228</v>
      </c>
      <c r="X181" s="337">
        <f t="shared" si="15"/>
        <v>20001</v>
      </c>
      <c r="Y181" s="337">
        <f t="shared" si="14"/>
        <v>40000</v>
      </c>
      <c r="Z181" s="209">
        <v>7</v>
      </c>
      <c r="AA181" s="209" t="s">
        <v>228</v>
      </c>
    </row>
    <row r="182" spans="15:27" hidden="1" outlineLevel="1" x14ac:dyDescent="0.25">
      <c r="O182" s="369">
        <f t="shared" si="8"/>
        <v>80000</v>
      </c>
      <c r="P182" s="363">
        <f t="shared" si="10"/>
        <v>0</v>
      </c>
      <c r="Q182" s="363">
        <f t="shared" si="11"/>
        <v>0</v>
      </c>
      <c r="R182" s="363">
        <f t="shared" si="12"/>
        <v>0</v>
      </c>
      <c r="S182" s="363">
        <f t="shared" si="13"/>
        <v>0</v>
      </c>
      <c r="T182" s="363">
        <f t="shared" si="9"/>
        <v>0</v>
      </c>
      <c r="U182" s="371">
        <v>8</v>
      </c>
      <c r="V182" s="371" t="s">
        <v>227</v>
      </c>
      <c r="X182" s="337">
        <f>+Y181+1</f>
        <v>40001</v>
      </c>
      <c r="Y182" s="337">
        <f>+S183+R183+Q183+P183+O182+T182</f>
        <v>80000</v>
      </c>
      <c r="Z182" s="209">
        <v>8</v>
      </c>
      <c r="AA182" s="209" t="s">
        <v>227</v>
      </c>
    </row>
    <row r="183" spans="15:27" hidden="1" outlineLevel="1" x14ac:dyDescent="0.25">
      <c r="P183" s="369">
        <f t="shared" si="10"/>
        <v>0</v>
      </c>
      <c r="Q183" s="363">
        <f t="shared" si="11"/>
        <v>0</v>
      </c>
      <c r="R183" s="363">
        <f t="shared" si="12"/>
        <v>0</v>
      </c>
      <c r="S183" s="363">
        <f t="shared" si="13"/>
        <v>0</v>
      </c>
      <c r="U183" s="97">
        <v>9</v>
      </c>
      <c r="V183" s="97" t="s">
        <v>276</v>
      </c>
      <c r="X183" s="381">
        <f>+S183+R183+Q183+P183+O182+T182+1</f>
        <v>80001</v>
      </c>
      <c r="Y183" s="122">
        <v>10000000</v>
      </c>
      <c r="Z183" s="97">
        <v>9</v>
      </c>
      <c r="AA183" s="97" t="s">
        <v>276</v>
      </c>
    </row>
    <row r="184" spans="15:27" hidden="1" outlineLevel="1" x14ac:dyDescent="0.25">
      <c r="X184" s="122" t="s">
        <v>245</v>
      </c>
      <c r="Y184" s="382">
        <f>+I80</f>
        <v>26937.760932944606</v>
      </c>
    </row>
    <row r="185" spans="15:27" hidden="1" outlineLevel="1" x14ac:dyDescent="0.25">
      <c r="O185" s="98" t="s">
        <v>247</v>
      </c>
      <c r="X185" s="122" t="s">
        <v>246</v>
      </c>
      <c r="Y185" s="263">
        <f>+LOOKUP(Y184,X175:Y183,Z175:Z183)</f>
        <v>7</v>
      </c>
    </row>
    <row r="186" spans="15:27" hidden="1" outlineLevel="1" x14ac:dyDescent="0.25"/>
    <row r="187" spans="15:27" hidden="1" outlineLevel="1" x14ac:dyDescent="0.25"/>
    <row r="188" spans="15:27" hidden="1" outlineLevel="1" x14ac:dyDescent="0.25">
      <c r="O188" s="98" t="s">
        <v>221</v>
      </c>
      <c r="P188" s="210">
        <f ca="1">+P154</f>
        <v>2</v>
      </c>
      <c r="R188" s="209">
        <v>1</v>
      </c>
      <c r="S188" s="209" t="s">
        <v>234</v>
      </c>
    </row>
    <row r="189" spans="15:27" hidden="1" outlineLevel="1" x14ac:dyDescent="0.25">
      <c r="O189" s="98" t="s">
        <v>218</v>
      </c>
      <c r="P189" s="210">
        <f>+U153</f>
        <v>4</v>
      </c>
      <c r="R189" s="209">
        <v>2</v>
      </c>
      <c r="S189" s="209" t="s">
        <v>233</v>
      </c>
    </row>
    <row r="190" spans="15:27" hidden="1" outlineLevel="1" x14ac:dyDescent="0.25">
      <c r="O190" s="98" t="s">
        <v>248</v>
      </c>
      <c r="P190" s="210">
        <f>+Y185</f>
        <v>7</v>
      </c>
      <c r="R190" s="209">
        <v>3</v>
      </c>
      <c r="S190" s="209" t="s">
        <v>232</v>
      </c>
    </row>
    <row r="191" spans="15:27" hidden="1" outlineLevel="1" x14ac:dyDescent="0.25">
      <c r="R191" s="209">
        <v>4</v>
      </c>
      <c r="S191" s="209" t="s">
        <v>231</v>
      </c>
    </row>
    <row r="192" spans="15:27" hidden="1" outlineLevel="1" x14ac:dyDescent="0.25">
      <c r="O192" s="98" t="s">
        <v>249</v>
      </c>
      <c r="P192" s="210">
        <f ca="1">+MAX(P188:P190)</f>
        <v>7</v>
      </c>
      <c r="R192" s="209">
        <v>5</v>
      </c>
      <c r="S192" s="209" t="s">
        <v>229</v>
      </c>
    </row>
    <row r="193" spans="11:19" hidden="1" outlineLevel="1" x14ac:dyDescent="0.25">
      <c r="R193" s="209">
        <v>6</v>
      </c>
      <c r="S193" s="209" t="s">
        <v>230</v>
      </c>
    </row>
    <row r="194" spans="11:19" hidden="1" outlineLevel="1" x14ac:dyDescent="0.25">
      <c r="O194" s="98" t="s">
        <v>246</v>
      </c>
      <c r="P194" s="210" t="str">
        <f ca="1">+LOOKUP(P192,R188:R196,S188:S196)</f>
        <v>División Riesgos</v>
      </c>
      <c r="R194" s="209">
        <v>7</v>
      </c>
      <c r="S194" s="209" t="s">
        <v>228</v>
      </c>
    </row>
    <row r="195" spans="11:19" hidden="1" outlineLevel="1" x14ac:dyDescent="0.25">
      <c r="R195" s="209">
        <v>8</v>
      </c>
      <c r="S195" s="209" t="s">
        <v>227</v>
      </c>
    </row>
    <row r="196" spans="11:19" hidden="1" outlineLevel="1" x14ac:dyDescent="0.25">
      <c r="R196" s="208">
        <v>9</v>
      </c>
      <c r="S196" s="208" t="s">
        <v>276</v>
      </c>
    </row>
    <row r="197" spans="11:19" hidden="1" collapsed="1" x14ac:dyDescent="0.25"/>
    <row r="199" spans="11:19" x14ac:dyDescent="0.25">
      <c r="K199" s="525" t="s">
        <v>297</v>
      </c>
      <c r="L199" s="525"/>
    </row>
    <row r="200" spans="11:19" x14ac:dyDescent="0.25">
      <c r="K200" s="98" t="s">
        <v>301</v>
      </c>
      <c r="L200" s="383">
        <f ca="1">TODAY()</f>
        <v>45140</v>
      </c>
    </row>
    <row r="201" spans="11:19" x14ac:dyDescent="0.25">
      <c r="K201" s="98" t="s">
        <v>268</v>
      </c>
      <c r="M201" s="98" t="s">
        <v>269</v>
      </c>
    </row>
    <row r="202" spans="11:19" x14ac:dyDescent="0.25">
      <c r="K202" s="98" t="s">
        <v>300</v>
      </c>
      <c r="L202" s="98">
        <f ca="1">+DATEDIF(D9,L200,"Y")</f>
        <v>55</v>
      </c>
      <c r="M202" s="98">
        <f ca="1">+DATEDIF(D10,L200,"Y")</f>
        <v>53</v>
      </c>
    </row>
    <row r="203" spans="11:19" x14ac:dyDescent="0.25">
      <c r="K203" s="98" t="s">
        <v>299</v>
      </c>
      <c r="L203" s="351">
        <f ca="1">+L202+((L206)/12)</f>
        <v>75</v>
      </c>
      <c r="M203" s="351">
        <f ca="1">+M202+((L206)/12)</f>
        <v>73</v>
      </c>
    </row>
    <row r="204" spans="11:19" x14ac:dyDescent="0.25">
      <c r="K204" s="98" t="s">
        <v>298</v>
      </c>
      <c r="L204" s="98">
        <v>75</v>
      </c>
      <c r="M204" s="98">
        <v>75</v>
      </c>
    </row>
    <row r="205" spans="11:19" x14ac:dyDescent="0.25">
      <c r="K205" s="98" t="s">
        <v>306</v>
      </c>
      <c r="L205" s="98">
        <v>20</v>
      </c>
      <c r="M205" s="98">
        <v>20</v>
      </c>
    </row>
    <row r="206" spans="11:19" x14ac:dyDescent="0.25">
      <c r="K206" s="98" t="s">
        <v>308</v>
      </c>
      <c r="L206" s="98">
        <f>IF(B99=K98,N98,IF(B99=K99,N99,IF(B99=K100,N100,IF(B99=K101,N101,IF(B99=K102,N102,IF(B99=K103,N103,IF(B99=K104,N104,IF(B99=K105,N107,IF(B99=K106,N107,)))))))))</f>
        <v>240</v>
      </c>
    </row>
    <row r="208" spans="11:19" x14ac:dyDescent="0.25">
      <c r="K208" s="277" t="str">
        <f ca="1">+IF(L203&gt;L204,"NO CALIFICA",IF(L202&lt;L205,"NO CALIFICA","SI CALIFICA"))</f>
        <v>SI CALIFICA</v>
      </c>
      <c r="M208" s="277" t="str">
        <f ca="1">+IF(M203&gt;M204,"NO CALIFICA",IF(M202&lt;M205,"NO CALIFICA","SI CALIFICA"))</f>
        <v>SI CALIFICA</v>
      </c>
      <c r="N208" s="384" t="str">
        <f ca="1">IF(K208=M208,"SI CALIFICA",IF(OR(,M208)="NO CALIFICA","NO CALIFICA","NO CALIFICA"))</f>
        <v>SI CALIFICA</v>
      </c>
      <c r="O208" s="209" t="str">
        <f ca="1">IF(AND(K208="SI CALIFICA",M208="SI CALIFICA"),"SI CALIFICA","NO CALIFICA")</f>
        <v>SI CALIFICA</v>
      </c>
    </row>
  </sheetData>
  <dataConsolidate/>
  <mergeCells count="27">
    <mergeCell ref="B2:D2"/>
    <mergeCell ref="K199:L199"/>
    <mergeCell ref="T54:V54"/>
    <mergeCell ref="A1:D1"/>
    <mergeCell ref="O54:Q54"/>
    <mergeCell ref="N54:N55"/>
    <mergeCell ref="A3:D3"/>
    <mergeCell ref="A5:D5"/>
    <mergeCell ref="A56:D56"/>
    <mergeCell ref="A14:D14"/>
    <mergeCell ref="A4:D4"/>
    <mergeCell ref="B24:C24"/>
    <mergeCell ref="A61:B61"/>
    <mergeCell ref="C28:D28"/>
    <mergeCell ref="C35:D35"/>
    <mergeCell ref="B108:C108"/>
    <mergeCell ref="H88:I88"/>
    <mergeCell ref="A57:D57"/>
    <mergeCell ref="A89:E89"/>
    <mergeCell ref="C44:D44"/>
    <mergeCell ref="E28:F28"/>
    <mergeCell ref="E44:F44"/>
    <mergeCell ref="F78:I78"/>
    <mergeCell ref="H87:I87"/>
    <mergeCell ref="A65:D65"/>
    <mergeCell ref="A53:D53"/>
    <mergeCell ref="A55:D55"/>
  </mergeCells>
  <conditionalFormatting sqref="B90">
    <cfRule type="containsText" dxfId="31" priority="18" operator="containsText" text="NO CALIFICA">
      <formula>NOT(ISERROR(SEARCH("NO CALIFICA",B90)))</formula>
    </cfRule>
    <cfRule type="containsText" dxfId="30" priority="19" operator="containsText" text="SI CALIFICA">
      <formula>NOT(ISERROR(SEARCH("SI CALIFICA",B90)))</formula>
    </cfRule>
  </conditionalFormatting>
  <conditionalFormatting sqref="K208">
    <cfRule type="containsText" dxfId="29" priority="16" operator="containsText" text="NO CALIFICA">
      <formula>NOT(ISERROR(SEARCH("NO CALIFICA",K208)))</formula>
    </cfRule>
    <cfRule type="containsText" dxfId="28" priority="17" operator="containsText" text="SI CALIFICA">
      <formula>NOT(ISERROR(SEARCH("SI CALIFICA",K208)))</formula>
    </cfRule>
  </conditionalFormatting>
  <conditionalFormatting sqref="M208">
    <cfRule type="containsText" dxfId="27" priority="14" operator="containsText" text="NO CALIFICA">
      <formula>NOT(ISERROR(SEARCH("NO CALIFICA",M208)))</formula>
    </cfRule>
    <cfRule type="containsText" dxfId="26" priority="15" operator="containsText" text="SI CALIFICA">
      <formula>NOT(ISERROR(SEARCH("SI CALIFICA",M208)))</formula>
    </cfRule>
  </conditionalFormatting>
  <conditionalFormatting sqref="B87:D87">
    <cfRule type="beginsWith" dxfId="25" priority="11" operator="beginsWith" text="Califica">
      <formula>LEFT(B87,LEN("Califica"))="Califica"</formula>
    </cfRule>
    <cfRule type="beginsWith" dxfId="24" priority="12" operator="beginsWith" text="No Califica">
      <formula>LEFT(B87,LEN("No Califica"))="No Califica"</formula>
    </cfRule>
  </conditionalFormatting>
  <conditionalFormatting sqref="B88:D88">
    <cfRule type="beginsWith" dxfId="23" priority="9" operator="beginsWith" text="Cumple">
      <formula>LEFT(B88,LEN("Cumple"))="Cumple"</formula>
    </cfRule>
    <cfRule type="beginsWith" dxfId="22" priority="10" operator="beginsWith" text="No cumple">
      <formula>LEFT(B88,LEN("No cumple"))="No cumple"</formula>
    </cfRule>
  </conditionalFormatting>
  <conditionalFormatting sqref="C64:D64">
    <cfRule type="beginsWith" dxfId="21" priority="7" operator="beginsWith" text="Cumple">
      <formula>LEFT(C64,LEN("Cumple"))="Cumple"</formula>
    </cfRule>
    <cfRule type="beginsWith" dxfId="20" priority="8" operator="beginsWith" text="No cumple">
      <formula>LEFT(C64,LEN("No cumple"))="No cumple"</formula>
    </cfRule>
  </conditionalFormatting>
  <conditionalFormatting sqref="E87">
    <cfRule type="beginsWith" dxfId="19" priority="5" operator="beginsWith" text="Califica">
      <formula>LEFT(E87,LEN("Califica"))="Califica"</formula>
    </cfRule>
    <cfRule type="beginsWith" dxfId="18" priority="6" operator="beginsWith" text="No Califica">
      <formula>LEFT(E87,LEN("No Califica"))="No Califica"</formula>
    </cfRule>
  </conditionalFormatting>
  <conditionalFormatting sqref="E88">
    <cfRule type="beginsWith" dxfId="17" priority="1" operator="beginsWith" text="Cumple">
      <formula>LEFT(E88,LEN("Cumple"))="Cumple"</formula>
    </cfRule>
    <cfRule type="beginsWith" dxfId="16" priority="2" operator="beginsWith" text="No cumple">
      <formula>LEFT(E88,LEN("No cumple"))="No cumple"</formula>
    </cfRule>
  </conditionalFormatting>
  <dataValidations count="20">
    <dataValidation type="list" allowBlank="1" showInputMessage="1" showErrorMessage="1" sqref="B67 B62">
      <formula1>$O$55:$Q$55</formula1>
    </dataValidation>
    <dataValidation type="list" allowBlank="1" showInputMessage="1" showErrorMessage="1" sqref="B6 B9">
      <formula1>$M$19:$M$20</formula1>
    </dataValidation>
    <dataValidation type="list" allowBlank="1" showInputMessage="1" showErrorMessage="1" sqref="B8">
      <formula1>$N$19:$N$20</formula1>
    </dataValidation>
    <dataValidation type="list" allowBlank="1" showInputMessage="1" showErrorMessage="1" sqref="B93:B94">
      <formula1>$K$90:$K$95</formula1>
    </dataValidation>
    <dataValidation type="list" allowBlank="1" showInputMessage="1" showErrorMessage="1" sqref="B95">
      <formula1>$L$90:$L$95</formula1>
    </dataValidation>
    <dataValidation type="list" allowBlank="1" showInputMessage="1" showErrorMessage="1" sqref="G80:G85">
      <formula1>$K$143:$K$144</formula1>
    </dataValidation>
    <dataValidation type="list" allowBlank="1" showInputMessage="1" showErrorMessage="1" sqref="C99">
      <formula1>$Q$125:$Q$132</formula1>
    </dataValidation>
    <dataValidation type="list" allowBlank="1" showInputMessage="1" showErrorMessage="1" sqref="B91">
      <formula1>$O$122:$O$126</formula1>
    </dataValidation>
    <dataValidation type="list" allowBlank="1" showInputMessage="1" showErrorMessage="1" sqref="B106">
      <formula1>$K$147:$K$152</formula1>
    </dataValidation>
    <dataValidation type="list" allowBlank="1" showInputMessage="1" showErrorMessage="1" sqref="D8">
      <formula1>$O$18:$O$23</formula1>
    </dataValidation>
    <dataValidation type="list" showInputMessage="1" showErrorMessage="1" sqref="B108">
      <formula1>$K$125:$K$138</formula1>
    </dataValidation>
    <dataValidation type="list" allowBlank="1" showInputMessage="1" showErrorMessage="1" sqref="B10:B12">
      <formula1>$J$6:$J$7</formula1>
    </dataValidation>
    <dataValidation type="custom" allowBlank="1" showInputMessage="1" showErrorMessage="1" error="&quot;El estado civil debe ser Casado/Conviviente para ingresar datos de cónyuge&quot;" sqref="D16">
      <formula1>B10="Casado/Conviviente"</formula1>
    </dataValidation>
    <dataValidation type="custom" allowBlank="1" showInputMessage="1" showErrorMessage="1" error="&quot;El estado civil debe ser Casado/Conviviente para ingresar datos de cónyuge&quot;" sqref="D17">
      <formula1>B10="Casado/Conviviente"</formula1>
    </dataValidation>
    <dataValidation type="custom" allowBlank="1" showInputMessage="1" showErrorMessage="1" error="&quot;El estado civil debe ser Casado/Conviviente para ingresar datos de cónyuge&quot;" sqref="D18">
      <formula1>B10="Casado/Conviviente"</formula1>
    </dataValidation>
    <dataValidation type="custom" allowBlank="1" showInputMessage="1" showErrorMessage="1" error="&quot;El estado civil debe ser Casado/Conviviente para ingresar datos de cónyuge&quot;" sqref="D19">
      <formula1>B10="Casado/Conviviente"</formula1>
    </dataValidation>
    <dataValidation type="custom" allowBlank="1" showInputMessage="1" showErrorMessage="1" errorTitle="Error" error="El estado civil debe ser Casado/Conviviente para ingresar datos de cónyuge" sqref="D13">
      <formula1>B10="Casado/Conviviente"</formula1>
    </dataValidation>
    <dataValidation type="list" allowBlank="1" showInputMessage="1" showErrorMessage="1" sqref="B7">
      <formula1>$L$14:$L$15</formula1>
    </dataValidation>
    <dataValidation type="custom" allowBlank="1" showInputMessage="1" showErrorMessage="1" errorTitle="Error" error="El estado civil debe ser Casado/Conviviente para ingresar datos del cónyuge" sqref="D10:D12">
      <formula1>B10="Casado/Conviviente"</formula1>
    </dataValidation>
    <dataValidation type="list" allowBlank="1" showInputMessage="1" showErrorMessage="1" sqref="B99">
      <formula1>$J$98:$J$103</formula1>
    </dataValidation>
  </dataValidations>
  <pageMargins left="0.7" right="0.7" top="0.75" bottom="0.75" header="0.3" footer="0.3"/>
  <pageSetup scale="45" orientation="portrait" r:id="rId1"/>
  <ignoredErrors>
    <ignoredError sqref="A166:B172" unlockedFormula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">
    <tabColor rgb="FFFF0000"/>
    <pageSetUpPr fitToPage="1"/>
  </sheetPr>
  <dimension ref="A1:AB182"/>
  <sheetViews>
    <sheetView topLeftCell="A45" zoomScale="70" zoomScaleNormal="70" workbookViewId="0">
      <selection activeCell="B74" sqref="B74"/>
    </sheetView>
  </sheetViews>
  <sheetFormatPr baseColWidth="10" defaultColWidth="11.42578125" defaultRowHeight="15" outlineLevelRow="1" outlineLevelCol="1" x14ac:dyDescent="0.25"/>
  <cols>
    <col min="1" max="1" width="28" style="97" customWidth="1"/>
    <col min="2" max="2" width="23.5703125" style="97" customWidth="1"/>
    <col min="3" max="3" width="18.28515625" style="97" customWidth="1"/>
    <col min="4" max="4" width="15.85546875" style="97" customWidth="1"/>
    <col min="5" max="5" width="18.28515625" style="97" bestFit="1" customWidth="1"/>
    <col min="6" max="6" width="25.85546875" style="97" bestFit="1" customWidth="1"/>
    <col min="7" max="7" width="19.28515625" style="97" customWidth="1"/>
    <col min="8" max="8" width="18.5703125" style="97" customWidth="1"/>
    <col min="9" max="9" width="11.42578125" style="97" customWidth="1"/>
    <col min="10" max="10" width="11.42578125" style="97" hidden="1" customWidth="1" outlineLevel="1"/>
    <col min="11" max="11" width="13" style="97" hidden="1" customWidth="1" outlineLevel="1"/>
    <col min="12" max="12" width="11.42578125" style="98" hidden="1" customWidth="1" outlineLevel="1"/>
    <col min="13" max="13" width="8.5703125" style="98" hidden="1" customWidth="1" outlineLevel="1"/>
    <col min="14" max="14" width="12" style="98" hidden="1" customWidth="1" outlineLevel="1"/>
    <col min="15" max="17" width="11.42578125" style="98" hidden="1" customWidth="1" outlineLevel="1"/>
    <col min="18" max="18" width="11.42578125" style="97" hidden="1" customWidth="1" outlineLevel="1"/>
    <col min="19" max="19" width="14.42578125" style="97" hidden="1" customWidth="1" collapsed="1"/>
    <col min="20" max="23" width="11.42578125" style="97" customWidth="1"/>
    <col min="24" max="26" width="11.42578125" style="97" hidden="1" customWidth="1"/>
    <col min="27" max="28" width="11.42578125" style="97" customWidth="1"/>
    <col min="29" max="16384" width="11.42578125" style="97"/>
  </cols>
  <sheetData>
    <row r="1" spans="1:21" ht="15.75" thickBot="1" x14ac:dyDescent="0.3">
      <c r="A1" s="580" t="s">
        <v>266</v>
      </c>
      <c r="B1" s="581"/>
      <c r="C1" s="581"/>
      <c r="D1" s="582"/>
    </row>
    <row r="2" spans="1:21" ht="15.75" thickBot="1" x14ac:dyDescent="0.3">
      <c r="A2" s="9" t="s">
        <v>53</v>
      </c>
      <c r="B2" s="10"/>
      <c r="C2" s="11"/>
      <c r="D2" s="12"/>
      <c r="E2" s="79"/>
      <c r="F2" s="79"/>
      <c r="G2" s="79"/>
      <c r="H2" s="79"/>
      <c r="I2" s="79"/>
      <c r="J2" s="13"/>
      <c r="O2" s="98" t="s">
        <v>74</v>
      </c>
      <c r="Q2" s="97"/>
      <c r="S2" s="122"/>
      <c r="T2" s="122"/>
      <c r="U2" s="122"/>
    </row>
    <row r="3" spans="1:21" ht="3.75" customHeight="1" x14ac:dyDescent="0.25">
      <c r="A3" s="565"/>
      <c r="B3" s="566"/>
      <c r="C3" s="566"/>
      <c r="D3" s="567"/>
      <c r="E3" s="79"/>
      <c r="F3" s="79"/>
      <c r="G3" s="79"/>
      <c r="H3" s="79"/>
      <c r="I3" s="79"/>
      <c r="J3" s="13"/>
      <c r="P3" s="98" t="s">
        <v>68</v>
      </c>
      <c r="Q3" s="98" t="s">
        <v>73</v>
      </c>
      <c r="R3" s="98" t="s">
        <v>70</v>
      </c>
      <c r="S3" s="122"/>
      <c r="T3" s="122"/>
      <c r="U3" s="122"/>
    </row>
    <row r="4" spans="1:21" x14ac:dyDescent="0.25">
      <c r="A4" s="568" t="s">
        <v>0</v>
      </c>
      <c r="B4" s="569"/>
      <c r="C4" s="569"/>
      <c r="D4" s="570"/>
      <c r="E4" s="79"/>
      <c r="F4" s="79"/>
      <c r="G4" s="79"/>
      <c r="H4" s="79"/>
      <c r="I4" s="79"/>
      <c r="J4" s="13"/>
      <c r="O4" s="99" t="s">
        <v>6</v>
      </c>
      <c r="P4" s="100">
        <v>3.2000000000000001E-2</v>
      </c>
      <c r="Q4" s="101">
        <v>2.4E-2</v>
      </c>
      <c r="R4" s="101">
        <v>7.0000000000000001E-3</v>
      </c>
      <c r="S4" s="122"/>
      <c r="T4" s="122"/>
      <c r="U4" s="122"/>
    </row>
    <row r="5" spans="1:21" ht="3.75" customHeight="1" x14ac:dyDescent="0.25">
      <c r="A5" s="571"/>
      <c r="B5" s="572"/>
      <c r="C5" s="572"/>
      <c r="D5" s="573"/>
      <c r="E5" s="79"/>
      <c r="F5" s="79"/>
      <c r="G5" s="79"/>
      <c r="H5" s="79"/>
      <c r="I5" s="79"/>
      <c r="J5" s="13"/>
      <c r="O5" s="99" t="s">
        <v>7</v>
      </c>
      <c r="P5" s="100">
        <v>3.2000000000000001E-2</v>
      </c>
      <c r="Q5" s="101">
        <v>2.4E-2</v>
      </c>
      <c r="R5" s="101">
        <v>6.0000000000000001E-3</v>
      </c>
      <c r="S5" s="122"/>
      <c r="T5" s="122"/>
      <c r="U5" s="122"/>
    </row>
    <row r="6" spans="1:21" x14ac:dyDescent="0.25">
      <c r="A6" s="15" t="s">
        <v>24</v>
      </c>
      <c r="B6" s="16" t="s">
        <v>3</v>
      </c>
      <c r="C6" s="23" t="s">
        <v>26</v>
      </c>
      <c r="D6" s="70">
        <v>6.86</v>
      </c>
      <c r="E6" s="79"/>
      <c r="F6" s="79"/>
      <c r="G6" s="79"/>
      <c r="H6" s="79"/>
      <c r="I6" s="79"/>
      <c r="J6" s="13"/>
      <c r="O6" s="99" t="s">
        <v>1</v>
      </c>
      <c r="P6" s="100">
        <v>3.2000000000000001E-2</v>
      </c>
      <c r="Q6" s="101">
        <v>2.4E-2</v>
      </c>
      <c r="R6" s="101">
        <v>6.0000000000000001E-3</v>
      </c>
      <c r="S6" s="122"/>
      <c r="T6" s="122"/>
      <c r="U6" s="122"/>
    </row>
    <row r="7" spans="1:21" x14ac:dyDescent="0.25">
      <c r="A7" s="15" t="s">
        <v>25</v>
      </c>
      <c r="B7" s="204" t="s">
        <v>3</v>
      </c>
      <c r="C7" s="23" t="s">
        <v>105</v>
      </c>
      <c r="D7" s="17">
        <f ca="1">TODAY()</f>
        <v>45140</v>
      </c>
      <c r="E7" s="79"/>
      <c r="F7" s="79"/>
      <c r="G7" s="79"/>
      <c r="H7" s="79"/>
      <c r="I7" s="79"/>
      <c r="J7" s="13"/>
      <c r="Q7" s="97"/>
      <c r="S7" s="122"/>
      <c r="T7" s="122"/>
      <c r="U7" s="122"/>
    </row>
    <row r="8" spans="1:21" x14ac:dyDescent="0.25">
      <c r="A8" s="102" t="s">
        <v>65</v>
      </c>
      <c r="B8" s="160" t="s">
        <v>9</v>
      </c>
      <c r="C8" s="126" t="s">
        <v>138</v>
      </c>
      <c r="D8" s="76" t="s">
        <v>139</v>
      </c>
      <c r="E8" s="79"/>
      <c r="F8" s="79"/>
      <c r="G8" s="79"/>
      <c r="H8" s="79"/>
      <c r="I8" s="79"/>
      <c r="J8" s="13"/>
      <c r="O8" s="97"/>
      <c r="Q8" s="97"/>
      <c r="S8" s="122"/>
      <c r="T8" s="122"/>
      <c r="U8" s="122"/>
    </row>
    <row r="9" spans="1:21" x14ac:dyDescent="0.25">
      <c r="A9" s="25" t="s">
        <v>131</v>
      </c>
      <c r="B9" s="16" t="s">
        <v>3</v>
      </c>
      <c r="C9" s="86"/>
      <c r="D9" s="87"/>
      <c r="E9" s="79"/>
      <c r="F9" s="79"/>
      <c r="G9" s="79"/>
      <c r="H9" s="79"/>
      <c r="I9" s="79"/>
      <c r="J9" s="13"/>
      <c r="O9" s="98" t="s">
        <v>75</v>
      </c>
      <c r="Q9" s="97"/>
      <c r="S9" s="122"/>
      <c r="T9" s="122"/>
      <c r="U9" s="122"/>
    </row>
    <row r="10" spans="1:21" ht="16.5" customHeight="1" x14ac:dyDescent="0.25">
      <c r="A10" s="25" t="s">
        <v>262</v>
      </c>
      <c r="B10" s="16" t="s">
        <v>263</v>
      </c>
      <c r="C10" s="124"/>
      <c r="D10" s="125"/>
      <c r="E10" s="79"/>
      <c r="F10" s="79"/>
      <c r="G10" s="79"/>
      <c r="H10" s="79"/>
      <c r="J10" s="79" t="s">
        <v>264</v>
      </c>
      <c r="O10" s="98" t="s">
        <v>69</v>
      </c>
      <c r="Q10" s="97"/>
      <c r="S10" s="122"/>
      <c r="T10" s="122"/>
      <c r="U10" s="122"/>
    </row>
    <row r="11" spans="1:21" x14ac:dyDescent="0.25">
      <c r="A11" s="577" t="s">
        <v>5</v>
      </c>
      <c r="B11" s="578"/>
      <c r="C11" s="578"/>
      <c r="D11" s="579"/>
      <c r="E11" s="79"/>
      <c r="F11" s="79"/>
      <c r="G11" s="79"/>
      <c r="H11" s="79"/>
      <c r="J11" s="79" t="s">
        <v>263</v>
      </c>
      <c r="P11" s="98" t="s">
        <v>72</v>
      </c>
      <c r="Q11" s="97" t="s">
        <v>64</v>
      </c>
      <c r="R11" s="97" t="s">
        <v>63</v>
      </c>
      <c r="S11" s="122"/>
      <c r="T11" s="122"/>
      <c r="U11" s="122"/>
    </row>
    <row r="12" spans="1:21" ht="15.75" thickBot="1" x14ac:dyDescent="0.3">
      <c r="A12" s="89" t="s">
        <v>22</v>
      </c>
      <c r="B12" s="90"/>
      <c r="C12" s="91" t="s">
        <v>4</v>
      </c>
      <c r="D12" s="92" t="s">
        <v>29</v>
      </c>
      <c r="E12" s="79"/>
      <c r="F12" s="79"/>
      <c r="G12" s="79"/>
      <c r="H12" s="79"/>
      <c r="I12" s="79"/>
      <c r="J12" s="13"/>
      <c r="O12" s="98">
        <v>0</v>
      </c>
      <c r="P12" s="98">
        <v>880</v>
      </c>
      <c r="Q12" s="103">
        <v>0.25</v>
      </c>
      <c r="R12" s="103">
        <v>0.25</v>
      </c>
      <c r="S12" s="122"/>
      <c r="T12" s="122"/>
      <c r="U12" s="122"/>
    </row>
    <row r="13" spans="1:21" ht="15.75" thickBot="1" x14ac:dyDescent="0.3">
      <c r="A13" s="104" t="s">
        <v>77</v>
      </c>
      <c r="B13" s="105"/>
      <c r="C13" s="106" t="s">
        <v>265</v>
      </c>
      <c r="D13" s="107" t="s">
        <v>80</v>
      </c>
      <c r="E13" s="79"/>
      <c r="F13" s="79"/>
      <c r="G13" s="79"/>
      <c r="H13" s="79"/>
      <c r="I13" s="79"/>
      <c r="J13" s="13"/>
      <c r="O13" s="98">
        <v>881</v>
      </c>
      <c r="P13" s="98">
        <v>1770</v>
      </c>
      <c r="Q13" s="103">
        <v>0.25</v>
      </c>
      <c r="R13" s="103">
        <v>0.28000000000000003</v>
      </c>
      <c r="S13" s="122"/>
      <c r="T13" s="122"/>
      <c r="U13" s="122"/>
    </row>
    <row r="14" spans="1:21" ht="15.75" thickBot="1" x14ac:dyDescent="0.3">
      <c r="A14" s="574" t="s">
        <v>54</v>
      </c>
      <c r="B14" s="108" t="s">
        <v>55</v>
      </c>
      <c r="C14" s="109"/>
      <c r="D14" s="110"/>
      <c r="E14" s="79"/>
      <c r="F14" s="79"/>
      <c r="G14" s="79"/>
      <c r="H14" s="79"/>
      <c r="I14" s="79"/>
      <c r="J14" s="13"/>
      <c r="O14" s="98">
        <v>1771</v>
      </c>
      <c r="P14" s="98">
        <v>2660</v>
      </c>
      <c r="Q14" s="103">
        <v>0.28000000000000003</v>
      </c>
      <c r="R14" s="103">
        <v>0.32</v>
      </c>
      <c r="S14" s="122"/>
      <c r="T14" s="122"/>
      <c r="U14" s="122"/>
    </row>
    <row r="15" spans="1:21" ht="15.75" thickBot="1" x14ac:dyDescent="0.3">
      <c r="A15" s="575"/>
      <c r="B15" s="108" t="s">
        <v>56</v>
      </c>
      <c r="C15" s="109"/>
      <c r="D15" s="110"/>
      <c r="E15" s="79"/>
      <c r="F15" s="79"/>
      <c r="G15" s="79"/>
      <c r="H15" s="79"/>
      <c r="I15" s="79"/>
      <c r="J15" s="13"/>
      <c r="O15" s="98">
        <v>2661</v>
      </c>
      <c r="P15" s="98">
        <v>3550</v>
      </c>
      <c r="Q15" s="103">
        <v>0.3</v>
      </c>
      <c r="R15" s="103">
        <v>0.34</v>
      </c>
      <c r="S15" s="122"/>
      <c r="T15" s="122"/>
      <c r="U15" s="122"/>
    </row>
    <row r="16" spans="1:21" ht="15.75" thickBot="1" x14ac:dyDescent="0.3">
      <c r="A16" s="575"/>
      <c r="B16" s="108" t="s">
        <v>57</v>
      </c>
      <c r="C16" s="109"/>
      <c r="D16" s="110"/>
      <c r="E16" s="79"/>
      <c r="F16" s="79"/>
      <c r="G16" s="79"/>
      <c r="H16" s="79"/>
      <c r="I16" s="79"/>
      <c r="J16" s="13"/>
      <c r="O16" s="98">
        <v>3551</v>
      </c>
      <c r="Q16" s="103">
        <v>0.35</v>
      </c>
      <c r="R16" s="103">
        <v>0.4</v>
      </c>
      <c r="S16" s="122"/>
      <c r="T16" s="122"/>
      <c r="U16" s="122"/>
    </row>
    <row r="17" spans="1:21" ht="15.75" thickBot="1" x14ac:dyDescent="0.3">
      <c r="A17" s="575"/>
      <c r="B17" s="108" t="s">
        <v>58</v>
      </c>
      <c r="C17" s="109"/>
      <c r="D17" s="110"/>
      <c r="E17" s="79"/>
      <c r="F17" s="79"/>
      <c r="I17" s="79"/>
      <c r="J17" s="13"/>
      <c r="K17" s="79" t="s">
        <v>4</v>
      </c>
      <c r="L17" s="195">
        <f>(C130+C150+C30+C28-C31)/6.86</f>
        <v>1457.7259475218659</v>
      </c>
      <c r="O17" s="97"/>
      <c r="P17" s="97"/>
      <c r="Q17" s="97"/>
      <c r="S17" s="122"/>
      <c r="T17" s="122"/>
      <c r="U17" s="122"/>
    </row>
    <row r="18" spans="1:21" ht="15.75" thickBot="1" x14ac:dyDescent="0.3">
      <c r="A18" s="575"/>
      <c r="B18" s="108" t="s">
        <v>59</v>
      </c>
      <c r="C18" s="109"/>
      <c r="D18" s="110"/>
      <c r="E18" s="79"/>
      <c r="F18" s="79"/>
      <c r="I18" s="79"/>
      <c r="J18" s="13"/>
      <c r="K18" s="79" t="s">
        <v>29</v>
      </c>
      <c r="L18" s="195">
        <f>(C130+C150+D30+D28-D31)/6.86</f>
        <v>0</v>
      </c>
      <c r="Q18" s="97"/>
      <c r="S18" s="122"/>
      <c r="T18" s="122"/>
      <c r="U18" s="122"/>
    </row>
    <row r="19" spans="1:21" ht="15.75" thickBot="1" x14ac:dyDescent="0.3">
      <c r="A19" s="575"/>
      <c r="B19" s="108" t="s">
        <v>60</v>
      </c>
      <c r="C19" s="109"/>
      <c r="D19" s="110"/>
      <c r="E19" s="79"/>
      <c r="F19" s="79"/>
      <c r="I19" s="79"/>
      <c r="J19" s="13"/>
      <c r="K19" s="79"/>
      <c r="L19" s="79">
        <f>IF(L17&gt;L18,L17,L18)</f>
        <v>1457.7259475218659</v>
      </c>
      <c r="Q19" s="97"/>
      <c r="S19" s="122"/>
      <c r="T19" s="122"/>
      <c r="U19" s="122"/>
    </row>
    <row r="20" spans="1:21" ht="15.75" thickBot="1" x14ac:dyDescent="0.3">
      <c r="A20" s="575"/>
      <c r="B20" s="108" t="s">
        <v>125</v>
      </c>
      <c r="C20" s="109"/>
      <c r="D20" s="110"/>
      <c r="E20" s="79"/>
      <c r="F20" s="79"/>
      <c r="G20" s="79"/>
      <c r="H20" s="79"/>
      <c r="I20" s="79"/>
      <c r="J20" s="13"/>
      <c r="O20" s="98" t="s">
        <v>71</v>
      </c>
      <c r="Q20" s="97"/>
      <c r="S20" s="122"/>
      <c r="T20" s="122"/>
      <c r="U20" s="122"/>
    </row>
    <row r="21" spans="1:21" ht="15.75" thickBot="1" x14ac:dyDescent="0.3">
      <c r="A21" s="575"/>
      <c r="B21" s="108" t="s">
        <v>126</v>
      </c>
      <c r="C21" s="109"/>
      <c r="D21" s="110"/>
      <c r="E21" s="79"/>
      <c r="F21" s="79"/>
      <c r="G21" s="79"/>
      <c r="H21" s="79"/>
      <c r="I21" s="79"/>
      <c r="J21" s="13"/>
      <c r="P21" s="97"/>
      <c r="Q21" s="97"/>
      <c r="S21" s="122"/>
      <c r="T21" s="122"/>
      <c r="U21" s="122"/>
    </row>
    <row r="22" spans="1:21" ht="15.75" thickBot="1" x14ac:dyDescent="0.3">
      <c r="A22" s="575"/>
      <c r="B22" s="108" t="s">
        <v>127</v>
      </c>
      <c r="C22" s="109"/>
      <c r="D22" s="110"/>
      <c r="E22" s="79"/>
      <c r="F22" s="79"/>
      <c r="G22" s="79"/>
      <c r="H22" s="79"/>
      <c r="I22" s="79"/>
      <c r="J22" s="13"/>
      <c r="P22" s="98" t="s">
        <v>66</v>
      </c>
      <c r="Q22" s="98" t="s">
        <v>6</v>
      </c>
      <c r="R22" s="98" t="s">
        <v>1</v>
      </c>
      <c r="S22" s="122"/>
      <c r="T22" s="122"/>
      <c r="U22" s="122"/>
    </row>
    <row r="23" spans="1:21" ht="15.75" thickBot="1" x14ac:dyDescent="0.3">
      <c r="A23" s="575"/>
      <c r="B23" s="108" t="s">
        <v>128</v>
      </c>
      <c r="C23" s="109"/>
      <c r="D23" s="110"/>
      <c r="E23" s="79"/>
      <c r="F23" s="79"/>
      <c r="G23" s="79"/>
      <c r="H23" s="79"/>
      <c r="I23" s="79"/>
      <c r="J23" s="13"/>
      <c r="O23" s="98">
        <v>0</v>
      </c>
      <c r="P23" s="98">
        <v>880</v>
      </c>
      <c r="Q23" s="111">
        <v>0.25</v>
      </c>
      <c r="R23" s="111">
        <v>0.25</v>
      </c>
      <c r="S23" s="122"/>
      <c r="T23" s="122"/>
      <c r="U23" s="122"/>
    </row>
    <row r="24" spans="1:21" ht="15.75" thickBot="1" x14ac:dyDescent="0.3">
      <c r="A24" s="575"/>
      <c r="B24" s="108" t="s">
        <v>129</v>
      </c>
      <c r="C24" s="109"/>
      <c r="D24" s="110"/>
      <c r="E24" s="79"/>
      <c r="F24" s="79"/>
      <c r="G24" s="79"/>
      <c r="H24" s="79"/>
      <c r="I24" s="79"/>
      <c r="J24" s="13"/>
      <c r="O24" s="98">
        <v>881</v>
      </c>
      <c r="P24" s="98">
        <v>1770</v>
      </c>
      <c r="Q24" s="111">
        <v>0.25</v>
      </c>
      <c r="R24" s="111">
        <v>0.28000000000000003</v>
      </c>
      <c r="S24" s="122"/>
      <c r="T24" s="122"/>
      <c r="U24" s="122"/>
    </row>
    <row r="25" spans="1:21" ht="15.75" thickBot="1" x14ac:dyDescent="0.3">
      <c r="A25" s="575"/>
      <c r="B25" s="108" t="s">
        <v>130</v>
      </c>
      <c r="C25" s="109"/>
      <c r="D25" s="110"/>
      <c r="E25" s="79"/>
      <c r="F25" s="79"/>
      <c r="G25" s="79"/>
      <c r="H25" s="79"/>
      <c r="I25" s="79"/>
      <c r="J25" s="13"/>
      <c r="O25" s="98">
        <v>1771</v>
      </c>
      <c r="P25" s="98">
        <v>2660</v>
      </c>
      <c r="Q25" s="111">
        <v>0.28000000000000003</v>
      </c>
      <c r="R25" s="111">
        <v>0.32</v>
      </c>
      <c r="S25" s="122"/>
      <c r="T25" s="122"/>
      <c r="U25" s="122"/>
    </row>
    <row r="26" spans="1:21" ht="15.75" thickBot="1" x14ac:dyDescent="0.3">
      <c r="A26" s="575"/>
      <c r="B26" s="108" t="s">
        <v>61</v>
      </c>
      <c r="C26" s="112">
        <f>IFERROR(AVERAGE(C14:C25),)</f>
        <v>0</v>
      </c>
      <c r="D26" s="112">
        <f>IFERROR(AVERAGE(D14:D25),)</f>
        <v>0</v>
      </c>
      <c r="E26" s="79"/>
      <c r="F26" s="79"/>
      <c r="G26" s="79"/>
      <c r="H26" s="79"/>
      <c r="I26" s="79"/>
      <c r="J26" s="13"/>
      <c r="O26" s="98">
        <v>2661</v>
      </c>
      <c r="P26" s="98">
        <v>3550</v>
      </c>
      <c r="Q26" s="111">
        <v>0.3</v>
      </c>
      <c r="R26" s="111">
        <v>0.34</v>
      </c>
      <c r="S26" s="122"/>
      <c r="T26" s="122"/>
      <c r="U26" s="122"/>
    </row>
    <row r="27" spans="1:21" ht="15.75" thickBot="1" x14ac:dyDescent="0.3">
      <c r="A27" s="575"/>
      <c r="B27" s="113" t="s">
        <v>62</v>
      </c>
      <c r="C27" s="112">
        <f>C26*VLOOKUP(C13,$O$35:$P$45,2,FALSE)</f>
        <v>0</v>
      </c>
      <c r="D27" s="112">
        <f>D26*VLOOKUP(D13,$O$35:$P$45,2,FALSE)</f>
        <v>0</v>
      </c>
      <c r="E27" s="79"/>
      <c r="F27" s="79"/>
      <c r="G27" s="79"/>
      <c r="H27" s="79"/>
      <c r="I27" s="79"/>
      <c r="J27" s="13"/>
      <c r="L27" s="98" t="s">
        <v>2</v>
      </c>
      <c r="M27" s="14" t="s">
        <v>9</v>
      </c>
      <c r="N27" s="14" t="s">
        <v>139</v>
      </c>
      <c r="O27" s="98">
        <v>3551</v>
      </c>
      <c r="Q27" s="111">
        <v>0.35</v>
      </c>
      <c r="R27" s="111">
        <v>0.4</v>
      </c>
      <c r="S27" s="122"/>
      <c r="T27" s="122"/>
      <c r="U27" s="122"/>
    </row>
    <row r="28" spans="1:21" ht="15.75" thickBot="1" x14ac:dyDescent="0.3">
      <c r="A28" s="576"/>
      <c r="B28" s="113" t="s">
        <v>87</v>
      </c>
      <c r="C28" s="114">
        <f>IFERROR(C27,0)</f>
        <v>0</v>
      </c>
      <c r="D28" s="114">
        <f>IFERROR(D27,0)</f>
        <v>0</v>
      </c>
      <c r="E28" s="79"/>
      <c r="F28" s="79"/>
      <c r="G28" s="79"/>
      <c r="H28" s="79"/>
      <c r="I28" s="79"/>
      <c r="J28" s="13"/>
      <c r="L28" s="98" t="s">
        <v>3</v>
      </c>
      <c r="M28" s="159" t="s">
        <v>196</v>
      </c>
      <c r="N28" s="98" t="s">
        <v>205</v>
      </c>
      <c r="O28" s="97"/>
      <c r="P28" s="97"/>
      <c r="Q28" s="97"/>
      <c r="S28" s="122"/>
      <c r="T28" s="122"/>
      <c r="U28" s="122"/>
    </row>
    <row r="29" spans="1:21" ht="15.75" thickBot="1" x14ac:dyDescent="0.3">
      <c r="A29" s="25" t="s">
        <v>76</v>
      </c>
      <c r="B29" s="28">
        <f>C29+D29</f>
        <v>0</v>
      </c>
      <c r="C29" s="115">
        <v>0</v>
      </c>
      <c r="D29" s="115">
        <v>0</v>
      </c>
      <c r="E29" s="79"/>
      <c r="F29" s="79"/>
      <c r="G29" s="79"/>
      <c r="H29" s="79"/>
      <c r="I29" s="79"/>
      <c r="J29" s="13"/>
      <c r="N29" s="14" t="s">
        <v>135</v>
      </c>
      <c r="Q29" s="97"/>
      <c r="S29" s="122"/>
      <c r="T29" s="122"/>
      <c r="U29" s="122"/>
    </row>
    <row r="30" spans="1:21" ht="15.75" thickBot="1" x14ac:dyDescent="0.3">
      <c r="A30" s="15" t="s">
        <v>28</v>
      </c>
      <c r="B30" s="18">
        <f>C30+D30</f>
        <v>10000</v>
      </c>
      <c r="C30" s="19">
        <v>10000</v>
      </c>
      <c r="D30" s="19">
        <v>0</v>
      </c>
      <c r="E30" s="79"/>
      <c r="F30" s="79"/>
      <c r="G30" s="79"/>
      <c r="H30" s="79"/>
      <c r="I30" s="79"/>
      <c r="J30" s="13"/>
      <c r="N30" s="14" t="s">
        <v>140</v>
      </c>
      <c r="Q30" s="97"/>
      <c r="S30" s="122"/>
      <c r="T30" s="122"/>
      <c r="U30" s="122"/>
    </row>
    <row r="31" spans="1:21" ht="15.75" thickBot="1" x14ac:dyDescent="0.3">
      <c r="A31" s="15" t="s">
        <v>123</v>
      </c>
      <c r="B31" s="20">
        <f>SUM(C31:D31)</f>
        <v>0</v>
      </c>
      <c r="C31" s="19">
        <v>0</v>
      </c>
      <c r="D31" s="19">
        <v>0</v>
      </c>
      <c r="E31" s="79"/>
      <c r="F31" s="79"/>
      <c r="G31" s="79"/>
      <c r="H31" s="79"/>
      <c r="I31" s="79"/>
      <c r="J31" s="13"/>
      <c r="N31" s="14" t="s">
        <v>136</v>
      </c>
      <c r="Q31" s="97"/>
      <c r="S31" s="122"/>
      <c r="T31" s="122"/>
      <c r="U31" s="122"/>
    </row>
    <row r="32" spans="1:21" ht="20.25" x14ac:dyDescent="0.25">
      <c r="A32" s="15" t="s">
        <v>31</v>
      </c>
      <c r="B32" s="20">
        <f>((B29*0.82)+B30+C28+D28-B31)/D6</f>
        <v>1457.7259475218659</v>
      </c>
      <c r="C32" s="21"/>
      <c r="D32" s="22"/>
      <c r="E32" s="79"/>
      <c r="F32" s="223"/>
      <c r="G32" s="79"/>
      <c r="H32" s="79"/>
      <c r="I32" s="79"/>
      <c r="J32" s="13"/>
      <c r="N32" s="14" t="s">
        <v>145</v>
      </c>
      <c r="Q32" s="97"/>
      <c r="S32" s="122"/>
      <c r="T32" s="122"/>
      <c r="U32" s="122"/>
    </row>
    <row r="33" spans="1:21" ht="21" x14ac:dyDescent="0.25">
      <c r="A33" s="15" t="s">
        <v>30</v>
      </c>
      <c r="B33" s="165">
        <f xml:space="preserve">  IF(AND(B8=CONFIG!G2,OR(D8=CONFIG!K3,D8=CONFIG!K4)),            VLOOKUP(D88,CONFIG!A1:B4,2,FALSE),
 IF(AND(B8=CONFIG!G2,D8=CONFIG!K2,B71=CONFIG!C1),             VLOOKUP(D88,CONFIG!A1:C4,3,FALSE),
 IF(AND(B8=CONFIG!G2,D8=CONFIG!L2,B71=CONFIG!F1),             VLOOKUP(D88,CONFIG!A1:B4,2,FALSE),
 IF(AND(B8=CONFIG!G2,D8=CONFIG!K2,OR(B71=CONFIG!D1,B71=CONFIG!E1)),VLOOKUP(D88,CONFIG!A1:E4,4,FALSE),
 IF(AND(B8=CONFIG!G2,D8,CONFIG!L3,OR(B71=CONFIG!C1,B71=CONFIG!F1)),VLOOKUP(D88,CONFIG!A2:C4,3,FALSE),
 IF(AND(B8=CONFIG!G2,D8,CONFIG!L3,OR(B71=CONFIG!D1,B71=CONFIG!E1)),VLOOKUP(D88,CONFIG!A2:B4,2,FALSE),
 IF(B7=L27,LOOKUP(B32,O23:P27,R23:R27),                LOOKUP(B32,O23:P27,Q23:Q27)  )
 ) ) ) ) ))</f>
        <v>0.25</v>
      </c>
      <c r="C33" s="21"/>
      <c r="D33" s="22"/>
      <c r="E33" s="79"/>
      <c r="F33" s="224"/>
      <c r="H33" s="79"/>
      <c r="I33" s="79"/>
      <c r="J33" s="13"/>
      <c r="O33" s="98" t="s">
        <v>86</v>
      </c>
      <c r="Q33" s="97"/>
      <c r="S33" s="122"/>
      <c r="T33" s="122"/>
      <c r="U33" s="122"/>
    </row>
    <row r="34" spans="1:21" x14ac:dyDescent="0.25">
      <c r="A34" s="2" t="s">
        <v>88</v>
      </c>
      <c r="B34" s="116">
        <f>B32*B33</f>
        <v>364.43148688046648</v>
      </c>
      <c r="C34" s="23" t="s">
        <v>95</v>
      </c>
      <c r="D34" s="24">
        <f>B34*D6</f>
        <v>2500</v>
      </c>
      <c r="E34" s="79"/>
      <c r="F34" s="79"/>
      <c r="G34" s="79"/>
      <c r="H34" s="79"/>
      <c r="I34" s="79"/>
      <c r="J34" s="13"/>
      <c r="Q34" s="97"/>
      <c r="S34" s="122"/>
      <c r="T34" s="122"/>
      <c r="U34" s="122"/>
    </row>
    <row r="35" spans="1:21" x14ac:dyDescent="0.25">
      <c r="A35" s="565"/>
      <c r="B35" s="566"/>
      <c r="C35" s="566"/>
      <c r="D35" s="567"/>
      <c r="E35" s="79"/>
      <c r="F35" s="79"/>
      <c r="G35" s="79"/>
      <c r="H35" s="79"/>
      <c r="I35" s="79"/>
      <c r="J35" s="13"/>
      <c r="O35" s="88" t="s">
        <v>79</v>
      </c>
      <c r="P35" s="117">
        <v>0.62</v>
      </c>
      <c r="Q35" s="97"/>
      <c r="S35" s="122"/>
      <c r="T35" s="122"/>
      <c r="U35" s="122"/>
    </row>
    <row r="36" spans="1:21" ht="15.75" thickBot="1" x14ac:dyDescent="0.3">
      <c r="A36" s="89" t="s">
        <v>19</v>
      </c>
      <c r="B36" s="90" t="s">
        <v>12</v>
      </c>
      <c r="C36" s="91" t="s">
        <v>4</v>
      </c>
      <c r="D36" s="92" t="s">
        <v>29</v>
      </c>
      <c r="E36" s="79"/>
      <c r="F36" s="79"/>
      <c r="G36" s="79"/>
      <c r="H36" s="79"/>
      <c r="I36" s="79"/>
      <c r="J36" s="13"/>
      <c r="O36" s="88" t="s">
        <v>80</v>
      </c>
      <c r="P36" s="117">
        <v>0.75</v>
      </c>
      <c r="Q36" s="97"/>
      <c r="S36" s="122"/>
      <c r="T36" s="122"/>
      <c r="U36" s="122"/>
    </row>
    <row r="37" spans="1:21" ht="15.75" thickBot="1" x14ac:dyDescent="0.3">
      <c r="A37" s="25" t="s">
        <v>10</v>
      </c>
      <c r="B37" s="26">
        <f>(IF(B7="SI",(C37+D37)*$R$6,IF(B6="SI",(C37+D37)*$R$5,(C37+D37)*$R$4)))/$D$6</f>
        <v>0</v>
      </c>
      <c r="C37" s="19"/>
      <c r="D37" s="19"/>
      <c r="E37" s="79"/>
      <c r="G37" s="79"/>
      <c r="H37" s="79"/>
      <c r="I37" s="79"/>
      <c r="J37" s="13"/>
      <c r="K37" s="97" t="s">
        <v>207</v>
      </c>
      <c r="L37" s="163">
        <f>+IF(B7=L27,LOOKUP(B32,O23:P27,R23:R27),LOOKUP(B32,O23:P27,Q23:Q27))</f>
        <v>0.25</v>
      </c>
      <c r="O37" s="88" t="s">
        <v>81</v>
      </c>
      <c r="P37" s="117">
        <v>0.7</v>
      </c>
      <c r="Q37" s="97"/>
      <c r="S37" s="122"/>
      <c r="T37" s="122"/>
      <c r="U37" s="122"/>
    </row>
    <row r="38" spans="1:21" ht="15.75" thickBot="1" x14ac:dyDescent="0.3">
      <c r="A38" s="15" t="s">
        <v>9</v>
      </c>
      <c r="B38" s="1">
        <f>(IF(B7="SI",(C38+D38)*$Q$6,IF(B6="SI",(C38+D38)*$Q$5,(C38+D38)*$Q$4)))/$D$6</f>
        <v>174.9271137026239</v>
      </c>
      <c r="C38" s="19">
        <v>50000</v>
      </c>
      <c r="D38" s="19"/>
      <c r="E38" s="79"/>
      <c r="F38" s="79"/>
      <c r="G38" s="79"/>
      <c r="H38" s="79"/>
      <c r="I38" s="79"/>
      <c r="J38" s="13"/>
      <c r="O38" s="88" t="s">
        <v>82</v>
      </c>
      <c r="P38" s="117">
        <v>0.7</v>
      </c>
      <c r="Q38" s="97"/>
      <c r="S38" s="122"/>
      <c r="T38" s="122"/>
      <c r="U38" s="122"/>
    </row>
    <row r="39" spans="1:21" ht="15.75" thickBot="1" x14ac:dyDescent="0.3">
      <c r="A39" s="15" t="s">
        <v>20</v>
      </c>
      <c r="B39" s="1">
        <f>(IF(B7="SI",(C39+D39)*$P$6,IF(B6="SI",(C39+D39)*$P$5,(C39+D39)*$P$4)))/$D$6</f>
        <v>0</v>
      </c>
      <c r="C39" s="19"/>
      <c r="D39" s="19"/>
      <c r="E39" s="79"/>
      <c r="F39" s="79"/>
      <c r="G39" s="79"/>
      <c r="H39" s="79"/>
      <c r="I39" s="79"/>
      <c r="J39" s="13"/>
      <c r="O39" s="88" t="s">
        <v>83</v>
      </c>
      <c r="P39" s="117">
        <v>0.98</v>
      </c>
      <c r="Q39" s="97"/>
      <c r="S39" s="122"/>
      <c r="T39" s="122"/>
      <c r="U39" s="122"/>
    </row>
    <row r="40" spans="1:21" ht="15.75" thickBot="1" x14ac:dyDescent="0.3">
      <c r="A40" s="15" t="s">
        <v>194</v>
      </c>
      <c r="B40" s="1">
        <f>(C40+D40)/$D$6</f>
        <v>0</v>
      </c>
      <c r="C40" s="27"/>
      <c r="D40" s="19"/>
      <c r="E40" s="79"/>
      <c r="F40" s="79"/>
      <c r="G40" s="79"/>
      <c r="H40" s="79"/>
      <c r="I40" s="79"/>
      <c r="J40" s="13"/>
      <c r="O40" s="88" t="s">
        <v>84</v>
      </c>
      <c r="P40" s="117">
        <v>0.8</v>
      </c>
      <c r="Q40" s="97"/>
      <c r="S40" s="122"/>
      <c r="T40" s="122"/>
      <c r="U40" s="122"/>
    </row>
    <row r="41" spans="1:21" ht="15.75" thickBot="1" x14ac:dyDescent="0.3">
      <c r="A41" s="15" t="s">
        <v>195</v>
      </c>
      <c r="B41" s="18">
        <f>(C41+D41)/$D$6</f>
        <v>0</v>
      </c>
      <c r="C41" s="27"/>
      <c r="D41" s="19"/>
      <c r="E41" s="79"/>
      <c r="F41" s="79"/>
      <c r="G41" s="79"/>
      <c r="H41" s="79"/>
      <c r="I41" s="79"/>
      <c r="J41" s="13"/>
      <c r="O41" s="88" t="s">
        <v>85</v>
      </c>
      <c r="P41" s="117">
        <v>0.55000000000000004</v>
      </c>
      <c r="Q41" s="97"/>
      <c r="S41" s="122"/>
      <c r="T41" s="122"/>
      <c r="U41" s="122"/>
    </row>
    <row r="42" spans="1:21" hidden="1" x14ac:dyDescent="0.25">
      <c r="A42" s="565"/>
      <c r="B42" s="566"/>
      <c r="C42" s="566"/>
      <c r="D42" s="567"/>
      <c r="E42" s="79"/>
      <c r="F42" s="79"/>
      <c r="G42" s="79"/>
      <c r="H42" s="79"/>
      <c r="I42" s="79"/>
      <c r="J42" s="13"/>
      <c r="O42" s="88" t="s">
        <v>78</v>
      </c>
      <c r="P42" s="117">
        <v>0.4</v>
      </c>
      <c r="Q42" s="97"/>
      <c r="S42" s="122"/>
      <c r="T42" s="122"/>
      <c r="U42" s="122"/>
    </row>
    <row r="43" spans="1:21" ht="15.75" hidden="1" thickBot="1" x14ac:dyDescent="0.3">
      <c r="A43" s="93" t="s">
        <v>124</v>
      </c>
      <c r="B43" s="90" t="s">
        <v>12</v>
      </c>
      <c r="C43" s="91" t="s">
        <v>4</v>
      </c>
      <c r="D43" s="92" t="s">
        <v>29</v>
      </c>
      <c r="E43" s="79"/>
      <c r="F43" s="79"/>
      <c r="G43" s="79"/>
      <c r="H43" s="79"/>
      <c r="I43" s="79"/>
      <c r="J43" s="13"/>
      <c r="O43" s="88" t="s">
        <v>114</v>
      </c>
      <c r="P43" s="117">
        <v>0.84</v>
      </c>
      <c r="Q43" s="97"/>
      <c r="S43" s="122"/>
      <c r="T43" s="122"/>
      <c r="U43" s="122"/>
    </row>
    <row r="44" spans="1:21" ht="15.75" hidden="1" thickBot="1" x14ac:dyDescent="0.3">
      <c r="A44" s="71"/>
      <c r="B44" s="18">
        <f>(C44+D44)/$D$6</f>
        <v>0</v>
      </c>
      <c r="C44" s="27">
        <v>0</v>
      </c>
      <c r="D44" s="19">
        <v>0</v>
      </c>
      <c r="E44" s="79"/>
      <c r="F44" s="79"/>
      <c r="G44" s="79"/>
      <c r="H44" s="79"/>
      <c r="I44" s="79"/>
      <c r="J44" s="13"/>
      <c r="O44" s="97"/>
      <c r="P44" s="97"/>
      <c r="Q44" s="97"/>
      <c r="S44" s="122"/>
      <c r="T44" s="122"/>
      <c r="U44" s="122"/>
    </row>
    <row r="45" spans="1:21" ht="9" customHeight="1" x14ac:dyDescent="0.25">
      <c r="A45" s="84"/>
      <c r="B45" s="85"/>
      <c r="C45" s="86"/>
      <c r="D45" s="87"/>
      <c r="E45" s="79"/>
      <c r="F45" s="79"/>
      <c r="G45" s="79"/>
      <c r="H45" s="79"/>
      <c r="I45" s="79"/>
      <c r="J45" s="13"/>
      <c r="O45" s="88" t="s">
        <v>265</v>
      </c>
      <c r="P45" s="117">
        <v>0.97</v>
      </c>
      <c r="Q45" s="97"/>
      <c r="S45" s="122"/>
      <c r="T45" s="122"/>
      <c r="U45" s="122"/>
    </row>
    <row r="46" spans="1:21" ht="15.75" thickBot="1" x14ac:dyDescent="0.3">
      <c r="A46" s="89" t="s">
        <v>21</v>
      </c>
      <c r="B46" s="90" t="s">
        <v>8</v>
      </c>
      <c r="C46" s="91" t="s">
        <v>4</v>
      </c>
      <c r="D46" s="92" t="s">
        <v>29</v>
      </c>
      <c r="E46" s="79"/>
      <c r="F46" s="79"/>
      <c r="G46" s="79"/>
      <c r="H46" s="79"/>
      <c r="I46" s="79"/>
      <c r="J46" s="13"/>
      <c r="O46" s="97"/>
      <c r="P46" s="97"/>
      <c r="Q46" s="97"/>
      <c r="S46" s="122"/>
      <c r="T46" s="122"/>
      <c r="U46" s="122"/>
    </row>
    <row r="47" spans="1:21" ht="15.75" thickBot="1" x14ac:dyDescent="0.3">
      <c r="A47" s="25" t="s">
        <v>10</v>
      </c>
      <c r="B47" s="28">
        <f>(C47+D47)/$D$6</f>
        <v>0</v>
      </c>
      <c r="C47" s="19"/>
      <c r="D47" s="19"/>
      <c r="E47" s="79"/>
      <c r="F47" s="79"/>
      <c r="G47" s="79"/>
      <c r="H47" s="79"/>
      <c r="I47" s="79"/>
      <c r="J47" s="13"/>
      <c r="Q47" s="97"/>
      <c r="S47" s="122"/>
      <c r="T47" s="122"/>
      <c r="U47" s="122"/>
    </row>
    <row r="48" spans="1:21" ht="15.75" thickBot="1" x14ac:dyDescent="0.3">
      <c r="A48" s="15" t="s">
        <v>9</v>
      </c>
      <c r="B48" s="18">
        <f>(C48+D48)/$D$6</f>
        <v>0</v>
      </c>
      <c r="C48" s="19"/>
      <c r="D48" s="19"/>
      <c r="E48" s="79"/>
      <c r="F48" s="79"/>
      <c r="G48" s="79"/>
      <c r="H48" s="79"/>
      <c r="I48" s="79"/>
      <c r="J48" s="13"/>
      <c r="Q48" s="97"/>
      <c r="S48" s="122"/>
      <c r="T48" s="122"/>
      <c r="U48" s="122"/>
    </row>
    <row r="49" spans="1:21" ht="15.75" customHeight="1" thickBot="1" x14ac:dyDescent="0.3">
      <c r="A49" s="15" t="s">
        <v>20</v>
      </c>
      <c r="B49" s="1">
        <f>(C49+D49)/$D$6*3.2%</f>
        <v>0</v>
      </c>
      <c r="C49" s="27"/>
      <c r="D49" s="19"/>
      <c r="E49" s="79"/>
      <c r="F49" s="79"/>
      <c r="G49" s="79"/>
      <c r="H49" s="79"/>
      <c r="I49" s="79"/>
      <c r="J49" s="13"/>
      <c r="K49" s="558" t="s">
        <v>118</v>
      </c>
      <c r="L49" s="557" t="s">
        <v>117</v>
      </c>
      <c r="M49" s="557"/>
      <c r="N49" s="557"/>
      <c r="O49" s="13"/>
      <c r="P49" s="67" t="s">
        <v>287</v>
      </c>
      <c r="Q49" s="66" t="s">
        <v>119</v>
      </c>
      <c r="R49" s="66" t="s">
        <v>120</v>
      </c>
      <c r="S49" s="203" t="s">
        <v>284</v>
      </c>
      <c r="T49" s="122"/>
      <c r="U49" s="122"/>
    </row>
    <row r="50" spans="1:21" ht="15.75" thickBot="1" x14ac:dyDescent="0.3">
      <c r="A50" s="15" t="s">
        <v>32</v>
      </c>
      <c r="B50" s="18">
        <f>(C50+D50)/$D$6</f>
        <v>0</v>
      </c>
      <c r="C50" s="27"/>
      <c r="D50" s="19"/>
      <c r="E50" s="79"/>
      <c r="F50" s="213" t="str">
        <f>IF(AND(D88="Regular",F61&lt;=20000),"SE CUMPLE CUMULO",IF(AND(D88="Bueno",F61&lt;=30000),"SE CUMPLE CUMULO",IF(AND(D88="Muy Bueno",F61&lt;=40000),"SE CUMPLE CUMULO","SOBREPASA CUMULO")))</f>
        <v>SOBREPASA CUMULO</v>
      </c>
      <c r="G50" s="79"/>
      <c r="H50" s="79"/>
      <c r="I50" s="79"/>
      <c r="J50" s="13"/>
      <c r="K50" s="558"/>
      <c r="L50" s="83" t="s">
        <v>119</v>
      </c>
      <c r="M50" s="83" t="s">
        <v>120</v>
      </c>
      <c r="N50" s="83" t="s">
        <v>121</v>
      </c>
      <c r="O50" s="13"/>
      <c r="P50" s="137">
        <f>B32</f>
        <v>1457.7259475218659</v>
      </c>
      <c r="Q50" s="66">
        <v>2.5</v>
      </c>
      <c r="R50" s="66">
        <v>3.5</v>
      </c>
      <c r="S50" s="203">
        <v>4.5</v>
      </c>
      <c r="T50" s="122"/>
      <c r="U50" s="122"/>
    </row>
    <row r="51" spans="1:21" x14ac:dyDescent="0.25">
      <c r="A51" s="547"/>
      <c r="B51" s="548"/>
      <c r="C51" s="548"/>
      <c r="D51" s="549"/>
      <c r="E51" s="79"/>
      <c r="F51" s="79"/>
      <c r="G51" s="79"/>
      <c r="H51" s="79"/>
      <c r="I51" s="79"/>
      <c r="J51" s="13"/>
      <c r="K51" s="66">
        <v>0</v>
      </c>
      <c r="L51" s="137">
        <f>$B$57/$D$6</f>
        <v>5922.0116618075808</v>
      </c>
      <c r="M51" s="137">
        <f t="shared" ref="M51:N52" si="0">$B$57/$D$6</f>
        <v>5922.0116618075808</v>
      </c>
      <c r="N51" s="137">
        <f t="shared" si="0"/>
        <v>5922.0116618075808</v>
      </c>
      <c r="O51" s="13"/>
      <c r="P51" s="13"/>
      <c r="Q51" s="13"/>
      <c r="R51" s="13"/>
      <c r="S51" s="79"/>
      <c r="T51" s="122"/>
      <c r="U51" s="122"/>
    </row>
    <row r="52" spans="1:21" x14ac:dyDescent="0.25">
      <c r="A52" s="89" t="s">
        <v>11</v>
      </c>
      <c r="B52" s="94">
        <f>B34-B37-B38-B39-B40-B41-B47-B48-B49-B50-B44</f>
        <v>189.50437317784258</v>
      </c>
      <c r="C52" s="89" t="s">
        <v>106</v>
      </c>
      <c r="D52" s="206">
        <f>B52*D6</f>
        <v>1300.0000000000002</v>
      </c>
      <c r="E52" s="559" t="s">
        <v>214</v>
      </c>
      <c r="F52" s="560"/>
      <c r="G52" s="560"/>
      <c r="H52" s="561"/>
      <c r="I52" s="79"/>
      <c r="J52" s="13"/>
      <c r="K52" s="66">
        <v>700</v>
      </c>
      <c r="L52" s="137">
        <v>6000</v>
      </c>
      <c r="M52" s="137">
        <f t="shared" si="0"/>
        <v>5922.0116618075808</v>
      </c>
      <c r="N52" s="137">
        <f t="shared" si="0"/>
        <v>5922.0116618075808</v>
      </c>
      <c r="O52" s="13"/>
      <c r="P52" s="13"/>
      <c r="Q52" s="13"/>
      <c r="R52" s="13"/>
      <c r="S52" s="79"/>
      <c r="T52" s="122"/>
      <c r="U52" s="122"/>
    </row>
    <row r="53" spans="1:21" x14ac:dyDescent="0.25">
      <c r="A53" s="565"/>
      <c r="B53" s="566"/>
      <c r="C53" s="566"/>
      <c r="D53" s="566"/>
      <c r="E53" s="203" t="s">
        <v>215</v>
      </c>
      <c r="F53" s="203" t="s">
        <v>272</v>
      </c>
      <c r="G53" s="203" t="s">
        <v>273</v>
      </c>
      <c r="H53" s="203" t="s">
        <v>226</v>
      </c>
      <c r="I53" s="79"/>
      <c r="J53" s="13"/>
      <c r="K53" s="66">
        <v>1030</v>
      </c>
      <c r="L53" s="137">
        <v>6000</v>
      </c>
      <c r="M53" s="137">
        <v>8500</v>
      </c>
      <c r="N53" s="137">
        <f>$B$57/$D$6</f>
        <v>5922.0116618075808</v>
      </c>
      <c r="O53" s="13"/>
      <c r="P53" s="13"/>
      <c r="Q53" s="13"/>
      <c r="R53" s="13"/>
      <c r="S53" s="79"/>
      <c r="T53" s="122"/>
      <c r="U53" s="122"/>
    </row>
    <row r="54" spans="1:21" x14ac:dyDescent="0.25">
      <c r="A54" s="577" t="s">
        <v>13</v>
      </c>
      <c r="B54" s="578"/>
      <c r="C54" s="578"/>
      <c r="D54" s="578"/>
      <c r="E54" s="203" t="s">
        <v>274</v>
      </c>
      <c r="F54" s="207" t="s">
        <v>219</v>
      </c>
      <c r="G54" s="217">
        <f>B96</f>
        <v>1400000</v>
      </c>
      <c r="H54" s="215">
        <f>+IFERROR(G54/$D$6,0)</f>
        <v>204081.63265306121</v>
      </c>
      <c r="I54" s="79"/>
      <c r="J54" s="13"/>
      <c r="K54" s="66">
        <v>1320</v>
      </c>
      <c r="L54" s="137">
        <v>7000</v>
      </c>
      <c r="M54" s="137">
        <v>9500</v>
      </c>
      <c r="N54" s="137">
        <v>12000</v>
      </c>
      <c r="O54" s="13"/>
      <c r="P54" s="13"/>
      <c r="Q54" s="13"/>
      <c r="R54" s="13"/>
      <c r="S54" s="79"/>
      <c r="T54" s="122"/>
      <c r="U54" s="122"/>
    </row>
    <row r="55" spans="1:21" x14ac:dyDescent="0.25">
      <c r="A55" s="118" t="s">
        <v>20</v>
      </c>
      <c r="B55" s="119"/>
      <c r="C55" s="119"/>
      <c r="D55" s="119"/>
      <c r="E55" s="71"/>
      <c r="F55" s="71" t="s">
        <v>218</v>
      </c>
      <c r="G55" s="71">
        <v>161000</v>
      </c>
      <c r="H55" s="215">
        <f>+IFERROR(G55/$D$6,0)</f>
        <v>23469.387755102041</v>
      </c>
      <c r="I55" s="79"/>
      <c r="J55" s="13"/>
      <c r="K55" s="66">
        <v>1736</v>
      </c>
      <c r="L55" s="137">
        <v>7500</v>
      </c>
      <c r="M55" s="137">
        <v>12000</v>
      </c>
      <c r="N55" s="137">
        <v>15000</v>
      </c>
      <c r="O55" s="13"/>
      <c r="P55" s="13"/>
      <c r="Q55" s="13"/>
      <c r="R55" s="13"/>
      <c r="S55" s="79"/>
      <c r="T55" s="122"/>
      <c r="U55" s="122"/>
    </row>
    <row r="56" spans="1:21" x14ac:dyDescent="0.25">
      <c r="A56" s="30"/>
      <c r="B56" s="30"/>
      <c r="C56" s="30"/>
      <c r="D56" s="30"/>
      <c r="E56" s="71"/>
      <c r="F56" s="71" t="s">
        <v>218</v>
      </c>
      <c r="G56" s="71">
        <v>35000</v>
      </c>
      <c r="H56" s="215">
        <f>+IFERROR(G56/$D$6,0)</f>
        <v>5102.0408163265301</v>
      </c>
      <c r="I56" s="79"/>
      <c r="J56" s="13"/>
      <c r="K56" s="13"/>
      <c r="L56" s="13">
        <v>2</v>
      </c>
      <c r="M56" s="13">
        <v>3</v>
      </c>
      <c r="N56" s="13">
        <v>4</v>
      </c>
      <c r="O56" s="13"/>
      <c r="P56" s="13"/>
      <c r="Q56" s="13"/>
      <c r="R56" s="13"/>
      <c r="S56" s="79"/>
      <c r="T56" s="122"/>
      <c r="U56" s="122"/>
    </row>
    <row r="57" spans="1:21" ht="15.75" thickBot="1" x14ac:dyDescent="0.3">
      <c r="A57" s="23" t="s">
        <v>289</v>
      </c>
      <c r="B57" s="129">
        <f>($B$52/3.2%)*$D$6</f>
        <v>40625.000000000007</v>
      </c>
      <c r="C57" s="31" t="s">
        <v>168</v>
      </c>
      <c r="D57" s="31" t="s">
        <v>167</v>
      </c>
      <c r="E57" s="71"/>
      <c r="F57" s="71" t="s">
        <v>219</v>
      </c>
      <c r="G57" s="71">
        <v>219345</v>
      </c>
      <c r="H57" s="215">
        <f t="shared" ref="H57:H59" si="1">+IFERROR(G57/$D$6,0)</f>
        <v>31974.489795918365</v>
      </c>
      <c r="I57" s="79"/>
      <c r="J57" s="13"/>
      <c r="M57" s="14"/>
      <c r="N57" s="13"/>
      <c r="O57" s="13"/>
      <c r="P57" s="13"/>
      <c r="Q57" s="13"/>
      <c r="R57" s="13"/>
      <c r="S57" s="79"/>
      <c r="T57" s="122"/>
      <c r="U57" s="122"/>
    </row>
    <row r="58" spans="1:21" ht="15.75" thickBot="1" x14ac:dyDescent="0.3">
      <c r="A58" s="23" t="s">
        <v>292</v>
      </c>
      <c r="B58" s="32">
        <f>L60</f>
        <v>45000</v>
      </c>
      <c r="C58" s="33">
        <v>45000</v>
      </c>
      <c r="D58" s="205">
        <v>0</v>
      </c>
      <c r="E58" s="71"/>
      <c r="F58" s="71" t="s">
        <v>219</v>
      </c>
      <c r="G58" s="71">
        <v>1936275</v>
      </c>
      <c r="H58" s="215">
        <f t="shared" si="1"/>
        <v>282255.83090379008</v>
      </c>
      <c r="I58" s="79"/>
      <c r="J58" s="13"/>
      <c r="M58" s="13"/>
      <c r="N58" s="13"/>
      <c r="O58" s="13"/>
      <c r="P58" s="13"/>
      <c r="Q58" s="13"/>
      <c r="R58" s="13"/>
      <c r="S58" s="79"/>
      <c r="T58" s="122"/>
      <c r="U58" s="122"/>
    </row>
    <row r="59" spans="1:21" x14ac:dyDescent="0.25">
      <c r="A59" s="15" t="s">
        <v>30</v>
      </c>
      <c r="B59" s="34"/>
      <c r="C59" s="120">
        <f>IFERROR(($B$37+$B$38+$B$39+$B$40+$B$41+$B$47+$B$48+$B$49+$B$50+$B$44+(C58/$D$6*3.2%))/$B$32,0)</f>
        <v>0.26399999999999996</v>
      </c>
      <c r="D59" s="121">
        <f>IFERROR(($B$37+$B$38+$B$39+$B$40+$B$41+$B$47+$B$48+$B$49+$B$50+$B$44+(D58/$D$6*3.2%))/$B$32,0)</f>
        <v>0.12</v>
      </c>
      <c r="E59" s="71"/>
      <c r="F59" s="71"/>
      <c r="G59" s="71"/>
      <c r="H59" s="215">
        <f t="shared" si="1"/>
        <v>0</v>
      </c>
      <c r="I59" s="79"/>
      <c r="J59" s="13"/>
      <c r="K59" s="97" t="s">
        <v>293</v>
      </c>
      <c r="L59" s="225">
        <f>MIN(B57:B58)</f>
        <v>40625.000000000007</v>
      </c>
      <c r="M59" s="97"/>
      <c r="N59" s="97"/>
      <c r="O59" s="13"/>
      <c r="P59" s="13"/>
      <c r="Q59" s="13"/>
      <c r="R59" s="13"/>
      <c r="S59" s="79"/>
      <c r="T59" s="122"/>
      <c r="U59" s="122"/>
    </row>
    <row r="60" spans="1:21" ht="15.75" thickBot="1" x14ac:dyDescent="0.3">
      <c r="A60" s="35" t="s">
        <v>117</v>
      </c>
      <c r="B60" s="16" t="s">
        <v>121</v>
      </c>
      <c r="C60" s="68"/>
      <c r="D60" s="69"/>
      <c r="H60" s="79"/>
      <c r="I60" s="79"/>
      <c r="J60" s="13"/>
      <c r="K60" s="67" t="s">
        <v>288</v>
      </c>
      <c r="L60" s="42">
        <f>(IF($B$60="Muy Bueno",$B$32*S50,IF($B$60="Bueno",$B$32*R50,IF($B$60="Regular",$B$32*Q50,0))))*$D$6</f>
        <v>45000</v>
      </c>
      <c r="M60" s="97"/>
      <c r="N60" s="97"/>
      <c r="O60" s="13"/>
      <c r="P60" s="13"/>
      <c r="Q60" s="13"/>
      <c r="R60" s="13"/>
      <c r="S60" s="79"/>
      <c r="T60" s="122"/>
      <c r="U60" s="122"/>
    </row>
    <row r="61" spans="1:21" ht="15.75" thickBot="1" x14ac:dyDescent="0.3">
      <c r="A61" s="29" t="s">
        <v>96</v>
      </c>
      <c r="B61" s="36" t="str">
        <f>LOOKUP(B32,P63:Q66,R63:R66)</f>
        <v>ORO</v>
      </c>
      <c r="C61" s="37" t="str">
        <f>IF(LOOKUP(C58,P80:P81,R80:R81)="CALIFICA",IF(C58&gt;L59,"NO CALIFICA","CALIFICA"),LOOKUP(C58,P80:P81,R80:R81))</f>
        <v>NO CALIFICA</v>
      </c>
      <c r="D61" s="37" t="str">
        <f>IF(LOOKUP(D58,P80:P81,R80:R81)="CALIFICA",IF(D58&gt;L59,"NO CALIFICA","CALIFICA"),LOOKUP(D58,P80:P81,R80:R81))</f>
        <v>MTO MÍNIMO</v>
      </c>
      <c r="E61" s="79" t="s">
        <v>220</v>
      </c>
      <c r="F61" s="215">
        <f>+J148</f>
        <v>28571.428571428572</v>
      </c>
      <c r="G61" s="562" t="s">
        <v>224</v>
      </c>
      <c r="H61" s="563"/>
      <c r="I61" s="79"/>
      <c r="J61" s="13"/>
      <c r="K61" s="14"/>
      <c r="L61" s="14"/>
      <c r="M61" s="14"/>
      <c r="N61" s="14"/>
      <c r="P61" s="13" t="s">
        <v>110</v>
      </c>
      <c r="Q61" s="13"/>
      <c r="R61" s="13"/>
      <c r="S61" s="79"/>
      <c r="T61" s="122"/>
      <c r="U61" s="122"/>
    </row>
    <row r="62" spans="1:21" ht="15.75" thickBot="1" x14ac:dyDescent="0.3">
      <c r="A62" s="153" t="s">
        <v>193</v>
      </c>
      <c r="B62" s="152"/>
      <c r="C62" s="37" t="str">
        <f>+IFERROR(IF(($B$38+$B$39+$B$40+$B$48+$B$49+(C58*3.2%/$D$6))/$B$32&gt;$L$37,"No Cumple","Cumple"),"")</f>
        <v>No Cumple</v>
      </c>
      <c r="D62" s="37" t="str">
        <f>+IFERROR(IF(($B$38+$B$39+$B$40+$B$48+$B$49+(D58*3.2%/$D$6))/$B$32&gt;$L$37,"No Cumple","Cumple"),"")</f>
        <v>Cumple</v>
      </c>
      <c r="E62" s="79" t="s">
        <v>221</v>
      </c>
      <c r="F62" s="216">
        <f>H54+H55+H56+H57+H58+H59</f>
        <v>546883.38192419824</v>
      </c>
      <c r="G62" s="564" t="str">
        <f>O180</f>
        <v>Gerencia General</v>
      </c>
      <c r="H62" s="564"/>
      <c r="I62" s="79"/>
      <c r="J62" s="13"/>
      <c r="K62" s="14"/>
      <c r="L62" s="14"/>
      <c r="M62" s="14"/>
      <c r="N62" s="14"/>
      <c r="P62" s="13"/>
      <c r="Q62" s="13"/>
      <c r="R62" s="13"/>
      <c r="S62" s="79"/>
      <c r="T62" s="122"/>
      <c r="U62" s="122"/>
    </row>
    <row r="63" spans="1:21" ht="15.75" thickBot="1" x14ac:dyDescent="0.3">
      <c r="A63" s="38"/>
      <c r="B63" s="39"/>
      <c r="C63" s="40"/>
      <c r="D63" s="41"/>
      <c r="E63" s="79"/>
      <c r="F63" s="79"/>
      <c r="G63" s="79"/>
      <c r="H63" s="79"/>
      <c r="I63" s="79"/>
      <c r="J63" s="13"/>
      <c r="K63" s="14"/>
      <c r="L63" s="14"/>
      <c r="M63" s="14"/>
      <c r="N63" s="14"/>
      <c r="P63" s="13">
        <v>0</v>
      </c>
      <c r="Q63" s="13">
        <v>350</v>
      </c>
      <c r="R63" s="14" t="s">
        <v>97</v>
      </c>
      <c r="S63" s="79"/>
      <c r="T63" s="122"/>
      <c r="U63" s="122"/>
    </row>
    <row r="64" spans="1:21" ht="15.75" thickBot="1" x14ac:dyDescent="0.3">
      <c r="A64" s="186" t="s">
        <v>91</v>
      </c>
      <c r="B64" s="187">
        <v>1</v>
      </c>
      <c r="C64" s="187" t="s">
        <v>162</v>
      </c>
      <c r="D64" s="187">
        <v>2</v>
      </c>
      <c r="E64" s="187" t="s">
        <v>163</v>
      </c>
      <c r="F64" s="187">
        <v>3</v>
      </c>
      <c r="G64" s="187" t="s">
        <v>164</v>
      </c>
      <c r="H64" s="188">
        <v>4</v>
      </c>
      <c r="I64" s="13"/>
      <c r="J64" s="13"/>
      <c r="K64" s="14"/>
      <c r="L64" s="14"/>
      <c r="M64" s="14"/>
      <c r="N64" s="14"/>
      <c r="P64" s="13">
        <f>Q63</f>
        <v>350</v>
      </c>
      <c r="Q64" s="13">
        <v>800</v>
      </c>
      <c r="R64" s="13" t="s">
        <v>116</v>
      </c>
      <c r="S64" s="79"/>
    </row>
    <row r="65" spans="1:19" x14ac:dyDescent="0.25">
      <c r="A65" s="189" t="s">
        <v>132</v>
      </c>
      <c r="B65" s="190" t="s">
        <v>119</v>
      </c>
      <c r="C65" s="191"/>
      <c r="D65" s="191"/>
      <c r="E65" s="191"/>
      <c r="F65" s="191"/>
      <c r="G65" s="191"/>
      <c r="H65" s="192"/>
      <c r="I65" s="13"/>
      <c r="J65" s="13"/>
      <c r="L65" s="97"/>
      <c r="M65" s="97"/>
      <c r="N65" s="97"/>
      <c r="O65" s="97"/>
      <c r="P65" s="13">
        <v>800</v>
      </c>
      <c r="Q65" s="13">
        <v>2499</v>
      </c>
      <c r="R65" s="13" t="s">
        <v>94</v>
      </c>
      <c r="S65" s="79"/>
    </row>
    <row r="66" spans="1:19" x14ac:dyDescent="0.25">
      <c r="A66" s="2" t="s">
        <v>89</v>
      </c>
      <c r="B66" s="132">
        <v>1400000</v>
      </c>
      <c r="C66" s="133">
        <f>B66</f>
        <v>1400000</v>
      </c>
      <c r="D66" s="133">
        <f>B66</f>
        <v>1400000</v>
      </c>
      <c r="E66" s="133">
        <f>D66</f>
        <v>1400000</v>
      </c>
      <c r="F66" s="133">
        <f>ROUNDDOWN(F67,0)</f>
        <v>45525</v>
      </c>
      <c r="G66" s="133">
        <f>F66</f>
        <v>45525</v>
      </c>
      <c r="H66" s="134">
        <v>0</v>
      </c>
      <c r="I66" s="13"/>
      <c r="L66" s="97"/>
      <c r="M66" s="97"/>
      <c r="N66" s="97"/>
      <c r="O66" s="97"/>
      <c r="P66" s="13">
        <v>2499</v>
      </c>
      <c r="Q66" s="13">
        <v>100000</v>
      </c>
      <c r="R66" s="13" t="s">
        <v>251</v>
      </c>
      <c r="S66" s="13"/>
    </row>
    <row r="67" spans="1:19" outlineLevel="1" x14ac:dyDescent="0.25">
      <c r="A67" s="2" t="s">
        <v>115</v>
      </c>
      <c r="B67" s="133">
        <f>ROUNDDOWN(((($B$32*$D$6*$B$33-SUM($B$37:$B$41,$B$47:$B$50,$B$44)*$D$6-B74*B78/12)*((1+(B70+B73)/12)^B72-1))/(((B70+B73)/12)*((1+(B70+B73)/12)^B72))),2)</f>
        <v>45525.61</v>
      </c>
      <c r="C67" s="133">
        <f t="shared" ref="C67:E78" si="2">B67</f>
        <v>45525.61</v>
      </c>
      <c r="D67" s="133">
        <f>ROUNDDOWN(((($B$32*$D$6*$B$33-SUM($B$37:$B$41,$B$47:$B$50,$B$44)*$D$6-D74*D78/12)*((1+(D70+D73)/12)^D72-1))/(((D70+D73)/12)*((1+(D70+D73)/12)^D72))),2)</f>
        <v>45525.61</v>
      </c>
      <c r="E67" s="133">
        <f t="shared" si="2"/>
        <v>45525.61</v>
      </c>
      <c r="F67" s="133">
        <f>ROUNDDOWN(((($B$32*$D$6*$B$33-SUM($B$37:$B$41,$B$47:$B$50,$B$44)*$D$6-F74*F78/12)*((1+(F70+F73)/12)^F72-1))/(((F70+F73)/12)*((1+(F70+F73)/12)^F72))),2)</f>
        <v>45525.61</v>
      </c>
      <c r="G67" s="133">
        <f t="shared" ref="G67:G70" si="3">F67</f>
        <v>45525.61</v>
      </c>
      <c r="H67" s="135">
        <f>ROUNDDOWN(((($B$32*$D$6*$B$33-SUM($B$37:$B$41,$B$47:$B$50,$B$44)*$D$6-H74*H78/12)*((1+(H70+H73)/12)^H72-1))/(((H70+H73)/12)*((1+(H70+H73)/12)^H72))),2)</f>
        <v>1298.05</v>
      </c>
      <c r="I67" s="13"/>
      <c r="L67" s="97"/>
      <c r="M67" s="97"/>
      <c r="N67" s="97"/>
      <c r="O67" s="97"/>
      <c r="P67" s="13"/>
      <c r="Q67" s="13"/>
      <c r="R67" s="13"/>
      <c r="S67" s="13"/>
    </row>
    <row r="68" spans="1:19" outlineLevel="1" x14ac:dyDescent="0.25">
      <c r="A68" s="154" t="s">
        <v>197</v>
      </c>
      <c r="B68" s="155">
        <f>ROUNDDOWN(((($B$32*$D$6*L37-SUM($B$38:$B$40,$B$48:$B$49)*$D$6-B74*B78/12)*((1+(B70+B73)/12)^B72-1))/(((B70+B73)/12)*((1+(B70+B73)/12)^B72))),2)</f>
        <v>45525.61</v>
      </c>
      <c r="C68" s="155">
        <f>+B68</f>
        <v>45525.61</v>
      </c>
      <c r="D68" s="155">
        <f>ROUNDDOWN(((($B$32*$D$6*L37-SUM($B$38:$B$40,$B$48:$B$49)*$D$6-D74*D78/12)*((1+(D70+D73)/12)^D72-1))/(((D70+D73)/12)*((1+(D70+D73)/12)^D72))),2)</f>
        <v>45525.61</v>
      </c>
      <c r="E68" s="155">
        <f>+D68</f>
        <v>45525.61</v>
      </c>
      <c r="F68" s="155">
        <f>ROUNDDOWN(((($B$32*$D$6*L37-SUM($B$38:$B$40,$B$48:$B$49)*$D$6-F74*F78/12)*((1+(F70+F73)/12)^F72-1))/(((F70+F73)/12)*((1+(F70+F73)/12)^F72))),2)</f>
        <v>45525.61</v>
      </c>
      <c r="G68" s="155">
        <f>+F68</f>
        <v>45525.61</v>
      </c>
      <c r="H68" s="193">
        <f>ROUNDDOWN(((($B$32*$D$6*L37-SUM($B$38:$B$40,$B$48:$B$49)*$D$6-H74*H78/12)*((1+(H70+H73)/12)^H72-1))/(((H70+H73)/12)*((1+(H70+H73)/12)^H72))),2)</f>
        <v>1298.05</v>
      </c>
      <c r="I68" s="13"/>
      <c r="L68" s="97"/>
      <c r="M68" s="97"/>
      <c r="N68" s="97"/>
      <c r="O68" s="97"/>
      <c r="P68" s="13"/>
      <c r="Q68" s="13"/>
      <c r="R68" s="13"/>
      <c r="S68" s="13"/>
    </row>
    <row r="69" spans="1:19" x14ac:dyDescent="0.25">
      <c r="A69" s="2" t="s">
        <v>93</v>
      </c>
      <c r="B69" s="20">
        <f>B66/$D$6</f>
        <v>204081.63265306121</v>
      </c>
      <c r="C69" s="20">
        <f t="shared" si="2"/>
        <v>204081.63265306121</v>
      </c>
      <c r="D69" s="20">
        <f>D66/$D$6</f>
        <v>204081.63265306121</v>
      </c>
      <c r="E69" s="20">
        <f t="shared" si="2"/>
        <v>204081.63265306121</v>
      </c>
      <c r="F69" s="20">
        <f>F66/$D$6</f>
        <v>6636.2973760932946</v>
      </c>
      <c r="G69" s="20">
        <f t="shared" si="3"/>
        <v>6636.2973760932946</v>
      </c>
      <c r="H69" s="24">
        <f>H66/$D$6</f>
        <v>0</v>
      </c>
      <c r="I69" s="13"/>
      <c r="L69" s="97"/>
      <c r="M69" s="97"/>
      <c r="N69" s="97"/>
      <c r="O69" s="97"/>
      <c r="P69" s="13"/>
      <c r="Q69" s="13"/>
      <c r="R69" s="13"/>
      <c r="S69" s="13"/>
    </row>
    <row r="70" spans="1:19" collapsed="1" x14ac:dyDescent="0.25">
      <c r="A70" s="15" t="s">
        <v>14</v>
      </c>
      <c r="B70" s="72">
        <v>0</v>
      </c>
      <c r="C70" s="127">
        <f t="shared" si="2"/>
        <v>0</v>
      </c>
      <c r="D70" s="72">
        <v>0</v>
      </c>
      <c r="E70" s="127">
        <f t="shared" si="2"/>
        <v>0</v>
      </c>
      <c r="F70" s="72">
        <v>0</v>
      </c>
      <c r="G70" s="127">
        <f t="shared" si="3"/>
        <v>0</v>
      </c>
      <c r="H70" s="75">
        <v>0</v>
      </c>
      <c r="I70" s="13"/>
      <c r="K70" s="66" t="s">
        <v>133</v>
      </c>
      <c r="L70" s="66"/>
      <c r="M70" s="13"/>
      <c r="N70" s="13"/>
      <c r="O70" s="13"/>
      <c r="Q70" s="13"/>
      <c r="R70" s="13"/>
      <c r="S70" s="13"/>
    </row>
    <row r="71" spans="1:19" x14ac:dyDescent="0.25">
      <c r="A71" s="15" t="s">
        <v>206</v>
      </c>
      <c r="B71" s="72">
        <v>5.5E-2</v>
      </c>
      <c r="C71" s="127">
        <f t="shared" si="2"/>
        <v>5.5E-2</v>
      </c>
      <c r="D71" s="161">
        <f>+B71</f>
        <v>5.5E-2</v>
      </c>
      <c r="E71" s="127">
        <f>+B71</f>
        <v>5.5E-2</v>
      </c>
      <c r="F71" s="161">
        <f>+B71</f>
        <v>5.5E-2</v>
      </c>
      <c r="G71" s="127">
        <f>+B71</f>
        <v>5.5E-2</v>
      </c>
      <c r="H71" s="162">
        <f>+B71</f>
        <v>5.5E-2</v>
      </c>
      <c r="I71" s="13"/>
      <c r="K71" s="67"/>
      <c r="L71" s="67" t="s">
        <v>134</v>
      </c>
      <c r="M71" s="13"/>
      <c r="N71" s="83" t="s">
        <v>117</v>
      </c>
      <c r="O71" s="83" t="s">
        <v>15</v>
      </c>
      <c r="Q71" s="13"/>
      <c r="R71" s="13"/>
      <c r="S71" s="13"/>
    </row>
    <row r="72" spans="1:19" x14ac:dyDescent="0.25">
      <c r="A72" s="15" t="s">
        <v>15</v>
      </c>
      <c r="B72" s="16">
        <v>36</v>
      </c>
      <c r="C72" s="23">
        <f>+IF(OR($D$8=$N$27,$D$8=$N$28,$D$8=$N$29),B72+6,IF($D$8=$N$32,B72+12,B72+24))</f>
        <v>42</v>
      </c>
      <c r="D72" s="23">
        <f>VLOOKUP(B65,N72:O74,2,FALSE)</f>
        <v>36</v>
      </c>
      <c r="E72" s="23">
        <f>+IF(OR($D$8=$N$27,$D$8=$N$28,$D$8=$N$29),D72+6,IF($D$8=$N$32,D72+12,D72+24))</f>
        <v>42</v>
      </c>
      <c r="F72" s="23">
        <f>VLOOKUP(B65,N72:O74,2,FALSE)</f>
        <v>36</v>
      </c>
      <c r="G72" s="23">
        <f>+IF(OR($D$8=$N$27,$D$8=$N$28,$D$8=$N$29),F72+6,IF($D$8=$N$32,F72+12,F72+24))</f>
        <v>42</v>
      </c>
      <c r="H72" s="76">
        <v>1</v>
      </c>
      <c r="I72" s="13"/>
      <c r="K72" s="66" t="s">
        <v>9</v>
      </c>
      <c r="L72" s="66">
        <v>6</v>
      </c>
      <c r="M72" s="13"/>
      <c r="N72" s="83" t="s">
        <v>119</v>
      </c>
      <c r="O72" s="83">
        <v>36</v>
      </c>
      <c r="P72" s="13"/>
      <c r="Q72" s="13"/>
      <c r="R72" s="14"/>
      <c r="S72" s="13"/>
    </row>
    <row r="73" spans="1:19" x14ac:dyDescent="0.25">
      <c r="A73" s="15" t="s">
        <v>16</v>
      </c>
      <c r="B73" s="196">
        <f>IF(D8="Vehicular",IF(B10="Casado/Conviviente",0.9%,0.5%),IF(D8="Vivienda",IF(B10="Casado/Conviviente",0.9%,0.5%),IF(D8="Vivienda Social",IF(B10="Casado/Conviviente",0.9%,0.5%),IF(B10="Casado/Conviviente",1.8%,0.9%))))</f>
        <v>1.8000000000000002E-2</v>
      </c>
      <c r="C73" s="80">
        <f t="shared" si="2"/>
        <v>1.8000000000000002E-2</v>
      </c>
      <c r="D73" s="80">
        <f t="shared" ref="D73" si="4">C73</f>
        <v>1.8000000000000002E-2</v>
      </c>
      <c r="E73" s="80">
        <f t="shared" ref="E73" si="5">D73</f>
        <v>1.8000000000000002E-2</v>
      </c>
      <c r="F73" s="80">
        <f t="shared" ref="F73" si="6">E73</f>
        <v>1.8000000000000002E-2</v>
      </c>
      <c r="G73" s="80">
        <f t="shared" ref="G73" si="7">F73</f>
        <v>1.8000000000000002E-2</v>
      </c>
      <c r="H73" s="75">
        <f>IF(D8="Vehicular",IF(B10="Casado/Conviviente",0.9%,0.5%),IF(D8="Vivienda",IF(B10="Casado/Conviviente",0.9%,0.5%),IF(D8="Vivienda Social",IF(B10="Casado/Conviviente",0.9%,0.5%),IF(B10="Casado/Conviviente",1.8%,0.9%))))</f>
        <v>1.8000000000000002E-2</v>
      </c>
      <c r="I73" s="13"/>
      <c r="K73" s="66" t="s">
        <v>143</v>
      </c>
      <c r="L73" s="66">
        <v>12</v>
      </c>
      <c r="M73" s="13"/>
      <c r="N73" s="83" t="s">
        <v>120</v>
      </c>
      <c r="O73" s="83">
        <v>60</v>
      </c>
      <c r="P73" s="13"/>
      <c r="Q73" s="13"/>
      <c r="R73" s="13"/>
      <c r="S73" s="13"/>
    </row>
    <row r="74" spans="1:19" x14ac:dyDescent="0.25">
      <c r="A74" s="15" t="s">
        <v>17</v>
      </c>
      <c r="B74" s="73">
        <v>0</v>
      </c>
      <c r="C74" s="128">
        <f t="shared" si="2"/>
        <v>0</v>
      </c>
      <c r="D74" s="128">
        <f>$B74</f>
        <v>0</v>
      </c>
      <c r="E74" s="128">
        <f t="shared" si="2"/>
        <v>0</v>
      </c>
      <c r="F74" s="128">
        <f>$B74</f>
        <v>0</v>
      </c>
      <c r="G74" s="128">
        <f t="shared" ref="G74:G78" si="8">F74</f>
        <v>0</v>
      </c>
      <c r="H74" s="77">
        <v>0</v>
      </c>
      <c r="I74" s="13"/>
      <c r="J74" s="13"/>
      <c r="K74" s="66" t="s">
        <v>144</v>
      </c>
      <c r="L74" s="66">
        <v>24</v>
      </c>
      <c r="M74" s="13"/>
      <c r="N74" s="83" t="s">
        <v>121</v>
      </c>
      <c r="O74" s="83">
        <v>72</v>
      </c>
      <c r="P74" s="13"/>
      <c r="Q74" s="13"/>
      <c r="R74" s="13"/>
      <c r="S74" s="13"/>
    </row>
    <row r="75" spans="1:19" hidden="1" outlineLevel="1" x14ac:dyDescent="0.25">
      <c r="A75" s="15" t="s">
        <v>99</v>
      </c>
      <c r="B75" s="73">
        <v>0</v>
      </c>
      <c r="C75" s="128">
        <f t="shared" si="2"/>
        <v>0</v>
      </c>
      <c r="D75" s="128">
        <f t="shared" ref="D75:F78" si="9">$B75</f>
        <v>0</v>
      </c>
      <c r="E75" s="128">
        <f t="shared" si="2"/>
        <v>0</v>
      </c>
      <c r="F75" s="128">
        <f t="shared" si="9"/>
        <v>0</v>
      </c>
      <c r="G75" s="128">
        <f t="shared" si="8"/>
        <v>0</v>
      </c>
      <c r="H75" s="78">
        <v>0</v>
      </c>
      <c r="I75" s="13"/>
      <c r="J75" s="13"/>
      <c r="K75" s="13"/>
      <c r="L75" s="13"/>
      <c r="M75" s="13"/>
      <c r="N75" s="156"/>
      <c r="O75" s="156"/>
      <c r="P75" s="13"/>
      <c r="Q75" s="13"/>
      <c r="R75" s="13"/>
      <c r="S75" s="13"/>
    </row>
    <row r="76" spans="1:19" hidden="1" outlineLevel="1" x14ac:dyDescent="0.25">
      <c r="A76" s="15" t="s">
        <v>100</v>
      </c>
      <c r="B76" s="71">
        <v>0.01</v>
      </c>
      <c r="C76" s="20">
        <f t="shared" si="2"/>
        <v>0.01</v>
      </c>
      <c r="D76" s="20">
        <f t="shared" si="9"/>
        <v>0.01</v>
      </c>
      <c r="E76" s="20">
        <f t="shared" si="2"/>
        <v>0.01</v>
      </c>
      <c r="F76" s="20">
        <f t="shared" si="9"/>
        <v>0.01</v>
      </c>
      <c r="G76" s="20">
        <f t="shared" si="8"/>
        <v>0.01</v>
      </c>
      <c r="H76" s="74">
        <v>0</v>
      </c>
      <c r="I76" s="13"/>
      <c r="J76" s="13"/>
      <c r="K76" s="14"/>
      <c r="M76" s="14"/>
      <c r="N76" s="14"/>
      <c r="O76" s="13"/>
      <c r="P76" s="13"/>
      <c r="Q76" s="13"/>
      <c r="R76" s="13"/>
      <c r="S76" s="13"/>
    </row>
    <row r="77" spans="1:19" collapsed="1" x14ac:dyDescent="0.25">
      <c r="A77" s="15" t="s">
        <v>112</v>
      </c>
      <c r="B77" s="71">
        <v>0.01</v>
      </c>
      <c r="C77" s="20">
        <f t="shared" si="2"/>
        <v>0.01</v>
      </c>
      <c r="D77" s="20">
        <f t="shared" si="9"/>
        <v>0.01</v>
      </c>
      <c r="E77" s="20">
        <f t="shared" si="2"/>
        <v>0.01</v>
      </c>
      <c r="F77" s="20">
        <f t="shared" si="9"/>
        <v>0.01</v>
      </c>
      <c r="G77" s="20">
        <f t="shared" si="8"/>
        <v>0.01</v>
      </c>
      <c r="H77" s="74">
        <v>0.01</v>
      </c>
      <c r="I77" s="13"/>
      <c r="J77" s="13"/>
      <c r="K77" s="14"/>
      <c r="L77" s="14">
        <f>IF(B8=K72,L72,IF(D8="Comercial",L73,L74))</f>
        <v>6</v>
      </c>
      <c r="R77" s="98"/>
      <c r="S77" s="13"/>
    </row>
    <row r="78" spans="1:19" collapsed="1" x14ac:dyDescent="0.25">
      <c r="A78" s="15" t="s">
        <v>113</v>
      </c>
      <c r="B78" s="71">
        <v>0.01</v>
      </c>
      <c r="C78" s="20">
        <f t="shared" si="2"/>
        <v>0.01</v>
      </c>
      <c r="D78" s="20">
        <f t="shared" si="9"/>
        <v>0.01</v>
      </c>
      <c r="E78" s="20">
        <f t="shared" si="2"/>
        <v>0.01</v>
      </c>
      <c r="F78" s="20">
        <f t="shared" si="9"/>
        <v>0.01</v>
      </c>
      <c r="G78" s="20">
        <f t="shared" si="8"/>
        <v>0.01</v>
      </c>
      <c r="H78" s="74">
        <v>0.01</v>
      </c>
      <c r="I78" s="13"/>
      <c r="J78" s="13"/>
      <c r="Q78" s="98" t="str">
        <f>$B$61</f>
        <v>ORO</v>
      </c>
      <c r="R78" s="98"/>
    </row>
    <row r="79" spans="1:19" ht="3.75" customHeight="1" x14ac:dyDescent="0.25">
      <c r="A79" s="25"/>
      <c r="B79" s="124"/>
      <c r="C79" s="124"/>
      <c r="D79" s="124"/>
      <c r="E79" s="124"/>
      <c r="F79" s="124"/>
      <c r="G79" s="124"/>
      <c r="H79" s="125"/>
      <c r="I79" s="13"/>
      <c r="J79" s="13"/>
      <c r="P79" s="13" t="s">
        <v>110</v>
      </c>
      <c r="Q79" s="13"/>
      <c r="R79" s="13"/>
    </row>
    <row r="80" spans="1:19" x14ac:dyDescent="0.25">
      <c r="A80" s="15" t="s">
        <v>27</v>
      </c>
      <c r="B80" s="20">
        <f>ABS(PMT((B70+B73)/12,B72,B66))+B74*B78/12</f>
        <v>39977.490730725302</v>
      </c>
      <c r="C80" s="20">
        <f>ABS(PMT((C70+C73)/12,C72,C66))+C74*C78/12</f>
        <v>34419.343099928818</v>
      </c>
      <c r="D80" s="20">
        <f t="shared" ref="D80:G80" si="10">ABS(PMT((D70+D73)/12,D72,D66))+D74*D78/12</f>
        <v>39977.490730725302</v>
      </c>
      <c r="E80" s="20">
        <f t="shared" si="10"/>
        <v>34419.343099928818</v>
      </c>
      <c r="F80" s="20">
        <f t="shared" si="10"/>
        <v>1299.9823325116211</v>
      </c>
      <c r="G80" s="20">
        <f t="shared" si="10"/>
        <v>1119.243281874471</v>
      </c>
      <c r="H80" s="24">
        <f>ABS(PMT((H70+H73)/12,H72,H66))+H74*H78/12</f>
        <v>0</v>
      </c>
      <c r="I80" s="13"/>
      <c r="P80" s="13">
        <v>0</v>
      </c>
      <c r="Q80" s="13">
        <f>IF(Q78="CLÁSICA",750*D6,IF(Q78="ORO",1500*D6,4000*D6))</f>
        <v>10290</v>
      </c>
      <c r="R80" s="13" t="s">
        <v>107</v>
      </c>
    </row>
    <row r="81" spans="1:19" x14ac:dyDescent="0.25">
      <c r="A81" s="15" t="s">
        <v>18</v>
      </c>
      <c r="B81" s="20">
        <f t="shared" ref="B81:H81" si="11">B80/$D$6</f>
        <v>5827.6225554993152</v>
      </c>
      <c r="C81" s="81">
        <f t="shared" si="11"/>
        <v>5017.3969533423933</v>
      </c>
      <c r="D81" s="81">
        <f t="shared" si="11"/>
        <v>5827.6225554993152</v>
      </c>
      <c r="E81" s="81">
        <f t="shared" si="11"/>
        <v>5017.3969533423933</v>
      </c>
      <c r="F81" s="81">
        <f t="shared" si="11"/>
        <v>189.5017977422188</v>
      </c>
      <c r="G81" s="81">
        <f t="shared" si="11"/>
        <v>163.1549973577946</v>
      </c>
      <c r="H81" s="82">
        <f t="shared" si="11"/>
        <v>0</v>
      </c>
      <c r="I81" s="13"/>
      <c r="P81" s="13">
        <f>Q80</f>
        <v>10290</v>
      </c>
      <c r="Q81" s="13">
        <v>100000</v>
      </c>
      <c r="R81" s="13" t="s">
        <v>109</v>
      </c>
    </row>
    <row r="82" spans="1:19" ht="15.75" thickBot="1" x14ac:dyDescent="0.3">
      <c r="A82" s="194" t="s">
        <v>92</v>
      </c>
      <c r="B82" s="130">
        <f>IFERROR((($B$37+$B$38+$B$39+$B$40+$B$41+$B$47+$B$48+$B$49+$B$50+B81+$B$44)/$B$32),0)</f>
        <v>4.1177490730725301</v>
      </c>
      <c r="C82" s="130">
        <f t="shared" ref="C82:H82" si="12">IFERROR((($B$37+$B$38+$B$39+$B$40+$B$41+$B$47+$B$48+$B$49+$B$50+C81+$B$44)/$B$32),0)</f>
        <v>3.5619343099928815</v>
      </c>
      <c r="D82" s="130">
        <f t="shared" si="12"/>
        <v>4.1177490730725301</v>
      </c>
      <c r="E82" s="130">
        <f t="shared" si="12"/>
        <v>3.5619343099928815</v>
      </c>
      <c r="F82" s="130">
        <f t="shared" si="12"/>
        <v>0.24999823325116208</v>
      </c>
      <c r="G82" s="130">
        <f t="shared" si="12"/>
        <v>0.23192432818744707</v>
      </c>
      <c r="H82" s="131">
        <f t="shared" si="12"/>
        <v>0.12</v>
      </c>
      <c r="I82" s="13"/>
      <c r="R82" s="98"/>
      <c r="S82" s="122"/>
    </row>
    <row r="83" spans="1:19" ht="15.75" hidden="1" thickBot="1" x14ac:dyDescent="0.3">
      <c r="A83" s="43"/>
      <c r="B83" s="44">
        <f>ROUND(B82,2)%*100</f>
        <v>4.12</v>
      </c>
      <c r="C83" s="44">
        <f t="shared" ref="C83" si="13">ROUND(C82,2)%*100</f>
        <v>3.56</v>
      </c>
      <c r="D83" s="45">
        <f>ROUND(H82,2)%*100</f>
        <v>0.12</v>
      </c>
      <c r="E83" s="13"/>
      <c r="F83" s="13"/>
      <c r="G83" s="13"/>
      <c r="H83" s="13"/>
      <c r="I83" s="13"/>
      <c r="S83" s="122"/>
    </row>
    <row r="84" spans="1:19" ht="15.75" thickBot="1" x14ac:dyDescent="0.3">
      <c r="A84" s="95" t="s">
        <v>23</v>
      </c>
      <c r="B84" s="96" t="str">
        <f>IF(B82&gt;$B$33,"no califica","califica")</f>
        <v>no califica</v>
      </c>
      <c r="C84" s="96" t="str">
        <f t="shared" ref="C84:H84" si="14">IF(C82&gt;$B$33,"no califica","califica")</f>
        <v>no califica</v>
      </c>
      <c r="D84" s="96" t="str">
        <f t="shared" si="14"/>
        <v>no califica</v>
      </c>
      <c r="E84" s="96" t="str">
        <f t="shared" si="14"/>
        <v>no califica</v>
      </c>
      <c r="F84" s="96" t="str">
        <f t="shared" si="14"/>
        <v>califica</v>
      </c>
      <c r="G84" s="96" t="str">
        <f t="shared" si="14"/>
        <v>califica</v>
      </c>
      <c r="H84" s="96" t="str">
        <f t="shared" si="14"/>
        <v>califica</v>
      </c>
      <c r="I84" s="13"/>
      <c r="S84" s="122"/>
    </row>
    <row r="85" spans="1:19" ht="15.75" thickBot="1" x14ac:dyDescent="0.3">
      <c r="A85" s="151" t="s">
        <v>192</v>
      </c>
      <c r="B85" s="96" t="str">
        <f>+IFERROR(IF(($B$38+$B$39+$B$40+$B$48+$B$49+B81)/$B$32&gt;$L$37,"No Cumple","Cumple"),"")</f>
        <v>No Cumple</v>
      </c>
      <c r="C85" s="96" t="str">
        <f t="shared" ref="C85:H85" si="15">+IFERROR(IF(($B$38+$B$39+$B$40+$B$48+$B$49+C81)/$B$32&gt;$L$37,"No Cumple","Cumple"),"")</f>
        <v>No Cumple</v>
      </c>
      <c r="D85" s="96" t="str">
        <f t="shared" si="15"/>
        <v>No Cumple</v>
      </c>
      <c r="E85" s="96" t="str">
        <f t="shared" si="15"/>
        <v>No Cumple</v>
      </c>
      <c r="F85" s="96" t="str">
        <f t="shared" si="15"/>
        <v>Cumple</v>
      </c>
      <c r="G85" s="96" t="str">
        <f t="shared" si="15"/>
        <v>Cumple</v>
      </c>
      <c r="H85" s="96" t="str">
        <f t="shared" si="15"/>
        <v>Cumple</v>
      </c>
      <c r="I85" s="13"/>
      <c r="J85" s="14" t="s">
        <v>150</v>
      </c>
      <c r="K85" s="14" t="s">
        <v>154</v>
      </c>
      <c r="L85" s="14"/>
      <c r="M85" s="14"/>
      <c r="N85" s="14"/>
      <c r="O85" s="13"/>
      <c r="S85" s="122"/>
    </row>
    <row r="86" spans="1:19" ht="15.75" thickBot="1" x14ac:dyDescent="0.3">
      <c r="A86" s="590" t="s">
        <v>90</v>
      </c>
      <c r="B86" s="591"/>
      <c r="C86" s="591"/>
      <c r="D86" s="591"/>
      <c r="E86" s="591"/>
      <c r="F86" s="591"/>
      <c r="G86" s="591"/>
      <c r="H86" s="592"/>
      <c r="J86" s="14" t="s">
        <v>149</v>
      </c>
      <c r="K86" s="14" t="s">
        <v>156</v>
      </c>
      <c r="L86" s="14"/>
      <c r="M86" s="14"/>
      <c r="N86" s="14"/>
      <c r="O86" s="13"/>
      <c r="S86" s="122"/>
    </row>
    <row r="87" spans="1:19" x14ac:dyDescent="0.25">
      <c r="A87" s="550"/>
      <c r="B87" s="551"/>
      <c r="C87" s="551"/>
      <c r="D87" s="551"/>
      <c r="E87" s="551"/>
      <c r="F87" s="551"/>
      <c r="G87" s="551"/>
      <c r="H87" s="552"/>
      <c r="I87" s="79"/>
      <c r="J87" s="14" t="s">
        <v>170</v>
      </c>
      <c r="K87" s="14" t="s">
        <v>184</v>
      </c>
      <c r="L87" s="14"/>
      <c r="M87" s="14"/>
      <c r="N87" s="14"/>
      <c r="O87" s="13"/>
      <c r="S87" s="122"/>
    </row>
    <row r="88" spans="1:19" x14ac:dyDescent="0.25">
      <c r="A88" s="157" t="s">
        <v>159</v>
      </c>
      <c r="B88" s="139"/>
      <c r="C88" s="138" t="s">
        <v>117</v>
      </c>
      <c r="D88" s="140" t="str">
        <f>IF(OR(B95=J102,B95=J103),B60,B65)</f>
        <v>Regular</v>
      </c>
      <c r="E88" s="157"/>
      <c r="F88" s="157"/>
      <c r="G88" s="157"/>
      <c r="H88" s="158"/>
      <c r="I88" s="79"/>
      <c r="J88" s="14" t="s">
        <v>151</v>
      </c>
      <c r="K88" s="14" t="s">
        <v>152</v>
      </c>
      <c r="L88" s="14"/>
      <c r="M88" s="14"/>
      <c r="N88" s="14"/>
      <c r="O88" s="13"/>
      <c r="S88" s="122"/>
    </row>
    <row r="89" spans="1:19" x14ac:dyDescent="0.25">
      <c r="A89" s="157"/>
      <c r="B89" s="157" t="s">
        <v>172</v>
      </c>
      <c r="C89" s="157"/>
      <c r="D89" s="157" t="s">
        <v>173</v>
      </c>
      <c r="E89" s="157"/>
      <c r="F89" s="157" t="s">
        <v>29</v>
      </c>
      <c r="G89" s="157"/>
      <c r="H89" s="158" t="s">
        <v>173</v>
      </c>
      <c r="I89" s="122"/>
      <c r="J89" s="14" t="s">
        <v>152</v>
      </c>
      <c r="K89" s="14" t="s">
        <v>155</v>
      </c>
      <c r="L89" s="14"/>
      <c r="M89" s="14"/>
      <c r="N89" s="14"/>
      <c r="O89" s="13"/>
      <c r="S89" s="122"/>
    </row>
    <row r="90" spans="1:19" x14ac:dyDescent="0.25">
      <c r="A90" s="157" t="s">
        <v>148</v>
      </c>
      <c r="B90" s="553"/>
      <c r="C90" s="554"/>
      <c r="D90" s="139"/>
      <c r="E90" s="157"/>
      <c r="F90" s="555"/>
      <c r="G90" s="556"/>
      <c r="H90" s="149"/>
      <c r="I90" s="122"/>
      <c r="J90" s="14" t="s">
        <v>155</v>
      </c>
      <c r="K90" s="14" t="s">
        <v>199</v>
      </c>
      <c r="L90" s="14"/>
      <c r="M90" s="14"/>
      <c r="N90" s="14"/>
      <c r="O90" s="13"/>
      <c r="S90" s="122"/>
    </row>
    <row r="91" spans="1:19" x14ac:dyDescent="0.25">
      <c r="A91" s="157" t="s">
        <v>153</v>
      </c>
      <c r="B91" s="553"/>
      <c r="C91" s="554"/>
      <c r="D91" s="139"/>
      <c r="E91" s="157"/>
      <c r="F91" s="157"/>
      <c r="G91" s="157"/>
      <c r="H91" s="158"/>
      <c r="I91" s="122"/>
      <c r="J91" s="14" t="s">
        <v>201</v>
      </c>
      <c r="K91" s="14" t="s">
        <v>201</v>
      </c>
      <c r="L91" s="14"/>
      <c r="M91" s="14"/>
      <c r="N91" s="14"/>
      <c r="O91" s="13"/>
      <c r="S91" s="122"/>
    </row>
    <row r="92" spans="1:19" x14ac:dyDescent="0.25">
      <c r="A92" s="157"/>
      <c r="B92" s="157"/>
      <c r="C92" s="157"/>
      <c r="D92" s="157"/>
      <c r="E92" s="157"/>
      <c r="F92" s="157"/>
      <c r="G92" s="157"/>
      <c r="H92" s="158"/>
      <c r="I92" s="122"/>
      <c r="J92" s="14"/>
      <c r="K92" s="14"/>
      <c r="L92" s="14"/>
      <c r="M92" s="14"/>
      <c r="N92" s="14"/>
      <c r="O92" s="13"/>
      <c r="S92" s="122"/>
    </row>
    <row r="93" spans="1:19" x14ac:dyDescent="0.25">
      <c r="A93" s="157" t="s">
        <v>157</v>
      </c>
      <c r="B93" s="141" t="str">
        <f>B9</f>
        <v>NO</v>
      </c>
      <c r="C93" s="157"/>
      <c r="D93" s="157"/>
      <c r="E93" s="157"/>
      <c r="F93" s="157"/>
      <c r="G93" s="157"/>
      <c r="H93" s="158"/>
      <c r="I93" s="122"/>
      <c r="J93" s="14"/>
      <c r="K93" s="14"/>
      <c r="L93" s="14"/>
      <c r="M93" s="14"/>
      <c r="N93" s="14"/>
      <c r="O93" s="14"/>
      <c r="S93" s="122"/>
    </row>
    <row r="94" spans="1:19" x14ac:dyDescent="0.25">
      <c r="A94" s="157"/>
      <c r="B94" s="157"/>
      <c r="C94" s="157"/>
      <c r="D94" s="157"/>
      <c r="E94" s="157"/>
      <c r="F94" s="157"/>
      <c r="G94" s="157"/>
      <c r="H94" s="158"/>
      <c r="I94" s="122"/>
      <c r="J94" s="14"/>
      <c r="K94" s="14" t="s">
        <v>161</v>
      </c>
      <c r="L94" s="14" t="s">
        <v>14</v>
      </c>
      <c r="M94" s="14" t="s">
        <v>15</v>
      </c>
      <c r="N94" s="14" t="s">
        <v>183</v>
      </c>
      <c r="O94" s="14"/>
      <c r="S94" s="122"/>
    </row>
    <row r="95" spans="1:19" x14ac:dyDescent="0.25">
      <c r="A95" s="146" t="s">
        <v>165</v>
      </c>
      <c r="B95" s="147" t="s">
        <v>163</v>
      </c>
      <c r="C95" s="157" t="s">
        <v>203</v>
      </c>
      <c r="D95" s="157"/>
      <c r="E95" s="157"/>
      <c r="F95" s="157"/>
      <c r="G95" s="157"/>
      <c r="H95" s="158"/>
      <c r="I95" s="122"/>
      <c r="J95" s="14">
        <v>1</v>
      </c>
      <c r="K95" s="142">
        <f>+B66</f>
        <v>1400000</v>
      </c>
      <c r="L95" s="143">
        <f>+B70</f>
        <v>0</v>
      </c>
      <c r="M95" s="14">
        <f>+B72</f>
        <v>36</v>
      </c>
      <c r="N95" s="143">
        <f>+B73</f>
        <v>1.8000000000000002E-2</v>
      </c>
      <c r="O95" s="14"/>
      <c r="S95" s="122"/>
    </row>
    <row r="96" spans="1:19" x14ac:dyDescent="0.25">
      <c r="A96" s="146" t="s">
        <v>158</v>
      </c>
      <c r="B96" s="144">
        <f>IFERROR(VLOOKUP(B95,J95:M103,2,TRUE),"")</f>
        <v>1400000</v>
      </c>
      <c r="C96" s="157"/>
      <c r="D96" s="157"/>
      <c r="E96" s="157"/>
      <c r="F96" s="157"/>
      <c r="G96" s="157"/>
      <c r="H96" s="158"/>
      <c r="I96" s="122"/>
      <c r="J96" s="14" t="s">
        <v>162</v>
      </c>
      <c r="K96" s="142">
        <f>+C66</f>
        <v>1400000</v>
      </c>
      <c r="L96" s="143">
        <f>+C70</f>
        <v>0</v>
      </c>
      <c r="M96" s="14">
        <f>+C72</f>
        <v>42</v>
      </c>
      <c r="N96" s="143">
        <f>+C73</f>
        <v>1.8000000000000002E-2</v>
      </c>
      <c r="O96" s="13"/>
      <c r="Q96" s="97"/>
      <c r="S96" s="122"/>
    </row>
    <row r="97" spans="1:19" x14ac:dyDescent="0.25">
      <c r="A97" s="146" t="s">
        <v>14</v>
      </c>
      <c r="B97" s="145">
        <f>IFERROR(VLOOKUP(B95,J95:M103,3,TRUE),"")</f>
        <v>0</v>
      </c>
      <c r="C97" s="157"/>
      <c r="D97" s="157"/>
      <c r="E97" s="157"/>
      <c r="F97" s="157"/>
      <c r="G97" s="157"/>
      <c r="H97" s="158"/>
      <c r="I97" s="122"/>
      <c r="J97" s="14">
        <v>2</v>
      </c>
      <c r="K97" s="142">
        <f>+D66</f>
        <v>1400000</v>
      </c>
      <c r="L97" s="143">
        <f>+D70</f>
        <v>0</v>
      </c>
      <c r="M97" s="14">
        <f>+D72</f>
        <v>36</v>
      </c>
      <c r="N97" s="143">
        <f>+D73</f>
        <v>1.8000000000000002E-2</v>
      </c>
      <c r="O97" s="13"/>
      <c r="Q97" s="97"/>
      <c r="S97" s="122"/>
    </row>
    <row r="98" spans="1:19" x14ac:dyDescent="0.25">
      <c r="A98" s="146" t="s">
        <v>15</v>
      </c>
      <c r="B98" s="141">
        <f>IFERROR(VLOOKUP(B95,J95:M103,4,TRUE),"")</f>
        <v>42</v>
      </c>
      <c r="C98" s="157"/>
      <c r="D98" s="157"/>
      <c r="E98" s="157"/>
      <c r="F98" s="157"/>
      <c r="G98" s="157"/>
      <c r="H98" s="158"/>
      <c r="I98" s="122"/>
      <c r="J98" s="14" t="s">
        <v>163</v>
      </c>
      <c r="K98" s="142">
        <f>+E66</f>
        <v>1400000</v>
      </c>
      <c r="L98" s="143">
        <f>+E70</f>
        <v>0</v>
      </c>
      <c r="M98" s="14">
        <f>+E72</f>
        <v>42</v>
      </c>
      <c r="N98" s="143">
        <f>+E73</f>
        <v>1.8000000000000002E-2</v>
      </c>
      <c r="O98" s="13"/>
      <c r="Q98" s="97"/>
    </row>
    <row r="99" spans="1:19" x14ac:dyDescent="0.25">
      <c r="A99" s="157" t="s">
        <v>182</v>
      </c>
      <c r="B99" s="145">
        <f>IFERROR(VLOOKUP(B95,J95:N103,5,TRUE),"")</f>
        <v>1.8000000000000002E-2</v>
      </c>
      <c r="C99" s="150" t="str">
        <f>IFERROR(IF(B10="Casado/Conviviente","Mancómuno","Individual"),"")</f>
        <v>Mancómuno</v>
      </c>
      <c r="D99" s="157"/>
      <c r="E99" s="157"/>
      <c r="F99" s="157"/>
      <c r="G99" s="157"/>
      <c r="H99" s="158"/>
      <c r="I99" s="122"/>
      <c r="J99" s="14">
        <v>3</v>
      </c>
      <c r="K99" s="142">
        <f>+F66</f>
        <v>45525</v>
      </c>
      <c r="L99" s="143">
        <f>+F70</f>
        <v>0</v>
      </c>
      <c r="M99" s="14">
        <f>+F72</f>
        <v>36</v>
      </c>
      <c r="N99" s="143">
        <f>+F73</f>
        <v>1.8000000000000002E-2</v>
      </c>
      <c r="O99" s="13"/>
      <c r="Q99" s="97"/>
    </row>
    <row r="100" spans="1:19" x14ac:dyDescent="0.25">
      <c r="A100" s="150" t="s">
        <v>275</v>
      </c>
      <c r="B100" s="214" t="s">
        <v>143</v>
      </c>
      <c r="C100" s="150"/>
      <c r="D100" s="157"/>
      <c r="E100" s="157"/>
      <c r="F100" s="157"/>
      <c r="G100" s="157"/>
      <c r="H100" s="158"/>
      <c r="I100" s="122"/>
      <c r="J100" s="14" t="s">
        <v>164</v>
      </c>
      <c r="K100" s="142">
        <f>+G66</f>
        <v>45525</v>
      </c>
      <c r="L100" s="143">
        <f>+G70</f>
        <v>0</v>
      </c>
      <c r="M100" s="14">
        <f>+G72</f>
        <v>42</v>
      </c>
      <c r="N100" s="143">
        <f>+G73</f>
        <v>1.8000000000000002E-2</v>
      </c>
      <c r="O100" s="13"/>
      <c r="Q100" s="97"/>
    </row>
    <row r="101" spans="1:19" x14ac:dyDescent="0.25">
      <c r="A101" s="157" t="s">
        <v>174</v>
      </c>
      <c r="B101" s="588"/>
      <c r="C101" s="589"/>
      <c r="D101" s="157"/>
      <c r="E101" s="157"/>
      <c r="F101" s="157"/>
      <c r="G101" s="157"/>
      <c r="H101" s="158"/>
      <c r="I101" s="122"/>
      <c r="J101" s="14">
        <v>4</v>
      </c>
      <c r="K101" s="142">
        <f>+H66</f>
        <v>0</v>
      </c>
      <c r="L101" s="143">
        <f>+H70</f>
        <v>0</v>
      </c>
      <c r="M101" s="14">
        <f>+H72</f>
        <v>1</v>
      </c>
      <c r="N101" s="143">
        <f>+H73</f>
        <v>1.8000000000000002E-2</v>
      </c>
      <c r="O101" s="13"/>
      <c r="Q101" s="97"/>
    </row>
    <row r="102" spans="1:19" x14ac:dyDescent="0.25">
      <c r="A102" s="157" t="s">
        <v>254</v>
      </c>
      <c r="B102" s="157"/>
      <c r="C102" s="157"/>
      <c r="D102" s="157"/>
      <c r="E102" s="157"/>
      <c r="F102" s="157"/>
      <c r="G102" s="157"/>
      <c r="H102" s="158"/>
      <c r="I102" s="122"/>
      <c r="J102" s="14" t="s">
        <v>166</v>
      </c>
      <c r="K102" s="148">
        <f>+C58</f>
        <v>45000</v>
      </c>
      <c r="L102" s="14" t="s">
        <v>169</v>
      </c>
      <c r="M102" s="14" t="s">
        <v>169</v>
      </c>
      <c r="N102" s="14" t="s">
        <v>202</v>
      </c>
      <c r="O102" s="13"/>
      <c r="Q102" s="97"/>
    </row>
    <row r="103" spans="1:19" x14ac:dyDescent="0.25">
      <c r="A103" s="586"/>
      <c r="B103" s="586"/>
      <c r="C103" s="586"/>
      <c r="D103" s="586"/>
      <c r="E103" s="586"/>
      <c r="F103" s="586"/>
      <c r="G103" s="586"/>
      <c r="H103" s="587"/>
      <c r="I103" s="122"/>
      <c r="J103" s="14" t="s">
        <v>167</v>
      </c>
      <c r="K103" s="148">
        <f>+D58</f>
        <v>0</v>
      </c>
      <c r="L103" s="14" t="s">
        <v>169</v>
      </c>
      <c r="M103" s="14" t="s">
        <v>169</v>
      </c>
      <c r="N103" s="14" t="s">
        <v>202</v>
      </c>
      <c r="O103" s="13"/>
      <c r="Q103" s="97"/>
    </row>
    <row r="104" spans="1:19" x14ac:dyDescent="0.25">
      <c r="A104" s="586"/>
      <c r="B104" s="586"/>
      <c r="C104" s="586"/>
      <c r="D104" s="586"/>
      <c r="E104" s="586"/>
      <c r="F104" s="586"/>
      <c r="G104" s="586"/>
      <c r="H104" s="587"/>
      <c r="I104" s="122"/>
      <c r="J104" s="14"/>
      <c r="K104" s="14"/>
      <c r="L104" s="14"/>
      <c r="M104" s="14"/>
      <c r="N104" s="14"/>
      <c r="O104" s="13"/>
      <c r="Q104" s="97"/>
    </row>
    <row r="105" spans="1:19" x14ac:dyDescent="0.25">
      <c r="A105" s="586"/>
      <c r="B105" s="586"/>
      <c r="C105" s="586"/>
      <c r="D105" s="586"/>
      <c r="E105" s="586"/>
      <c r="F105" s="586"/>
      <c r="G105" s="586"/>
      <c r="H105" s="587"/>
      <c r="I105" s="122"/>
      <c r="J105" s="14"/>
      <c r="K105" s="14"/>
      <c r="L105" s="14"/>
      <c r="M105" s="14"/>
      <c r="N105" s="14"/>
      <c r="O105" s="13"/>
      <c r="Q105" s="97"/>
    </row>
    <row r="106" spans="1:19" x14ac:dyDescent="0.25">
      <c r="A106" s="586" t="s">
        <v>255</v>
      </c>
      <c r="B106" s="586"/>
      <c r="C106" s="586"/>
      <c r="D106" s="586"/>
      <c r="E106" s="586"/>
      <c r="F106" s="586"/>
      <c r="G106" s="586"/>
      <c r="H106" s="587"/>
      <c r="I106" s="122"/>
      <c r="J106" s="14"/>
      <c r="K106" s="14"/>
      <c r="L106" s="14"/>
      <c r="M106" s="14"/>
      <c r="N106" s="14" t="s">
        <v>203</v>
      </c>
      <c r="O106" s="13"/>
      <c r="Q106" s="97"/>
    </row>
    <row r="107" spans="1:19" x14ac:dyDescent="0.25">
      <c r="A107" s="586"/>
      <c r="B107" s="586"/>
      <c r="C107" s="586"/>
      <c r="D107" s="586"/>
      <c r="E107" s="586"/>
      <c r="F107" s="586"/>
      <c r="G107" s="586"/>
      <c r="H107" s="587"/>
      <c r="I107" s="122"/>
      <c r="J107" s="14"/>
      <c r="K107" s="14"/>
      <c r="L107" s="14"/>
      <c r="M107" s="14"/>
      <c r="N107" s="14" t="s">
        <v>204</v>
      </c>
      <c r="O107" s="13"/>
      <c r="Q107" s="97"/>
    </row>
    <row r="108" spans="1:19" x14ac:dyDescent="0.25">
      <c r="A108" s="586"/>
      <c r="B108" s="586"/>
      <c r="C108" s="586"/>
      <c r="D108" s="586"/>
      <c r="E108" s="586"/>
      <c r="F108" s="586"/>
      <c r="G108" s="586"/>
      <c r="H108" s="587"/>
      <c r="I108" s="122"/>
      <c r="J108" s="14" t="s">
        <v>174</v>
      </c>
      <c r="K108" s="14"/>
      <c r="L108" s="14"/>
      <c r="M108" s="14"/>
      <c r="N108" s="14" t="s">
        <v>253</v>
      </c>
      <c r="O108" s="13"/>
      <c r="Q108" s="97"/>
    </row>
    <row r="109" spans="1:19" x14ac:dyDescent="0.25">
      <c r="A109" s="586"/>
      <c r="B109" s="586"/>
      <c r="C109" s="586"/>
      <c r="D109" s="586"/>
      <c r="E109" s="586"/>
      <c r="F109" s="586"/>
      <c r="G109" s="586"/>
      <c r="H109" s="587"/>
      <c r="I109" s="122"/>
      <c r="J109" s="14" t="s">
        <v>175</v>
      </c>
      <c r="K109" s="14"/>
      <c r="L109" s="14"/>
      <c r="M109" s="14"/>
      <c r="N109" s="14" t="s">
        <v>208</v>
      </c>
      <c r="O109" s="13"/>
      <c r="Q109" s="97"/>
    </row>
    <row r="110" spans="1:19" x14ac:dyDescent="0.25">
      <c r="A110" s="586"/>
      <c r="B110" s="586"/>
      <c r="C110" s="586"/>
      <c r="D110" s="586"/>
      <c r="E110" s="586"/>
      <c r="F110" s="586"/>
      <c r="G110" s="586"/>
      <c r="H110" s="587"/>
      <c r="I110" s="122"/>
      <c r="J110" s="14" t="s">
        <v>176</v>
      </c>
      <c r="K110" s="14"/>
      <c r="L110" s="14"/>
      <c r="M110" s="14"/>
      <c r="N110" s="14" t="s">
        <v>7</v>
      </c>
      <c r="O110" s="13"/>
      <c r="Q110" s="97"/>
    </row>
    <row r="111" spans="1:19" x14ac:dyDescent="0.25">
      <c r="A111" s="586"/>
      <c r="B111" s="586"/>
      <c r="C111" s="586"/>
      <c r="D111" s="586"/>
      <c r="E111" s="586"/>
      <c r="F111" s="586"/>
      <c r="G111" s="586"/>
      <c r="H111" s="587"/>
      <c r="I111" s="122"/>
      <c r="J111" s="14" t="s">
        <v>177</v>
      </c>
      <c r="K111" s="14"/>
      <c r="L111" s="14"/>
      <c r="M111" s="14"/>
      <c r="N111" s="14" t="s">
        <v>160</v>
      </c>
      <c r="O111" s="13"/>
      <c r="Q111" s="97"/>
    </row>
    <row r="112" spans="1:19" ht="15.75" thickBot="1" x14ac:dyDescent="0.3">
      <c r="A112" s="583"/>
      <c r="B112" s="584"/>
      <c r="C112" s="584"/>
      <c r="D112" s="584"/>
      <c r="E112" s="584"/>
      <c r="F112" s="584"/>
      <c r="G112" s="584"/>
      <c r="H112" s="585"/>
      <c r="I112" s="122"/>
      <c r="J112" s="14" t="s">
        <v>178</v>
      </c>
      <c r="K112" s="14"/>
      <c r="L112" s="14"/>
      <c r="M112" s="14"/>
      <c r="N112" s="14" t="s">
        <v>63</v>
      </c>
      <c r="O112" s="13"/>
      <c r="Q112" s="97"/>
    </row>
    <row r="113" spans="1:23" ht="15.75" hidden="1" outlineLevel="1" thickBot="1" x14ac:dyDescent="0.3">
      <c r="A113" s="46" t="s">
        <v>50</v>
      </c>
      <c r="B113" s="47" t="s">
        <v>51</v>
      </c>
      <c r="C113" s="48">
        <f>C29</f>
        <v>0</v>
      </c>
      <c r="D113" s="49"/>
      <c r="J113" s="14" t="s">
        <v>179</v>
      </c>
      <c r="N113" s="14" t="s">
        <v>119</v>
      </c>
      <c r="Q113" s="97"/>
    </row>
    <row r="114" spans="1:23" ht="15.75" hidden="1" outlineLevel="1" thickTop="1" x14ac:dyDescent="0.25">
      <c r="A114" s="88"/>
      <c r="B114" s="88"/>
      <c r="C114" s="88"/>
      <c r="D114" s="88"/>
      <c r="J114" s="14" t="s">
        <v>180</v>
      </c>
      <c r="N114" s="14" t="s">
        <v>209</v>
      </c>
      <c r="Q114" s="97"/>
    </row>
    <row r="115" spans="1:23" hidden="1" outlineLevel="1" x14ac:dyDescent="0.25">
      <c r="A115" s="50" t="s">
        <v>33</v>
      </c>
      <c r="B115" s="51" t="s">
        <v>34</v>
      </c>
      <c r="C115" s="50" t="s">
        <v>35</v>
      </c>
      <c r="D115" s="49"/>
      <c r="J115" s="14" t="s">
        <v>181</v>
      </c>
      <c r="N115" s="14" t="s">
        <v>210</v>
      </c>
      <c r="Q115" s="97"/>
    </row>
    <row r="116" spans="1:23" hidden="1" outlineLevel="1" x14ac:dyDescent="0.25">
      <c r="A116" s="52" t="s">
        <v>36</v>
      </c>
      <c r="B116" s="53">
        <v>0.03</v>
      </c>
      <c r="C116" s="54">
        <f>IF(C113&gt;40770,40770*B116,C113*B116)</f>
        <v>0</v>
      </c>
      <c r="D116" s="49"/>
      <c r="J116" s="14" t="s">
        <v>185</v>
      </c>
      <c r="Q116" s="97"/>
    </row>
    <row r="117" spans="1:23" hidden="1" outlineLevel="1" x14ac:dyDescent="0.25">
      <c r="A117" s="52" t="s">
        <v>37</v>
      </c>
      <c r="B117" s="55">
        <v>1.7100000000000001E-2</v>
      </c>
      <c r="C117" s="54">
        <f>IF(C113&gt;40770,40770*B117,C113*B117)</f>
        <v>0</v>
      </c>
      <c r="D117" s="49"/>
      <c r="J117" s="14" t="s">
        <v>186</v>
      </c>
      <c r="Q117" s="97"/>
    </row>
    <row r="118" spans="1:23" hidden="1" outlineLevel="1" x14ac:dyDescent="0.25">
      <c r="A118" s="56" t="s">
        <v>38</v>
      </c>
      <c r="B118" s="57"/>
      <c r="C118" s="58">
        <f>SUM(C116:C117)</f>
        <v>0</v>
      </c>
      <c r="D118" s="59"/>
      <c r="J118" s="14" t="s">
        <v>187</v>
      </c>
      <c r="Q118" s="97"/>
    </row>
    <row r="119" spans="1:23" hidden="1" outlineLevel="1" x14ac:dyDescent="0.25">
      <c r="A119" s="50" t="s">
        <v>39</v>
      </c>
      <c r="B119" s="50"/>
      <c r="C119" s="60"/>
      <c r="D119" s="49"/>
      <c r="J119" s="14" t="s">
        <v>188</v>
      </c>
      <c r="Q119" s="97"/>
    </row>
    <row r="120" spans="1:23" hidden="1" outlineLevel="1" x14ac:dyDescent="0.25">
      <c r="A120" s="52" t="s">
        <v>40</v>
      </c>
      <c r="B120" s="55">
        <v>0.1</v>
      </c>
      <c r="C120" s="54">
        <f>IF(C113&gt;40770,40770*B120,C113*B120)</f>
        <v>0</v>
      </c>
      <c r="D120" s="49"/>
      <c r="J120" s="14" t="s">
        <v>189</v>
      </c>
      <c r="Q120" s="97"/>
    </row>
    <row r="121" spans="1:23" hidden="1" outlineLevel="1" x14ac:dyDescent="0.25">
      <c r="A121" s="52" t="s">
        <v>41</v>
      </c>
      <c r="B121" s="55">
        <v>5.0000000000000001E-3</v>
      </c>
      <c r="C121" s="54">
        <f>IF(C113&gt;40770,40770*B121,C113*B121)</f>
        <v>0</v>
      </c>
      <c r="D121" s="49"/>
      <c r="J121" s="14" t="s">
        <v>190</v>
      </c>
      <c r="Q121" s="97"/>
    </row>
    <row r="122" spans="1:23" hidden="1" outlineLevel="1" x14ac:dyDescent="0.25">
      <c r="A122" s="52" t="s">
        <v>42</v>
      </c>
      <c r="B122" s="55">
        <v>1.7100000000000001E-2</v>
      </c>
      <c r="C122" s="54">
        <f>IF(C113&gt;40770,40770*B122,C113*B122)</f>
        <v>0</v>
      </c>
      <c r="D122" s="49"/>
      <c r="Q122" s="97"/>
    </row>
    <row r="123" spans="1:23" hidden="1" outlineLevel="1" x14ac:dyDescent="0.25">
      <c r="A123" s="52" t="s">
        <v>43</v>
      </c>
      <c r="B123" s="55">
        <v>5.0000000000000001E-3</v>
      </c>
      <c r="C123" s="54">
        <f>IF(C113&gt;40770,40770*B123,C113*B123)</f>
        <v>0</v>
      </c>
      <c r="D123" s="50" t="s">
        <v>44</v>
      </c>
      <c r="Q123" s="97"/>
    </row>
    <row r="124" spans="1:23" hidden="1" outlineLevel="1" x14ac:dyDescent="0.25">
      <c r="A124" s="52" t="s">
        <v>45</v>
      </c>
      <c r="B124" s="55">
        <v>0.01</v>
      </c>
      <c r="C124" s="54">
        <f>IF((C113-13000)&gt;0,(C113-13000)*B124,0)</f>
        <v>0</v>
      </c>
      <c r="D124" s="61" t="s">
        <v>46</v>
      </c>
      <c r="Q124" s="97"/>
    </row>
    <row r="125" spans="1:23" hidden="1" outlineLevel="1" x14ac:dyDescent="0.25">
      <c r="A125" s="52" t="s">
        <v>45</v>
      </c>
      <c r="B125" s="55">
        <v>0.05</v>
      </c>
      <c r="C125" s="54">
        <f>IF((C113-25000)&gt;0,(C113-25000)*B125,0)</f>
        <v>0</v>
      </c>
      <c r="D125" s="61" t="s">
        <v>47</v>
      </c>
      <c r="J125" s="166" t="s">
        <v>217</v>
      </c>
      <c r="K125" s="14"/>
      <c r="L125" s="14"/>
      <c r="M125" s="14"/>
      <c r="N125" s="14" t="s">
        <v>237</v>
      </c>
      <c r="O125" s="13"/>
      <c r="P125" s="13"/>
      <c r="Q125" s="13"/>
      <c r="R125" s="13"/>
      <c r="S125" s="13"/>
      <c r="T125" s="13"/>
      <c r="U125" s="13"/>
      <c r="V125" s="79"/>
      <c r="W125" s="79"/>
    </row>
    <row r="126" spans="1:23" hidden="1" outlineLevel="1" x14ac:dyDescent="0.25">
      <c r="A126" s="52" t="s">
        <v>45</v>
      </c>
      <c r="B126" s="55">
        <v>0.1</v>
      </c>
      <c r="C126" s="54">
        <f>IF((C113-35000)&gt;0,(C113-35000)*B126,0)</f>
        <v>0</v>
      </c>
      <c r="D126" s="61" t="s">
        <v>48</v>
      </c>
      <c r="J126" s="14"/>
      <c r="K126" s="14"/>
      <c r="L126" s="14"/>
      <c r="M126" s="14"/>
      <c r="N126" s="14"/>
      <c r="O126" s="13"/>
      <c r="P126" s="13"/>
      <c r="Q126" s="13"/>
      <c r="R126" s="13"/>
      <c r="S126" s="13"/>
      <c r="T126" s="13"/>
      <c r="U126" s="13"/>
      <c r="V126" s="79"/>
      <c r="W126" s="79"/>
    </row>
    <row r="127" spans="1:23" hidden="1" outlineLevel="1" x14ac:dyDescent="0.25">
      <c r="A127" s="56"/>
      <c r="B127" s="57"/>
      <c r="C127" s="58">
        <f>SUM(C120:C126)</f>
        <v>0</v>
      </c>
      <c r="D127" s="59" t="e">
        <f>(C124+C125+C126)/C113</f>
        <v>#DIV/0!</v>
      </c>
      <c r="J127" s="167" t="s">
        <v>216</v>
      </c>
      <c r="K127" s="14"/>
      <c r="L127" s="14"/>
      <c r="M127" s="14"/>
      <c r="N127" s="169" t="s">
        <v>235</v>
      </c>
      <c r="O127" s="14"/>
      <c r="P127" s="14"/>
      <c r="Q127" s="13"/>
      <c r="R127" s="171"/>
      <c r="S127" s="178" t="s">
        <v>236</v>
      </c>
      <c r="T127" s="170"/>
      <c r="U127" s="170"/>
      <c r="V127" s="197"/>
      <c r="W127" s="198"/>
    </row>
    <row r="128" spans="1:23" hidden="1" outlineLevel="1" x14ac:dyDescent="0.25">
      <c r="A128" s="56" t="s">
        <v>49</v>
      </c>
      <c r="B128" s="57"/>
      <c r="C128" s="58">
        <f>C118+C127</f>
        <v>0</v>
      </c>
      <c r="D128" s="59"/>
      <c r="J128" s="14" t="s">
        <v>218</v>
      </c>
      <c r="K128" s="14"/>
      <c r="L128" s="14"/>
      <c r="M128" s="14"/>
      <c r="N128" s="172">
        <v>0</v>
      </c>
      <c r="O128" s="170"/>
      <c r="P128" s="170"/>
      <c r="Q128" s="170"/>
      <c r="R128" s="173"/>
      <c r="S128" s="179">
        <v>0</v>
      </c>
      <c r="T128" s="168">
        <v>9000</v>
      </c>
      <c r="U128" s="14">
        <v>1</v>
      </c>
      <c r="V128" s="199" t="s">
        <v>234</v>
      </c>
      <c r="W128" s="200"/>
    </row>
    <row r="129" spans="1:23" hidden="1" outlineLevel="1" x14ac:dyDescent="0.25">
      <c r="A129" s="49"/>
      <c r="B129" s="49"/>
      <c r="C129" s="49"/>
      <c r="D129" s="49"/>
      <c r="J129" s="14" t="s">
        <v>219</v>
      </c>
      <c r="K129" s="14"/>
      <c r="L129" s="14"/>
      <c r="M129" s="14"/>
      <c r="N129" s="172">
        <v>45001</v>
      </c>
      <c r="O129" s="168">
        <v>45000</v>
      </c>
      <c r="P129" s="14">
        <v>1</v>
      </c>
      <c r="Q129" s="14" t="s">
        <v>234</v>
      </c>
      <c r="R129" s="173"/>
      <c r="S129" s="179">
        <v>9001</v>
      </c>
      <c r="T129" s="168">
        <v>17000</v>
      </c>
      <c r="U129" s="14">
        <v>2</v>
      </c>
      <c r="V129" s="199" t="s">
        <v>233</v>
      </c>
      <c r="W129" s="200"/>
    </row>
    <row r="130" spans="1:23" hidden="1" outlineLevel="1" x14ac:dyDescent="0.25">
      <c r="A130" s="62" t="s">
        <v>52</v>
      </c>
      <c r="B130" s="63"/>
      <c r="C130" s="64">
        <f>C113-C127</f>
        <v>0</v>
      </c>
      <c r="D130" s="123"/>
      <c r="J130" s="14"/>
      <c r="K130" s="14"/>
      <c r="L130" s="14"/>
      <c r="M130" s="14"/>
      <c r="N130" s="172">
        <v>90001</v>
      </c>
      <c r="O130" s="168">
        <v>90000</v>
      </c>
      <c r="P130" s="14">
        <v>2</v>
      </c>
      <c r="Q130" s="14" t="s">
        <v>233</v>
      </c>
      <c r="R130" s="173"/>
      <c r="S130" s="179">
        <v>17001</v>
      </c>
      <c r="T130" s="168">
        <v>24000</v>
      </c>
      <c r="U130" s="14">
        <v>3</v>
      </c>
      <c r="V130" s="199" t="s">
        <v>232</v>
      </c>
      <c r="W130" s="200"/>
    </row>
    <row r="131" spans="1:23" hidden="1" outlineLevel="1" x14ac:dyDescent="0.25">
      <c r="J131" s="167" t="s">
        <v>222</v>
      </c>
      <c r="K131" s="14" t="s">
        <v>227</v>
      </c>
      <c r="L131" s="14"/>
      <c r="M131" s="14"/>
      <c r="N131" s="172">
        <v>150001</v>
      </c>
      <c r="O131" s="168">
        <v>150000</v>
      </c>
      <c r="P131" s="14">
        <v>3</v>
      </c>
      <c r="Q131" s="14" t="s">
        <v>232</v>
      </c>
      <c r="R131" s="173"/>
      <c r="S131" s="179">
        <v>24001</v>
      </c>
      <c r="T131" s="168">
        <v>35000</v>
      </c>
      <c r="U131" s="14">
        <v>4</v>
      </c>
      <c r="V131" s="199" t="s">
        <v>231</v>
      </c>
      <c r="W131" s="200"/>
    </row>
    <row r="132" spans="1:23" ht="15.75" hidden="1" outlineLevel="1" thickBot="1" x14ac:dyDescent="0.3">
      <c r="J132" s="14" t="s">
        <v>223</v>
      </c>
      <c r="K132" s="14"/>
      <c r="L132" s="14"/>
      <c r="M132" s="14"/>
      <c r="N132" s="172">
        <v>180001</v>
      </c>
      <c r="O132" s="168">
        <v>180000</v>
      </c>
      <c r="P132" s="14">
        <v>4</v>
      </c>
      <c r="Q132" s="14" t="s">
        <v>231</v>
      </c>
      <c r="R132" s="173"/>
      <c r="S132" s="179">
        <v>35001</v>
      </c>
      <c r="T132" s="168">
        <v>50000</v>
      </c>
      <c r="U132" s="14">
        <v>5</v>
      </c>
      <c r="V132" s="199" t="s">
        <v>229</v>
      </c>
      <c r="W132" s="200"/>
    </row>
    <row r="133" spans="1:23" ht="16.5" hidden="1" outlineLevel="1" thickTop="1" thickBot="1" x14ac:dyDescent="0.3">
      <c r="A133" s="46" t="s">
        <v>50</v>
      </c>
      <c r="B133" s="47" t="s">
        <v>51</v>
      </c>
      <c r="C133" s="65">
        <f>D29</f>
        <v>0</v>
      </c>
      <c r="D133" s="49"/>
      <c r="J133" s="14" t="s">
        <v>9</v>
      </c>
      <c r="K133" s="14"/>
      <c r="L133" s="14"/>
      <c r="M133" s="14"/>
      <c r="N133" s="172">
        <v>280001</v>
      </c>
      <c r="O133" s="168">
        <v>280000</v>
      </c>
      <c r="P133" s="14">
        <v>5</v>
      </c>
      <c r="Q133" s="14" t="s">
        <v>229</v>
      </c>
      <c r="R133" s="173"/>
      <c r="S133" s="179">
        <v>50001</v>
      </c>
      <c r="T133" s="168">
        <v>75000</v>
      </c>
      <c r="U133" s="14">
        <v>6</v>
      </c>
      <c r="V133" s="199" t="s">
        <v>230</v>
      </c>
      <c r="W133" s="200"/>
    </row>
    <row r="134" spans="1:23" ht="15.75" hidden="1" outlineLevel="1" thickTop="1" x14ac:dyDescent="0.25">
      <c r="A134" s="88"/>
      <c r="B134" s="88"/>
      <c r="C134" s="88"/>
      <c r="D134" s="88"/>
      <c r="J134" s="14" t="s">
        <v>267</v>
      </c>
      <c r="K134" s="14"/>
      <c r="L134" s="14"/>
      <c r="M134" s="14"/>
      <c r="N134" s="172">
        <v>380001</v>
      </c>
      <c r="O134" s="168">
        <v>380000</v>
      </c>
      <c r="P134" s="14">
        <v>6</v>
      </c>
      <c r="Q134" s="14" t="s">
        <v>230</v>
      </c>
      <c r="R134" s="173"/>
      <c r="S134" s="179">
        <v>75001</v>
      </c>
      <c r="T134" s="168">
        <v>100000</v>
      </c>
      <c r="U134" s="14">
        <v>7</v>
      </c>
      <c r="V134" s="199" t="s">
        <v>228</v>
      </c>
      <c r="W134" s="200"/>
    </row>
    <row r="135" spans="1:23" hidden="1" outlineLevel="1" x14ac:dyDescent="0.25">
      <c r="A135" s="50" t="s">
        <v>33</v>
      </c>
      <c r="B135" s="51" t="s">
        <v>34</v>
      </c>
      <c r="C135" s="50" t="s">
        <v>35</v>
      </c>
      <c r="D135" s="49"/>
      <c r="J135" s="14" t="s">
        <v>135</v>
      </c>
      <c r="K135" s="14"/>
      <c r="L135" s="14"/>
      <c r="M135" s="14"/>
      <c r="N135" s="174">
        <v>500001</v>
      </c>
      <c r="O135" s="168">
        <v>500000</v>
      </c>
      <c r="P135" s="14">
        <v>7</v>
      </c>
      <c r="Q135" s="14" t="s">
        <v>228</v>
      </c>
      <c r="R135" s="177"/>
      <c r="S135" s="180">
        <v>100001</v>
      </c>
      <c r="T135" s="175">
        <v>150000</v>
      </c>
      <c r="U135" s="176">
        <v>8</v>
      </c>
      <c r="V135" s="201" t="s">
        <v>227</v>
      </c>
      <c r="W135" s="202"/>
    </row>
    <row r="136" spans="1:23" hidden="1" outlineLevel="1" x14ac:dyDescent="0.25">
      <c r="A136" s="52" t="s">
        <v>36</v>
      </c>
      <c r="B136" s="53">
        <v>0.03</v>
      </c>
      <c r="C136" s="54">
        <f>IF(C133&gt;40770,40770*B136,C133*B136)</f>
        <v>0</v>
      </c>
      <c r="D136" s="49"/>
      <c r="J136" s="14" t="s">
        <v>144</v>
      </c>
      <c r="K136" s="14"/>
      <c r="L136" s="14"/>
      <c r="M136" s="14"/>
      <c r="N136" s="14">
        <v>600001</v>
      </c>
      <c r="O136" s="175">
        <v>600000</v>
      </c>
      <c r="P136" s="176">
        <v>8</v>
      </c>
      <c r="Q136" s="176" t="s">
        <v>227</v>
      </c>
      <c r="R136" s="13"/>
      <c r="S136" s="13">
        <v>150001</v>
      </c>
      <c r="T136" s="13">
        <v>1000000</v>
      </c>
      <c r="U136" s="168">
        <v>9</v>
      </c>
      <c r="V136" s="199" t="s">
        <v>276</v>
      </c>
      <c r="W136" s="199"/>
    </row>
    <row r="137" spans="1:23" hidden="1" outlineLevel="1" x14ac:dyDescent="0.25">
      <c r="A137" s="52" t="s">
        <v>37</v>
      </c>
      <c r="B137" s="55">
        <v>1.7100000000000001E-2</v>
      </c>
      <c r="C137" s="54">
        <f>IF(C133&gt;40770,40770*B137,C133*B137)</f>
        <v>0</v>
      </c>
      <c r="D137" s="49"/>
      <c r="J137" s="14" t="s">
        <v>143</v>
      </c>
      <c r="K137" s="14"/>
      <c r="L137" s="14"/>
      <c r="M137" s="14"/>
      <c r="O137" s="14"/>
      <c r="P137" s="14">
        <v>9</v>
      </c>
      <c r="Q137" s="13" t="s">
        <v>276</v>
      </c>
      <c r="R137" s="13"/>
      <c r="S137" s="14" t="s">
        <v>242</v>
      </c>
      <c r="T137" s="208">
        <f>F61</f>
        <v>28571.428571428572</v>
      </c>
    </row>
    <row r="138" spans="1:23" hidden="1" outlineLevel="1" x14ac:dyDescent="0.25">
      <c r="A138" s="56" t="s">
        <v>38</v>
      </c>
      <c r="B138" s="57"/>
      <c r="C138" s="58">
        <f>SUM(C136:C137)</f>
        <v>0</v>
      </c>
      <c r="D138" s="59"/>
      <c r="N138" s="14" t="s">
        <v>239</v>
      </c>
      <c r="O138" s="209">
        <f>F62</f>
        <v>546883.38192419824</v>
      </c>
      <c r="Q138" s="97"/>
      <c r="S138" s="14" t="s">
        <v>243</v>
      </c>
      <c r="T138" s="211">
        <f>LOOKUP(T137,S128:T136,U128:U136)</f>
        <v>4</v>
      </c>
    </row>
    <row r="139" spans="1:23" hidden="1" outlineLevel="1" x14ac:dyDescent="0.25">
      <c r="A139" s="50" t="s">
        <v>39</v>
      </c>
      <c r="B139" s="50"/>
      <c r="C139" s="60"/>
      <c r="D139" s="49"/>
      <c r="N139" s="14" t="s">
        <v>240</v>
      </c>
      <c r="O139" s="210">
        <f>LOOKUP(O138,N128:O136,P129:P137)</f>
        <v>8</v>
      </c>
      <c r="Q139" s="97"/>
    </row>
    <row r="140" spans="1:23" hidden="1" outlineLevel="1" x14ac:dyDescent="0.25">
      <c r="A140" s="52" t="s">
        <v>40</v>
      </c>
      <c r="B140" s="55">
        <v>0.1</v>
      </c>
      <c r="C140" s="54">
        <f>IF(C133&gt;40770,40770*B140,C133*B140)</f>
        <v>0</v>
      </c>
      <c r="D140" s="49"/>
      <c r="Q140" s="97"/>
    </row>
    <row r="141" spans="1:23" hidden="1" outlineLevel="1" x14ac:dyDescent="0.25">
      <c r="A141" s="52" t="s">
        <v>41</v>
      </c>
      <c r="B141" s="55">
        <v>5.0000000000000001E-3</v>
      </c>
      <c r="C141" s="54">
        <f>IF(C133&gt;40770,40770*B141,C133*B141)</f>
        <v>0</v>
      </c>
      <c r="D141" s="49"/>
      <c r="J141" s="14" t="s">
        <v>241</v>
      </c>
      <c r="Q141" s="97"/>
    </row>
    <row r="142" spans="1:23" hidden="1" outlineLevel="1" x14ac:dyDescent="0.25">
      <c r="A142" s="52" t="s">
        <v>42</v>
      </c>
      <c r="B142" s="55">
        <v>1.7100000000000001E-2</v>
      </c>
      <c r="C142" s="54">
        <f>IF(C133&gt;40770,40770*B142,C133*B142)</f>
        <v>0</v>
      </c>
      <c r="D142" s="49"/>
      <c r="J142" s="67" t="s">
        <v>218</v>
      </c>
      <c r="N142" s="14" t="s">
        <v>238</v>
      </c>
      <c r="O142" s="14"/>
      <c r="P142" s="14"/>
      <c r="Q142" s="13"/>
      <c r="R142" s="13"/>
      <c r="S142" s="13"/>
      <c r="T142" s="13"/>
      <c r="U142" s="168"/>
      <c r="V142" s="199"/>
    </row>
    <row r="143" spans="1:23" hidden="1" outlineLevel="1" x14ac:dyDescent="0.25">
      <c r="A143" s="52" t="s">
        <v>43</v>
      </c>
      <c r="B143" s="55">
        <v>5.0000000000000001E-3</v>
      </c>
      <c r="C143" s="54">
        <f>IF(C133&gt;40770,40770*B143,C133*B143)</f>
        <v>0</v>
      </c>
      <c r="D143" s="50" t="s">
        <v>44</v>
      </c>
      <c r="J143" s="208">
        <f>IF(F54=$J$128,H54,0)</f>
        <v>0</v>
      </c>
      <c r="N143" s="181" t="s">
        <v>223</v>
      </c>
      <c r="O143" s="13"/>
      <c r="P143" s="13"/>
      <c r="Q143" s="13"/>
      <c r="R143" s="13"/>
      <c r="S143" s="182" t="s">
        <v>143</v>
      </c>
      <c r="T143" s="170"/>
      <c r="U143" s="170"/>
      <c r="V143" s="183"/>
    </row>
    <row r="144" spans="1:23" hidden="1" outlineLevel="1" x14ac:dyDescent="0.25">
      <c r="A144" s="52" t="s">
        <v>45</v>
      </c>
      <c r="B144" s="55">
        <v>0.01</v>
      </c>
      <c r="C144" s="54">
        <f>IF((C133-13000)&gt;0,(C133-13000)*B144,0)</f>
        <v>0</v>
      </c>
      <c r="D144" s="61" t="s">
        <v>46</v>
      </c>
      <c r="J144" s="208">
        <f t="shared" ref="J144:J147" si="16">IF(F55=$J$128,H55,0)</f>
        <v>23469.387755102041</v>
      </c>
      <c r="N144" s="179">
        <v>2000</v>
      </c>
      <c r="O144" s="182" t="s">
        <v>9</v>
      </c>
      <c r="P144" s="182" t="s">
        <v>267</v>
      </c>
      <c r="Q144" s="182" t="s">
        <v>135</v>
      </c>
      <c r="R144" s="182" t="s">
        <v>144</v>
      </c>
      <c r="S144" s="168">
        <v>0</v>
      </c>
      <c r="T144" s="14">
        <v>1</v>
      </c>
      <c r="U144" s="14" t="s">
        <v>234</v>
      </c>
      <c r="V144" s="184"/>
    </row>
    <row r="145" spans="1:22" hidden="1" outlineLevel="1" x14ac:dyDescent="0.25">
      <c r="A145" s="52" t="s">
        <v>45</v>
      </c>
      <c r="B145" s="55">
        <v>0.05</v>
      </c>
      <c r="C145" s="54">
        <f>IF((C133-25000)&gt;0,(C133-25000)*B145,0)</f>
        <v>0</v>
      </c>
      <c r="D145" s="61" t="s">
        <v>47</v>
      </c>
      <c r="J145" s="208">
        <f t="shared" si="16"/>
        <v>5102.0408163265301</v>
      </c>
      <c r="N145" s="179">
        <v>4000</v>
      </c>
      <c r="O145" s="168">
        <v>7000</v>
      </c>
      <c r="P145" s="168">
        <v>0</v>
      </c>
      <c r="Q145" s="168">
        <v>5000</v>
      </c>
      <c r="R145" s="168">
        <v>35000</v>
      </c>
      <c r="S145" s="168">
        <v>0</v>
      </c>
      <c r="T145" s="14">
        <v>2</v>
      </c>
      <c r="U145" s="14" t="s">
        <v>233</v>
      </c>
      <c r="V145" s="173"/>
    </row>
    <row r="146" spans="1:22" hidden="1" outlineLevel="1" x14ac:dyDescent="0.25">
      <c r="A146" s="52" t="s">
        <v>45</v>
      </c>
      <c r="B146" s="55">
        <v>0.1</v>
      </c>
      <c r="C146" s="54">
        <f>IF((C133-35000)&gt;0,(C133-35000)*B146,0)</f>
        <v>0</v>
      </c>
      <c r="D146" s="61" t="s">
        <v>48</v>
      </c>
      <c r="J146" s="208">
        <f t="shared" si="16"/>
        <v>0</v>
      </c>
      <c r="N146" s="179">
        <v>6000</v>
      </c>
      <c r="O146" s="168">
        <v>13000</v>
      </c>
      <c r="P146" s="168">
        <v>0</v>
      </c>
      <c r="Q146" s="168">
        <v>15000</v>
      </c>
      <c r="R146" s="168">
        <v>70000</v>
      </c>
      <c r="S146" s="168">
        <v>0</v>
      </c>
      <c r="T146" s="14">
        <v>3</v>
      </c>
      <c r="U146" s="14" t="s">
        <v>232</v>
      </c>
      <c r="V146" s="173"/>
    </row>
    <row r="147" spans="1:22" hidden="1" outlineLevel="1" x14ac:dyDescent="0.25">
      <c r="A147" s="56"/>
      <c r="B147" s="57"/>
      <c r="C147" s="58">
        <f>SUM(C140:C146)</f>
        <v>0</v>
      </c>
      <c r="D147" s="59" t="e">
        <f>(C144+C145+C146)/C133</f>
        <v>#DIV/0!</v>
      </c>
      <c r="J147" s="208">
        <f t="shared" si="16"/>
        <v>0</v>
      </c>
      <c r="N147" s="179">
        <v>8000</v>
      </c>
      <c r="O147" s="168">
        <v>18000</v>
      </c>
      <c r="P147" s="168">
        <v>0</v>
      </c>
      <c r="Q147" s="168">
        <v>30000</v>
      </c>
      <c r="R147" s="168">
        <v>120000</v>
      </c>
      <c r="S147" s="168">
        <v>120000</v>
      </c>
      <c r="T147" s="14">
        <v>4</v>
      </c>
      <c r="U147" s="14" t="s">
        <v>231</v>
      </c>
      <c r="V147" s="173"/>
    </row>
    <row r="148" spans="1:22" hidden="1" outlineLevel="1" x14ac:dyDescent="0.25">
      <c r="A148" s="56" t="s">
        <v>49</v>
      </c>
      <c r="B148" s="57"/>
      <c r="C148" s="58">
        <f>C138+C147</f>
        <v>0</v>
      </c>
      <c r="D148" s="59"/>
      <c r="H148" s="97" t="s">
        <v>220</v>
      </c>
      <c r="J148" s="208">
        <f>SUM(J143:J147)</f>
        <v>28571.428571428572</v>
      </c>
      <c r="N148" s="172">
        <v>13000</v>
      </c>
      <c r="O148" s="168">
        <v>27000</v>
      </c>
      <c r="P148" s="168">
        <v>0</v>
      </c>
      <c r="Q148" s="168">
        <v>40000</v>
      </c>
      <c r="R148" s="168">
        <v>180000</v>
      </c>
      <c r="S148" s="168">
        <v>150000</v>
      </c>
      <c r="T148" s="14">
        <v>5</v>
      </c>
      <c r="U148" s="14" t="s">
        <v>229</v>
      </c>
      <c r="V148" s="173"/>
    </row>
    <row r="149" spans="1:22" hidden="1" outlineLevel="1" x14ac:dyDescent="0.25">
      <c r="A149" s="49"/>
      <c r="B149" s="49"/>
      <c r="C149" s="49"/>
      <c r="D149" s="49"/>
      <c r="N149" s="172">
        <v>20000</v>
      </c>
      <c r="O149" s="148">
        <v>40000</v>
      </c>
      <c r="P149" s="148">
        <v>80000</v>
      </c>
      <c r="Q149" s="148">
        <v>45000</v>
      </c>
      <c r="R149" s="168">
        <v>250000</v>
      </c>
      <c r="S149" s="168">
        <v>200000</v>
      </c>
      <c r="T149" s="14">
        <v>6</v>
      </c>
      <c r="U149" s="14" t="s">
        <v>230</v>
      </c>
      <c r="V149" s="173"/>
    </row>
    <row r="150" spans="1:22" hidden="1" outlineLevel="1" x14ac:dyDescent="0.25">
      <c r="A150" s="62" t="s">
        <v>52</v>
      </c>
      <c r="B150" s="63"/>
      <c r="C150" s="64">
        <f>C133-C147</f>
        <v>0</v>
      </c>
      <c r="D150" s="123"/>
      <c r="N150" s="172">
        <v>40000</v>
      </c>
      <c r="O150" s="148">
        <v>65000</v>
      </c>
      <c r="P150" s="148">
        <v>120000</v>
      </c>
      <c r="Q150" s="148">
        <v>50000</v>
      </c>
      <c r="R150" s="168">
        <v>300000</v>
      </c>
      <c r="S150" s="168">
        <v>400000</v>
      </c>
      <c r="T150" s="14">
        <v>7</v>
      </c>
      <c r="U150" s="14" t="s">
        <v>228</v>
      </c>
      <c r="V150" s="173"/>
    </row>
    <row r="151" spans="1:22" hidden="1" collapsed="1" x14ac:dyDescent="0.25">
      <c r="N151" s="174">
        <v>80000</v>
      </c>
      <c r="O151" s="148">
        <v>80000</v>
      </c>
      <c r="P151" s="148">
        <v>150000</v>
      </c>
      <c r="Q151" s="148">
        <v>80000</v>
      </c>
      <c r="R151" s="168">
        <v>400000</v>
      </c>
      <c r="S151" s="175">
        <v>500000</v>
      </c>
      <c r="T151" s="176">
        <v>8</v>
      </c>
      <c r="U151" s="176" t="s">
        <v>227</v>
      </c>
      <c r="V151" s="177"/>
    </row>
    <row r="152" spans="1:22" hidden="1" x14ac:dyDescent="0.25">
      <c r="N152" s="14" t="s">
        <v>244</v>
      </c>
      <c r="O152" s="185">
        <v>100000</v>
      </c>
      <c r="P152" s="185">
        <v>200000</v>
      </c>
      <c r="Q152" s="185">
        <v>100000</v>
      </c>
      <c r="R152" s="175">
        <v>500000</v>
      </c>
      <c r="S152" s="13"/>
      <c r="T152" s="13">
        <v>9</v>
      </c>
      <c r="U152" s="13" t="s">
        <v>276</v>
      </c>
      <c r="V152" s="79"/>
    </row>
    <row r="153" spans="1:22" hidden="1" x14ac:dyDescent="0.25">
      <c r="A153" s="79">
        <f t="array" ref="A153:A159">TRANSPOSE(B64:H64)</f>
        <v>1</v>
      </c>
      <c r="B153" s="136" t="str">
        <f>CONCATENATE("Cliente ",B$84," a Bs. ",B$66," con ",B$70*100,"% de Tasa, a un plazo de ",B$72," meses.")</f>
        <v>Cliente no califica a Bs. 1400000 con 0% de Tasa, a un plazo de 36 meses.</v>
      </c>
      <c r="N153" s="168">
        <v>8000</v>
      </c>
      <c r="O153" s="14"/>
      <c r="P153" s="14"/>
      <c r="Q153" s="13"/>
      <c r="R153" s="168">
        <v>120000</v>
      </c>
      <c r="S153" s="13"/>
      <c r="T153" s="13"/>
      <c r="U153" s="13"/>
      <c r="V153" s="79"/>
    </row>
    <row r="154" spans="1:22" hidden="1" x14ac:dyDescent="0.25">
      <c r="A154" s="79" t="str">
        <v>1 CPOP</v>
      </c>
      <c r="B154" s="136" t="str">
        <f>CONCATENATE("Cliente ",C$84," a Bs. ",C$66," con ",C$70*100,"% de Tasa, a un plazo de ",C$72," meses.")</f>
        <v>Cliente no califica a Bs. 1400000 con 0% de Tasa, a un plazo de 42 meses.</v>
      </c>
      <c r="N154" s="168">
        <v>6000</v>
      </c>
      <c r="O154" s="168">
        <v>27000</v>
      </c>
      <c r="P154" s="168">
        <v>40000</v>
      </c>
      <c r="Q154" s="168">
        <v>180000</v>
      </c>
      <c r="R154" s="168">
        <v>0</v>
      </c>
      <c r="S154" s="13"/>
      <c r="T154" s="13"/>
      <c r="U154" s="13"/>
      <c r="V154" s="79"/>
    </row>
    <row r="155" spans="1:22" hidden="1" x14ac:dyDescent="0.25">
      <c r="A155" s="79">
        <v>2</v>
      </c>
      <c r="B155" s="136" t="str">
        <f>CONCATENATE("Cliente ",D$84," a Bs. ",D$66," con ",D$70*100,"% de Tasa, a un plazo de ",D$72," meses.")</f>
        <v>Cliente no califica a Bs. 1400000 con 0% de Tasa, a un plazo de 36 meses.</v>
      </c>
      <c r="N155" s="168">
        <v>4000</v>
      </c>
      <c r="O155" s="168">
        <v>18000</v>
      </c>
      <c r="P155" s="168">
        <v>30000</v>
      </c>
      <c r="Q155" s="168">
        <v>120000</v>
      </c>
      <c r="R155" s="168">
        <v>0</v>
      </c>
      <c r="S155" s="13"/>
      <c r="T155" s="13"/>
      <c r="U155" s="13"/>
      <c r="V155" s="79"/>
    </row>
    <row r="156" spans="1:22" ht="27.75" hidden="1" customHeight="1" x14ac:dyDescent="0.25">
      <c r="A156" s="79" t="str">
        <v>2 CPOP</v>
      </c>
      <c r="B156" s="136" t="str">
        <f>CONCATENATE("Cliente ",E$84," a Bs. ",E$66," con ",E$70*100,"% de Tasa, a un plazo de ",E$72," meses.")</f>
        <v>Cliente no califica a Bs. 1400000 con 0% de Tasa, a un plazo de 42 meses.</v>
      </c>
      <c r="N156" s="168">
        <v>2000</v>
      </c>
      <c r="O156" s="168">
        <v>13000</v>
      </c>
      <c r="P156" s="168">
        <v>15000</v>
      </c>
      <c r="Q156" s="168">
        <v>70000</v>
      </c>
      <c r="R156" s="168">
        <v>0</v>
      </c>
      <c r="S156" s="13"/>
      <c r="T156" s="13"/>
      <c r="U156" s="13"/>
      <c r="V156" s="79"/>
    </row>
    <row r="157" spans="1:22" ht="17.25" hidden="1" customHeight="1" x14ac:dyDescent="0.25">
      <c r="A157" s="79">
        <v>3</v>
      </c>
      <c r="B157" s="136" t="str">
        <f>CONCATENATE("Cliente ",F$84," a Bs. ",F$66," con ",F$70*100,"% de Tasa, a un plazo de ",F$72," meses.")</f>
        <v>Cliente califica a Bs. 45525 con 0% de Tasa, a un plazo de 36 meses.</v>
      </c>
      <c r="N157" s="14"/>
      <c r="O157" s="168">
        <v>7000</v>
      </c>
      <c r="P157" s="168">
        <v>5000</v>
      </c>
      <c r="Q157" s="168">
        <v>35000</v>
      </c>
      <c r="R157" s="13"/>
      <c r="S157" s="13"/>
      <c r="T157" s="13"/>
      <c r="U157" s="13"/>
      <c r="V157" s="79"/>
    </row>
    <row r="158" spans="1:22" ht="21" hidden="1" customHeight="1" x14ac:dyDescent="0.25">
      <c r="A158" s="79" t="str">
        <v>3 CPOP</v>
      </c>
      <c r="B158" s="136" t="str">
        <f>CONCATENATE("Cliente ",G$84," a Bs. ",G$66," con ",G$70*100,"% de Tasa, a un plazo de ",G$72," meses.")</f>
        <v>Cliente califica a Bs. 45525 con 0% de Tasa, a un plazo de 42 meses.</v>
      </c>
    </row>
    <row r="159" spans="1:22" ht="21" hidden="1" customHeight="1" x14ac:dyDescent="0.25">
      <c r="A159" s="79">
        <v>4</v>
      </c>
      <c r="B159" s="136" t="str">
        <f>CONCATENATE("Cliente ",H$84," a Bs. ",H$66," con ",H$70*100,"% de Tasa, a un plazo de ",H$72," meses.")</f>
        <v>Cliente califica a Bs. 0 con 0% de Tasa, a un plazo de 1 meses.</v>
      </c>
    </row>
    <row r="160" spans="1:22" hidden="1" x14ac:dyDescent="0.25">
      <c r="N160" s="181" t="s">
        <v>223</v>
      </c>
      <c r="S160" s="182" t="s">
        <v>143</v>
      </c>
    </row>
    <row r="161" spans="14:28" hidden="1" x14ac:dyDescent="0.25">
      <c r="N161" s="98">
        <f>IF($B$100=$N$160,N144,0)</f>
        <v>0</v>
      </c>
      <c r="O161" s="182" t="s">
        <v>9</v>
      </c>
      <c r="P161" s="182" t="s">
        <v>267</v>
      </c>
      <c r="Q161" s="182" t="s">
        <v>135</v>
      </c>
      <c r="R161" s="182" t="s">
        <v>144</v>
      </c>
      <c r="S161" s="98">
        <f>IF($B$100=$S$160,S144,0)</f>
        <v>0</v>
      </c>
      <c r="T161" s="14">
        <v>1</v>
      </c>
      <c r="U161" s="14" t="s">
        <v>234</v>
      </c>
      <c r="V161" s="79"/>
      <c r="X161" s="208">
        <v>0</v>
      </c>
      <c r="Y161" s="208">
        <f t="shared" ref="Y161:Y167" si="17">N161+O162+P162+Q162+R162+S161</f>
        <v>0</v>
      </c>
      <c r="Z161" s="67">
        <v>1</v>
      </c>
      <c r="AA161" s="67" t="s">
        <v>234</v>
      </c>
      <c r="AB161" s="79"/>
    </row>
    <row r="162" spans="14:28" hidden="1" x14ac:dyDescent="0.25">
      <c r="N162" s="98">
        <f t="shared" ref="N162:N168" si="18">IF($B$100=$N$160,N145,0)</f>
        <v>0</v>
      </c>
      <c r="O162" s="98">
        <f>IF($B$100=$O$161,O145,0)</f>
        <v>0</v>
      </c>
      <c r="P162" s="98">
        <f t="shared" ref="P162:P169" si="19">IF($B$100=$P$161,P145,0)</f>
        <v>0</v>
      </c>
      <c r="Q162" s="98">
        <f t="shared" ref="Q162:Q169" si="20">IF($B$100=$Q$161,Q145,0)</f>
        <v>0</v>
      </c>
      <c r="R162" s="98">
        <f t="shared" ref="R162:R169" si="21">IF($B$100=$R$161,R145,0)</f>
        <v>0</v>
      </c>
      <c r="S162" s="98">
        <f t="shared" ref="S162:S168" si="22">IF($B$100=$S$160,S145,0)</f>
        <v>0</v>
      </c>
      <c r="T162" s="14">
        <v>2</v>
      </c>
      <c r="U162" s="14" t="s">
        <v>233</v>
      </c>
      <c r="V162" s="79"/>
      <c r="X162" s="208">
        <f>Y161+1</f>
        <v>1</v>
      </c>
      <c r="Y162" s="208">
        <f t="shared" si="17"/>
        <v>0</v>
      </c>
      <c r="Z162" s="67">
        <v>2</v>
      </c>
      <c r="AA162" s="67" t="s">
        <v>233</v>
      </c>
      <c r="AB162" s="79"/>
    </row>
    <row r="163" spans="14:28" hidden="1" x14ac:dyDescent="0.25">
      <c r="N163" s="98">
        <f t="shared" si="18"/>
        <v>0</v>
      </c>
      <c r="O163" s="98">
        <f t="shared" ref="O163:O169" si="23">IF($B$100=$O$161,O146,0)</f>
        <v>0</v>
      </c>
      <c r="P163" s="98">
        <f t="shared" si="19"/>
        <v>0</v>
      </c>
      <c r="Q163" s="98">
        <f t="shared" si="20"/>
        <v>0</v>
      </c>
      <c r="R163" s="98">
        <f t="shared" si="21"/>
        <v>0</v>
      </c>
      <c r="S163" s="98">
        <f t="shared" si="22"/>
        <v>0</v>
      </c>
      <c r="T163" s="14">
        <v>3</v>
      </c>
      <c r="U163" s="14" t="s">
        <v>232</v>
      </c>
      <c r="V163" s="79"/>
      <c r="X163" s="208">
        <f t="shared" ref="X163:X166" si="24">Y162+1</f>
        <v>1</v>
      </c>
      <c r="Y163" s="208">
        <f t="shared" si="17"/>
        <v>0</v>
      </c>
      <c r="Z163" s="67">
        <v>3</v>
      </c>
      <c r="AA163" s="67" t="s">
        <v>232</v>
      </c>
      <c r="AB163" s="79"/>
    </row>
    <row r="164" spans="14:28" hidden="1" x14ac:dyDescent="0.25">
      <c r="N164" s="98">
        <f t="shared" si="18"/>
        <v>0</v>
      </c>
      <c r="O164" s="98">
        <f t="shared" si="23"/>
        <v>0</v>
      </c>
      <c r="P164" s="98">
        <f t="shared" si="19"/>
        <v>0</v>
      </c>
      <c r="Q164" s="98">
        <f t="shared" si="20"/>
        <v>0</v>
      </c>
      <c r="R164" s="98">
        <f t="shared" si="21"/>
        <v>0</v>
      </c>
      <c r="S164" s="98">
        <f t="shared" si="22"/>
        <v>120000</v>
      </c>
      <c r="T164" s="14">
        <v>4</v>
      </c>
      <c r="U164" s="14" t="s">
        <v>231</v>
      </c>
      <c r="V164" s="79"/>
      <c r="X164" s="208">
        <f t="shared" si="24"/>
        <v>1</v>
      </c>
      <c r="Y164" s="208">
        <f t="shared" si="17"/>
        <v>120000</v>
      </c>
      <c r="Z164" s="67">
        <v>4</v>
      </c>
      <c r="AA164" s="67" t="s">
        <v>231</v>
      </c>
      <c r="AB164" s="79"/>
    </row>
    <row r="165" spans="14:28" hidden="1" x14ac:dyDescent="0.25">
      <c r="N165" s="98">
        <f t="shared" si="18"/>
        <v>0</v>
      </c>
      <c r="O165" s="98">
        <f t="shared" si="23"/>
        <v>0</v>
      </c>
      <c r="P165" s="98">
        <f t="shared" si="19"/>
        <v>0</v>
      </c>
      <c r="Q165" s="98">
        <f t="shared" si="20"/>
        <v>0</v>
      </c>
      <c r="R165" s="98">
        <f t="shared" si="21"/>
        <v>0</v>
      </c>
      <c r="S165" s="98">
        <f t="shared" si="22"/>
        <v>150000</v>
      </c>
      <c r="T165" s="14">
        <v>5</v>
      </c>
      <c r="U165" s="14" t="s">
        <v>229</v>
      </c>
      <c r="V165" s="79"/>
      <c r="X165" s="208">
        <f t="shared" si="24"/>
        <v>120001</v>
      </c>
      <c r="Y165" s="208">
        <f t="shared" si="17"/>
        <v>150000</v>
      </c>
      <c r="Z165" s="67">
        <v>5</v>
      </c>
      <c r="AA165" s="67" t="s">
        <v>229</v>
      </c>
      <c r="AB165" s="79"/>
    </row>
    <row r="166" spans="14:28" hidden="1" x14ac:dyDescent="0.25">
      <c r="N166" s="98">
        <f t="shared" si="18"/>
        <v>0</v>
      </c>
      <c r="O166" s="98">
        <f t="shared" si="23"/>
        <v>0</v>
      </c>
      <c r="P166" s="98">
        <f t="shared" si="19"/>
        <v>0</v>
      </c>
      <c r="Q166" s="98">
        <f t="shared" si="20"/>
        <v>0</v>
      </c>
      <c r="R166" s="98">
        <f t="shared" si="21"/>
        <v>0</v>
      </c>
      <c r="S166" s="98">
        <f t="shared" si="22"/>
        <v>200000</v>
      </c>
      <c r="T166" s="14">
        <v>6</v>
      </c>
      <c r="U166" s="14" t="s">
        <v>230</v>
      </c>
      <c r="V166" s="79"/>
      <c r="X166" s="208">
        <f t="shared" si="24"/>
        <v>150001</v>
      </c>
      <c r="Y166" s="208">
        <f t="shared" si="17"/>
        <v>200000</v>
      </c>
      <c r="Z166" s="67">
        <v>6</v>
      </c>
      <c r="AA166" s="67" t="s">
        <v>230</v>
      </c>
      <c r="AB166" s="79"/>
    </row>
    <row r="167" spans="14:28" hidden="1" x14ac:dyDescent="0.25">
      <c r="N167" s="98">
        <f>IF($B$100=$N$160,N150,0)</f>
        <v>0</v>
      </c>
      <c r="O167" s="98">
        <f t="shared" si="23"/>
        <v>0</v>
      </c>
      <c r="P167" s="98">
        <f t="shared" si="19"/>
        <v>0</v>
      </c>
      <c r="Q167" s="98">
        <f t="shared" si="20"/>
        <v>0</v>
      </c>
      <c r="R167" s="98">
        <f t="shared" si="21"/>
        <v>0</v>
      </c>
      <c r="S167" s="98">
        <f t="shared" si="22"/>
        <v>400000</v>
      </c>
      <c r="T167" s="14">
        <v>7</v>
      </c>
      <c r="U167" s="14" t="s">
        <v>228</v>
      </c>
      <c r="V167" s="79"/>
      <c r="X167" s="208">
        <f>Y166+1</f>
        <v>200001</v>
      </c>
      <c r="Y167" s="208">
        <f t="shared" si="17"/>
        <v>400000</v>
      </c>
      <c r="Z167" s="67">
        <v>7</v>
      </c>
      <c r="AA167" s="67" t="s">
        <v>228</v>
      </c>
      <c r="AB167" s="79"/>
    </row>
    <row r="168" spans="14:28" hidden="1" x14ac:dyDescent="0.25">
      <c r="N168" s="98">
        <f t="shared" si="18"/>
        <v>0</v>
      </c>
      <c r="O168" s="98">
        <f t="shared" si="23"/>
        <v>0</v>
      </c>
      <c r="P168" s="98">
        <f t="shared" si="19"/>
        <v>0</v>
      </c>
      <c r="Q168" s="98">
        <f t="shared" si="20"/>
        <v>0</v>
      </c>
      <c r="R168" s="98">
        <f t="shared" si="21"/>
        <v>0</v>
      </c>
      <c r="S168" s="98">
        <f t="shared" si="22"/>
        <v>500000</v>
      </c>
      <c r="T168" s="176">
        <v>8</v>
      </c>
      <c r="U168" s="176" t="s">
        <v>227</v>
      </c>
      <c r="V168" s="79"/>
      <c r="X168" s="208">
        <f>Y167+1</f>
        <v>400001</v>
      </c>
      <c r="Y168" s="208">
        <f>N168+O169+P169+Q169+R169+S168</f>
        <v>500000</v>
      </c>
      <c r="Z168" s="67">
        <v>8</v>
      </c>
      <c r="AA168" s="67" t="s">
        <v>227</v>
      </c>
      <c r="AB168" s="79"/>
    </row>
    <row r="169" spans="14:28" hidden="1" x14ac:dyDescent="0.25">
      <c r="O169" s="98">
        <f t="shared" si="23"/>
        <v>0</v>
      </c>
      <c r="P169" s="98">
        <f t="shared" si="19"/>
        <v>0</v>
      </c>
      <c r="Q169" s="98">
        <f t="shared" si="20"/>
        <v>0</v>
      </c>
      <c r="R169" s="98">
        <f t="shared" si="21"/>
        <v>0</v>
      </c>
      <c r="T169" s="97">
        <v>9</v>
      </c>
      <c r="U169" s="97" t="s">
        <v>276</v>
      </c>
      <c r="X169" s="208">
        <f>N168+O169+P169+Q169+R169+S168+1</f>
        <v>500001</v>
      </c>
      <c r="Y169" s="97">
        <v>10000000</v>
      </c>
      <c r="Z169" s="97">
        <v>9</v>
      </c>
      <c r="AA169" s="97" t="s">
        <v>276</v>
      </c>
    </row>
    <row r="170" spans="14:28" hidden="1" x14ac:dyDescent="0.25"/>
    <row r="171" spans="14:28" hidden="1" x14ac:dyDescent="0.25">
      <c r="N171" s="14" t="s">
        <v>247</v>
      </c>
      <c r="X171" s="79" t="s">
        <v>245</v>
      </c>
      <c r="Y171" s="212">
        <f>H54</f>
        <v>204081.63265306121</v>
      </c>
    </row>
    <row r="172" spans="14:28" hidden="1" x14ac:dyDescent="0.25">
      <c r="N172" s="14"/>
      <c r="X172" s="79" t="s">
        <v>246</v>
      </c>
      <c r="Y172" s="211">
        <f>LOOKUP(Y171,X161:Y169,Z161:Z169)</f>
        <v>7</v>
      </c>
    </row>
    <row r="173" spans="14:28" hidden="1" x14ac:dyDescent="0.25">
      <c r="N173" s="14"/>
    </row>
    <row r="174" spans="14:28" hidden="1" x14ac:dyDescent="0.25">
      <c r="N174" s="14" t="s">
        <v>221</v>
      </c>
      <c r="O174" s="210">
        <f>O139</f>
        <v>8</v>
      </c>
      <c r="Q174" s="67">
        <v>1</v>
      </c>
      <c r="R174" s="67" t="s">
        <v>234</v>
      </c>
    </row>
    <row r="175" spans="14:28" hidden="1" x14ac:dyDescent="0.25">
      <c r="N175" s="14" t="s">
        <v>218</v>
      </c>
      <c r="O175" s="210">
        <f>T138</f>
        <v>4</v>
      </c>
      <c r="Q175" s="67">
        <v>2</v>
      </c>
      <c r="R175" s="67" t="s">
        <v>233</v>
      </c>
    </row>
    <row r="176" spans="14:28" hidden="1" x14ac:dyDescent="0.25">
      <c r="N176" s="14" t="s">
        <v>248</v>
      </c>
      <c r="O176" s="210">
        <f>Y172</f>
        <v>7</v>
      </c>
      <c r="Q176" s="67">
        <v>3</v>
      </c>
      <c r="R176" s="67" t="s">
        <v>232</v>
      </c>
    </row>
    <row r="177" spans="14:18" hidden="1" x14ac:dyDescent="0.25">
      <c r="N177" s="14"/>
      <c r="Q177" s="67">
        <v>4</v>
      </c>
      <c r="R177" s="67" t="s">
        <v>231</v>
      </c>
    </row>
    <row r="178" spans="14:18" hidden="1" x14ac:dyDescent="0.25">
      <c r="N178" s="14" t="s">
        <v>249</v>
      </c>
      <c r="O178" s="210">
        <f>MAX(O174:O176)</f>
        <v>8</v>
      </c>
      <c r="Q178" s="67">
        <v>5</v>
      </c>
      <c r="R178" s="67" t="s">
        <v>229</v>
      </c>
    </row>
    <row r="179" spans="14:18" x14ac:dyDescent="0.25">
      <c r="N179" s="14"/>
      <c r="Q179" s="67">
        <v>6</v>
      </c>
      <c r="R179" s="67" t="s">
        <v>230</v>
      </c>
    </row>
    <row r="180" spans="14:18" x14ac:dyDescent="0.25">
      <c r="N180" s="14" t="s">
        <v>246</v>
      </c>
      <c r="O180" s="210" t="str">
        <f>LOOKUP(O178,Q174:Q182,R174:R182)</f>
        <v>Gerencia General</v>
      </c>
      <c r="Q180" s="67">
        <v>7</v>
      </c>
      <c r="R180" s="67" t="s">
        <v>228</v>
      </c>
    </row>
    <row r="181" spans="14:18" x14ac:dyDescent="0.25">
      <c r="Q181" s="67">
        <v>8</v>
      </c>
      <c r="R181" s="67" t="s">
        <v>227</v>
      </c>
    </row>
    <row r="182" spans="14:18" x14ac:dyDescent="0.25">
      <c r="Q182" s="98">
        <v>9</v>
      </c>
      <c r="R182" s="97" t="s">
        <v>276</v>
      </c>
    </row>
  </sheetData>
  <sheetProtection algorithmName="SHA-512" hashValue="Oqg09vnSovFo5tDfVwag6B0r4FR6Ix/mKnScL8I6X4VerFBrzBMC/x0ouRb6LA6z72Bc1FWJFO7mZasy89fd1w==" saltValue="nZpp12ia7MWnermBhbH39Q==" spinCount="100000" sheet="1" objects="1" scenarios="1"/>
  <dataConsolidate/>
  <mergeCells count="32">
    <mergeCell ref="A1:D1"/>
    <mergeCell ref="A112:H112"/>
    <mergeCell ref="A103:H103"/>
    <mergeCell ref="A104:H104"/>
    <mergeCell ref="A105:H105"/>
    <mergeCell ref="A106:H106"/>
    <mergeCell ref="A107:H107"/>
    <mergeCell ref="A108:H108"/>
    <mergeCell ref="A109:H109"/>
    <mergeCell ref="A110:H110"/>
    <mergeCell ref="A111:H111"/>
    <mergeCell ref="B91:C91"/>
    <mergeCell ref="B101:C101"/>
    <mergeCell ref="A86:H86"/>
    <mergeCell ref="A54:D54"/>
    <mergeCell ref="A53:D53"/>
    <mergeCell ref="A3:D3"/>
    <mergeCell ref="A4:D4"/>
    <mergeCell ref="A5:D5"/>
    <mergeCell ref="A35:D35"/>
    <mergeCell ref="A42:D42"/>
    <mergeCell ref="A14:A28"/>
    <mergeCell ref="A11:D11"/>
    <mergeCell ref="A51:D51"/>
    <mergeCell ref="A87:H87"/>
    <mergeCell ref="B90:C90"/>
    <mergeCell ref="F90:G90"/>
    <mergeCell ref="L49:N49"/>
    <mergeCell ref="K49:K50"/>
    <mergeCell ref="E52:H52"/>
    <mergeCell ref="G61:H61"/>
    <mergeCell ref="G62:H62"/>
  </mergeCells>
  <dataValidations count="29">
    <dataValidation type="list" allowBlank="1" showInputMessage="1" showErrorMessage="1" sqref="B65 B60">
      <formula1>$L$50:$N$50</formula1>
    </dataValidation>
    <dataValidation type="list" allowBlank="1" showInputMessage="1" showErrorMessage="1" sqref="C13:D13">
      <formula1>$O$35:$O$45</formula1>
    </dataValidation>
    <dataValidation type="list" allowBlank="1" showInputMessage="1" showErrorMessage="1" sqref="B9 B6:B7">
      <formula1>$L$27:$L$28</formula1>
    </dataValidation>
    <dataValidation type="list" allowBlank="1" showInputMessage="1" showErrorMessage="1" sqref="B8">
      <formula1>$M$27:$M$28</formula1>
    </dataValidation>
    <dataValidation type="list" allowBlank="1" showInputMessage="1" showErrorMessage="1" sqref="D8">
      <formula1>$N$27:$N$32</formula1>
    </dataValidation>
    <dataValidation type="list" allowBlank="1" showInputMessage="1" showErrorMessage="1" sqref="C95">
      <formula1>$N$106:$N$108</formula1>
    </dataValidation>
    <dataValidation type="list" allowBlank="1" showInputMessage="1" showErrorMessage="1" sqref="B91:C91">
      <formula1>$K$86:$K$91</formula1>
    </dataValidation>
    <dataValidation type="list" allowBlank="1" showInputMessage="1" showErrorMessage="1" sqref="F90:G90 B90:C90">
      <formula1>$J$86:$J$91</formula1>
    </dataValidation>
    <dataValidation type="list" showInputMessage="1" showErrorMessage="1" sqref="B101:C101">
      <formula1>$J$108:$J$121</formula1>
    </dataValidation>
    <dataValidation type="list" allowBlank="1" showInputMessage="1" showErrorMessage="1" sqref="B95">
      <formula1>$J$95:$J$103</formula1>
    </dataValidation>
    <dataValidation type="list" allowBlank="1" showInputMessage="1" showErrorMessage="1" sqref="B88">
      <formula1>$N$110:$N$115</formula1>
    </dataValidation>
    <dataValidation type="custom" allowBlank="1" showInputMessage="1" showErrorMessage="1" error="&quot;El estado civil debe ser Casado/Conviviente para ingresar datos de cónyuge&quot;" sqref="D14">
      <formula1>B10="Casado/Conviviente"</formula1>
    </dataValidation>
    <dataValidation type="custom" allowBlank="1" showInputMessage="1" showErrorMessage="1" error="&quot;El estado civil debe ser Casado/Conviviente para ingresar datos de cónyuge&quot;" sqref="D16">
      <formula1>B10="Casado/Conviviente"</formula1>
    </dataValidation>
    <dataValidation type="custom" allowBlank="1" showInputMessage="1" showErrorMessage="1" error="&quot;El estado civil debe ser Casado/Conviviente para ingresar datos de cónyuge&quot;" sqref="D31">
      <formula1>B10="Casado/Conviviente"</formula1>
    </dataValidation>
    <dataValidation type="custom" allowBlank="1" showInputMessage="1" showErrorMessage="1" error="&quot;El estado civil debe ser Casado/Conviviente para ingresar datos de cónyuge&quot;" sqref="D21">
      <formula1>B10="Casado/Conviviente"</formula1>
    </dataValidation>
    <dataValidation type="custom" allowBlank="1" showInputMessage="1" showErrorMessage="1" error="&quot;El estado civil debe ser Casado/Conviviente para ingresar datos de cónyuge&quot;" sqref="D15">
      <formula1>B10="Casado/Conviviente"</formula1>
    </dataValidation>
    <dataValidation type="custom" allowBlank="1" showInputMessage="1" showErrorMessage="1" error="&quot;El estado civil debe ser Casado/Conviviente para ingresar datos de cónyuge&quot;" sqref="D17">
      <formula1>B10="Casado/Conviviente"</formula1>
    </dataValidation>
    <dataValidation type="custom" allowBlank="1" showInputMessage="1" showErrorMessage="1" error="&quot;El estado civil debe ser Casado/Conviviente para ingresar datos de cónyuge&quot;" sqref="D18">
      <formula1>B10="Casado/Conviviente"</formula1>
    </dataValidation>
    <dataValidation type="custom" allowBlank="1" showInputMessage="1" showErrorMessage="1" error="&quot;El estado civil debe ser Casado/Conviviente para ingresar datos de cónyuge&quot;" sqref="D19">
      <formula1>B10="Casado/Conviviente"</formula1>
    </dataValidation>
    <dataValidation type="custom" allowBlank="1" showInputMessage="1" showErrorMessage="1" error="&quot;El estado civil debe ser Casado/Conviviente para ingresar datos de cónyuge&quot;" sqref="D20">
      <formula1>B10="Casado/Conviviente"</formula1>
    </dataValidation>
    <dataValidation type="custom" allowBlank="1" showInputMessage="1" showErrorMessage="1" error="&quot;El estado civil debe ser Casado/Conviviente para ingresar datos de cónyuge&quot;" sqref="D22">
      <formula1>B10="Casado/Conviviente"</formula1>
    </dataValidation>
    <dataValidation type="custom" allowBlank="1" showInputMessage="1" showErrorMessage="1" error="&quot;El estado civil debe ser Casado/Conviviente para ingresar datos de cónyuge&quot;" sqref="D23">
      <formula1>B10="Casado/Conviviente"</formula1>
    </dataValidation>
    <dataValidation type="custom" allowBlank="1" showInputMessage="1" showErrorMessage="1" error="&quot;El estado civil debe ser Casado/Conviviente para ingresar datos de cónyuge&quot;" sqref="D24">
      <formula1>B10="Casado/Conviviente"</formula1>
    </dataValidation>
    <dataValidation type="custom" allowBlank="1" showInputMessage="1" showErrorMessage="1" error="&quot;El estado civil debe ser Casado/Conviviente para ingresar datos de cónyuge&quot;" sqref="D25">
      <formula1>B10="Casado/Conviviente"</formula1>
    </dataValidation>
    <dataValidation type="custom" allowBlank="1" showInputMessage="1" showErrorMessage="1" error="&quot;El estado civil debe ser Casado/Conviviente para ingresar datos de cónyuge&quot;" sqref="D29">
      <formula1>B10="Casado/Conviviente"</formula1>
    </dataValidation>
    <dataValidation type="custom" allowBlank="1" showInputMessage="1" showErrorMessage="1" error="&quot;El estado civil debe ser Casado/Conviviente para ingresar datos de cónyuge&quot;" sqref="D30">
      <formula1>B10="Casado/Conviviente"</formula1>
    </dataValidation>
    <dataValidation type="list" allowBlank="1" showInputMessage="1" showErrorMessage="1" sqref="B10">
      <formula1>$J$10:$J$11</formula1>
    </dataValidation>
    <dataValidation type="list" allowBlank="1" showInputMessage="1" showErrorMessage="1" sqref="B100">
      <formula1>$J$132:$J$137</formula1>
    </dataValidation>
    <dataValidation type="list" allowBlank="1" showInputMessage="1" showErrorMessage="1" sqref="F54:F59">
      <formula1>$J$128:$J$129</formula1>
    </dataValidation>
  </dataValidations>
  <pageMargins left="0.70866141732283472" right="0.70866141732283472" top="0.74803149606299213" bottom="0.74803149606299213" header="0.31496062992125984" footer="0.31496062992125984"/>
  <pageSetup scale="45" orientation="portrait" r:id="rId1"/>
  <ignoredErrors>
    <ignoredError sqref="A153:B159" unlockedFormula="1"/>
  </ignoredError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L20"/>
  <sheetViews>
    <sheetView workbookViewId="0">
      <selection activeCell="E22" sqref="E22"/>
    </sheetView>
  </sheetViews>
  <sheetFormatPr baseColWidth="10" defaultRowHeight="15" x14ac:dyDescent="0.25"/>
  <cols>
    <col min="6" max="6" width="11.85546875" bestFit="1" customWidth="1"/>
    <col min="9" max="9" width="11.85546875" bestFit="1" customWidth="1"/>
    <col min="10" max="10" width="14.42578125" bestFit="1" customWidth="1"/>
    <col min="11" max="12" width="15.140625" bestFit="1" customWidth="1"/>
  </cols>
  <sheetData>
    <row r="1" spans="1:12" ht="15.75" thickBot="1" x14ac:dyDescent="0.3">
      <c r="A1" t="s">
        <v>277</v>
      </c>
      <c r="B1" s="219" t="s">
        <v>280</v>
      </c>
      <c r="C1" s="220">
        <v>5.5E-2</v>
      </c>
      <c r="D1" s="220">
        <v>0.06</v>
      </c>
      <c r="E1" s="220">
        <v>6.5000000000000002E-2</v>
      </c>
      <c r="F1" s="220">
        <v>0</v>
      </c>
      <c r="G1" s="221" t="s">
        <v>278</v>
      </c>
      <c r="H1" s="221" t="s">
        <v>279</v>
      </c>
      <c r="J1" t="s">
        <v>282</v>
      </c>
      <c r="K1" t="s">
        <v>283</v>
      </c>
      <c r="L1" t="s">
        <v>283</v>
      </c>
    </row>
    <row r="2" spans="1:12" x14ac:dyDescent="0.25">
      <c r="A2" s="218" t="s">
        <v>121</v>
      </c>
      <c r="B2">
        <v>0.4</v>
      </c>
      <c r="C2">
        <v>0.4</v>
      </c>
      <c r="D2">
        <v>0.4</v>
      </c>
      <c r="E2">
        <v>0.4</v>
      </c>
      <c r="F2">
        <v>0.4</v>
      </c>
      <c r="G2" t="s">
        <v>196</v>
      </c>
      <c r="H2" t="s">
        <v>139</v>
      </c>
      <c r="I2" t="s">
        <v>281</v>
      </c>
      <c r="J2" t="s">
        <v>136</v>
      </c>
      <c r="K2" t="s">
        <v>136</v>
      </c>
      <c r="L2" t="s">
        <v>139</v>
      </c>
    </row>
    <row r="3" spans="1:12" x14ac:dyDescent="0.25">
      <c r="A3" s="218" t="s">
        <v>120</v>
      </c>
      <c r="B3">
        <v>0.35</v>
      </c>
      <c r="C3">
        <v>0.35</v>
      </c>
      <c r="D3">
        <v>0.35</v>
      </c>
      <c r="E3">
        <v>0.35</v>
      </c>
      <c r="F3">
        <v>0.35</v>
      </c>
      <c r="H3" t="s">
        <v>140</v>
      </c>
      <c r="I3" t="s">
        <v>281</v>
      </c>
      <c r="J3" t="s">
        <v>200</v>
      </c>
      <c r="K3" t="s">
        <v>140</v>
      </c>
      <c r="L3" t="s">
        <v>205</v>
      </c>
    </row>
    <row r="4" spans="1:12" x14ac:dyDescent="0.25">
      <c r="A4" s="218" t="s">
        <v>119</v>
      </c>
      <c r="B4">
        <v>0.3</v>
      </c>
      <c r="C4">
        <v>0.3</v>
      </c>
      <c r="D4">
        <v>0.3</v>
      </c>
      <c r="E4">
        <v>0.3</v>
      </c>
      <c r="F4">
        <v>0.3</v>
      </c>
      <c r="H4" t="s">
        <v>145</v>
      </c>
      <c r="I4" t="s">
        <v>281</v>
      </c>
      <c r="K4" t="s">
        <v>145</v>
      </c>
    </row>
    <row r="15" spans="1:12" x14ac:dyDescent="0.25">
      <c r="L15" t="b">
        <f>IF(ISERROR(VLOOKUP(L11,H:H,1,FALSE)),FALSE,TRUE)</f>
        <v>0</v>
      </c>
    </row>
    <row r="20" spans="1:2" x14ac:dyDescent="0.25">
      <c r="A20" t="s">
        <v>9</v>
      </c>
      <c r="B20">
        <v>0.25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5"/>
  <dimension ref="A1:AK192"/>
  <sheetViews>
    <sheetView zoomScale="90" zoomScaleNormal="90" workbookViewId="0">
      <selection activeCell="B95" sqref="B95"/>
    </sheetView>
  </sheetViews>
  <sheetFormatPr baseColWidth="10" defaultColWidth="11.42578125" defaultRowHeight="15" outlineLevelRow="1" outlineLevelCol="1" x14ac:dyDescent="0.25"/>
  <cols>
    <col min="1" max="1" width="30.28515625" style="97" customWidth="1"/>
    <col min="2" max="2" width="24" style="97" customWidth="1"/>
    <col min="3" max="3" width="21.5703125" style="97" customWidth="1"/>
    <col min="4" max="4" width="18.140625" style="97" customWidth="1"/>
    <col min="5" max="5" width="18.28515625" style="97" bestFit="1" customWidth="1"/>
    <col min="6" max="7" width="19.28515625" style="97" customWidth="1"/>
    <col min="8" max="9" width="18.5703125" style="97" customWidth="1"/>
    <col min="10" max="10" width="11.42578125" style="97" hidden="1" customWidth="1"/>
    <col min="11" max="11" width="11.42578125" style="97" hidden="1" customWidth="1" outlineLevel="1"/>
    <col min="12" max="12" width="13" style="97" hidden="1" customWidth="1" outlineLevel="1"/>
    <col min="13" max="13" width="11.42578125" style="98" hidden="1" customWidth="1" outlineLevel="1"/>
    <col min="14" max="14" width="8.5703125" style="98" hidden="1" customWidth="1" outlineLevel="1"/>
    <col min="15" max="15" width="12" style="98" hidden="1" customWidth="1" outlineLevel="1"/>
    <col min="16" max="18" width="11.42578125" style="98" hidden="1" customWidth="1" outlineLevel="1"/>
    <col min="19" max="19" width="11.42578125" style="97" hidden="1" customWidth="1" outlineLevel="1"/>
    <col min="20" max="20" width="14.42578125" style="97" hidden="1" customWidth="1" collapsed="1"/>
    <col min="21" max="23" width="11.42578125" style="97" hidden="1" customWidth="1"/>
    <col min="24" max="27" width="11.42578125" style="97" customWidth="1"/>
    <col min="28" max="28" width="11" style="97" customWidth="1"/>
    <col min="29" max="31" width="11.42578125" style="97" customWidth="1"/>
    <col min="32" max="16384" width="11.42578125" style="97"/>
  </cols>
  <sheetData>
    <row r="1" spans="1:37" ht="16.5" thickBot="1" x14ac:dyDescent="0.3">
      <c r="A1" s="529" t="s">
        <v>266</v>
      </c>
      <c r="B1" s="530"/>
      <c r="C1" s="530"/>
      <c r="D1" s="531"/>
    </row>
    <row r="2" spans="1:37" x14ac:dyDescent="0.25">
      <c r="A2" s="228" t="s">
        <v>53</v>
      </c>
      <c r="B2" s="606" t="s">
        <v>330</v>
      </c>
      <c r="C2" s="606"/>
      <c r="D2" s="606"/>
      <c r="E2" s="122"/>
      <c r="F2" s="122"/>
      <c r="G2" s="122"/>
      <c r="H2" s="122"/>
      <c r="I2" s="122"/>
      <c r="J2" s="79"/>
      <c r="K2" s="13"/>
      <c r="P2" s="98" t="s">
        <v>74</v>
      </c>
      <c r="R2" s="97"/>
      <c r="T2" s="122"/>
      <c r="U2" s="122"/>
      <c r="V2" s="122"/>
    </row>
    <row r="3" spans="1:37" ht="3.75" customHeight="1" x14ac:dyDescent="0.25">
      <c r="A3" s="521"/>
      <c r="B3" s="522"/>
      <c r="C3" s="522"/>
      <c r="D3" s="523"/>
      <c r="E3" s="122"/>
      <c r="F3" s="122"/>
      <c r="G3" s="122"/>
      <c r="H3" s="122"/>
      <c r="I3" s="122"/>
      <c r="J3" s="79"/>
      <c r="K3" s="13"/>
      <c r="Q3" s="98" t="s">
        <v>68</v>
      </c>
      <c r="R3" s="98" t="s">
        <v>73</v>
      </c>
      <c r="S3" s="98" t="s">
        <v>70</v>
      </c>
      <c r="T3" s="122"/>
      <c r="U3" s="122"/>
      <c r="V3" s="122"/>
    </row>
    <row r="4" spans="1:37" x14ac:dyDescent="0.25">
      <c r="A4" s="611" t="s">
        <v>0</v>
      </c>
      <c r="B4" s="612"/>
      <c r="C4" s="612"/>
      <c r="D4" s="613"/>
      <c r="E4" s="122"/>
      <c r="F4" s="122"/>
      <c r="G4" s="122"/>
      <c r="H4" s="122"/>
      <c r="I4" s="122"/>
      <c r="J4" s="79"/>
      <c r="K4" s="13"/>
      <c r="P4" s="99" t="s">
        <v>6</v>
      </c>
      <c r="Q4" s="100">
        <v>3.2000000000000001E-2</v>
      </c>
      <c r="R4" s="101">
        <v>2.4E-2</v>
      </c>
      <c r="S4" s="101">
        <v>7.0000000000000001E-3</v>
      </c>
      <c r="T4" s="122"/>
      <c r="U4" s="122"/>
      <c r="V4" s="122"/>
    </row>
    <row r="5" spans="1:37" ht="3.75" customHeight="1" x14ac:dyDescent="0.25">
      <c r="A5" s="614"/>
      <c r="B5" s="615"/>
      <c r="C5" s="615"/>
      <c r="D5" s="616"/>
      <c r="E5" s="122"/>
      <c r="F5" s="122"/>
      <c r="G5" s="122"/>
      <c r="H5" s="122"/>
      <c r="I5" s="122"/>
      <c r="J5" s="79"/>
      <c r="K5" s="13"/>
      <c r="P5" s="99" t="s">
        <v>7</v>
      </c>
      <c r="Q5" s="100">
        <v>3.2000000000000001E-2</v>
      </c>
      <c r="R5" s="101">
        <v>2.4E-2</v>
      </c>
      <c r="S5" s="101">
        <v>6.0000000000000001E-3</v>
      </c>
      <c r="T5" s="122"/>
      <c r="U5" s="122"/>
      <c r="V5" s="122"/>
    </row>
    <row r="6" spans="1:37" x14ac:dyDescent="0.25">
      <c r="A6" s="256" t="s">
        <v>24</v>
      </c>
      <c r="B6" s="263" t="s">
        <v>211</v>
      </c>
      <c r="C6" s="308" t="s">
        <v>26</v>
      </c>
      <c r="D6" s="472">
        <v>6.86</v>
      </c>
      <c r="E6" s="122"/>
      <c r="F6" s="122"/>
      <c r="G6" s="122"/>
      <c r="H6" s="122"/>
      <c r="I6" s="122"/>
      <c r="J6" s="79"/>
      <c r="K6" s="13"/>
      <c r="P6" s="99" t="s">
        <v>1</v>
      </c>
      <c r="Q6" s="100">
        <v>3.2000000000000001E-2</v>
      </c>
      <c r="R6" s="101">
        <v>2.4E-2</v>
      </c>
      <c r="S6" s="101">
        <v>6.0000000000000001E-3</v>
      </c>
      <c r="T6" s="122"/>
      <c r="U6" s="122"/>
      <c r="V6" s="122"/>
    </row>
    <row r="7" spans="1:37" x14ac:dyDescent="0.25">
      <c r="A7" s="256" t="s">
        <v>25</v>
      </c>
      <c r="B7" s="470" t="s">
        <v>211</v>
      </c>
      <c r="C7" s="308" t="s">
        <v>296</v>
      </c>
      <c r="D7" s="459">
        <v>44504</v>
      </c>
      <c r="E7" s="122"/>
      <c r="F7" s="122"/>
      <c r="G7" s="122"/>
      <c r="H7" s="122"/>
      <c r="I7" s="122"/>
      <c r="J7" s="79"/>
      <c r="K7" s="13"/>
      <c r="R7" s="97"/>
      <c r="T7" s="122"/>
      <c r="U7" s="122"/>
      <c r="V7" s="122"/>
    </row>
    <row r="8" spans="1:37" x14ac:dyDescent="0.25">
      <c r="A8" s="306" t="s">
        <v>65</v>
      </c>
      <c r="B8" s="471" t="s">
        <v>9</v>
      </c>
      <c r="C8" s="309" t="s">
        <v>138</v>
      </c>
      <c r="D8" s="473" t="s">
        <v>139</v>
      </c>
      <c r="E8" s="122"/>
      <c r="F8" s="122"/>
      <c r="G8" s="122"/>
      <c r="H8" s="122"/>
      <c r="I8" s="122"/>
      <c r="J8" s="79"/>
      <c r="K8" s="13"/>
      <c r="P8" s="97"/>
      <c r="R8" s="97"/>
      <c r="T8" s="122"/>
      <c r="U8" s="122"/>
      <c r="V8" s="122"/>
    </row>
    <row r="9" spans="1:37" x14ac:dyDescent="0.25">
      <c r="A9" s="307" t="s">
        <v>131</v>
      </c>
      <c r="B9" s="263" t="s">
        <v>211</v>
      </c>
      <c r="C9" s="309" t="s">
        <v>304</v>
      </c>
      <c r="D9" s="459">
        <v>33151</v>
      </c>
      <c r="E9" s="122"/>
      <c r="F9" s="122"/>
      <c r="G9" s="122"/>
      <c r="H9" s="122"/>
      <c r="I9" s="122"/>
      <c r="J9" s="79"/>
      <c r="K9" s="13"/>
      <c r="P9" s="98" t="s">
        <v>75</v>
      </c>
      <c r="R9" s="97"/>
      <c r="T9" s="122"/>
      <c r="U9" s="122"/>
      <c r="V9" s="122"/>
    </row>
    <row r="10" spans="1:37" ht="16.5" customHeight="1" x14ac:dyDescent="0.25">
      <c r="A10" s="307" t="s">
        <v>262</v>
      </c>
      <c r="B10" s="263" t="s">
        <v>263</v>
      </c>
      <c r="C10" s="309" t="s">
        <v>305</v>
      </c>
      <c r="D10" s="459">
        <v>29499</v>
      </c>
      <c r="E10" s="122"/>
      <c r="F10" s="122"/>
      <c r="G10" s="122"/>
      <c r="H10" s="122"/>
      <c r="I10" s="122"/>
      <c r="K10" s="79" t="s">
        <v>264</v>
      </c>
      <c r="P10" s="98" t="s">
        <v>69</v>
      </c>
      <c r="R10" s="97"/>
      <c r="T10" s="122"/>
      <c r="U10" s="122"/>
      <c r="V10" s="122"/>
      <c r="AC10" s="122"/>
      <c r="AD10" s="122"/>
      <c r="AE10" s="122"/>
      <c r="AF10" s="122"/>
      <c r="AG10" s="122"/>
      <c r="AH10" s="122"/>
      <c r="AI10" s="122"/>
      <c r="AJ10" s="122"/>
      <c r="AK10" s="122"/>
    </row>
    <row r="11" spans="1:37" x14ac:dyDescent="0.25">
      <c r="A11" s="536" t="s">
        <v>5</v>
      </c>
      <c r="B11" s="537"/>
      <c r="C11" s="537"/>
      <c r="D11" s="538"/>
      <c r="E11" s="122"/>
      <c r="F11" s="122"/>
      <c r="G11" s="122"/>
      <c r="H11" s="122"/>
      <c r="I11" s="122"/>
      <c r="K11" s="79" t="s">
        <v>263</v>
      </c>
      <c r="Q11" s="98" t="s">
        <v>72</v>
      </c>
      <c r="R11" s="97" t="s">
        <v>64</v>
      </c>
      <c r="S11" s="97" t="s">
        <v>63</v>
      </c>
      <c r="T11" s="122"/>
      <c r="U11" s="122"/>
      <c r="V11" s="122"/>
      <c r="AC11" s="122"/>
      <c r="AD11" s="122"/>
      <c r="AE11" s="122"/>
      <c r="AF11" s="122"/>
      <c r="AG11" s="122"/>
      <c r="AH11" s="122"/>
      <c r="AI11" s="122"/>
      <c r="AJ11" s="122"/>
      <c r="AK11" s="122"/>
    </row>
    <row r="12" spans="1:37" x14ac:dyDescent="0.25">
      <c r="A12" s="231" t="s">
        <v>22</v>
      </c>
      <c r="B12" s="232"/>
      <c r="C12" s="233" t="s">
        <v>4</v>
      </c>
      <c r="D12" s="234" t="s">
        <v>29</v>
      </c>
      <c r="E12" s="122"/>
      <c r="F12" s="122"/>
      <c r="G12" s="122"/>
      <c r="H12" s="122"/>
      <c r="I12" s="122"/>
      <c r="J12" s="79"/>
      <c r="K12" s="13"/>
      <c r="P12" s="98">
        <v>0</v>
      </c>
      <c r="Q12" s="98">
        <v>880</v>
      </c>
      <c r="R12" s="103">
        <v>0.25</v>
      </c>
      <c r="S12" s="103">
        <v>0.25</v>
      </c>
      <c r="T12" s="122"/>
      <c r="U12" s="122"/>
      <c r="V12" s="122"/>
      <c r="AC12" s="122"/>
      <c r="AD12" s="122"/>
      <c r="AE12" s="122"/>
      <c r="AF12" s="122"/>
      <c r="AG12" s="122"/>
      <c r="AH12" s="122"/>
      <c r="AI12" s="122"/>
      <c r="AJ12" s="122"/>
      <c r="AK12" s="122"/>
    </row>
    <row r="13" spans="1:37" x14ac:dyDescent="0.25">
      <c r="A13" s="310" t="s">
        <v>77</v>
      </c>
      <c r="B13" s="235"/>
      <c r="C13" s="441" t="s">
        <v>114</v>
      </c>
      <c r="D13" s="441" t="s">
        <v>114</v>
      </c>
      <c r="E13" s="122"/>
      <c r="F13" s="122"/>
      <c r="G13" s="122"/>
      <c r="H13" s="122"/>
      <c r="I13" s="122"/>
      <c r="J13" s="79"/>
      <c r="K13" s="13"/>
      <c r="P13" s="98">
        <v>881</v>
      </c>
      <c r="Q13" s="98">
        <v>1770</v>
      </c>
      <c r="R13" s="103">
        <v>0.25</v>
      </c>
      <c r="S13" s="103">
        <v>0.28000000000000003</v>
      </c>
      <c r="T13" s="122"/>
      <c r="U13" s="122"/>
      <c r="V13" s="122"/>
      <c r="AC13" s="122"/>
      <c r="AD13" s="122"/>
      <c r="AE13" s="122"/>
      <c r="AF13" s="122"/>
      <c r="AG13" s="122"/>
      <c r="AH13" s="122"/>
      <c r="AI13" s="122"/>
      <c r="AJ13" s="122"/>
      <c r="AK13" s="122"/>
    </row>
    <row r="14" spans="1:37" x14ac:dyDescent="0.25">
      <c r="A14" s="608" t="s">
        <v>54</v>
      </c>
      <c r="B14" s="236" t="s">
        <v>55</v>
      </c>
      <c r="C14" s="474">
        <v>0</v>
      </c>
      <c r="D14" s="474"/>
      <c r="E14" s="122"/>
      <c r="F14" s="122"/>
      <c r="G14" s="122"/>
      <c r="H14" s="122"/>
      <c r="I14" s="122"/>
      <c r="J14" s="79"/>
      <c r="K14" s="13"/>
      <c r="P14" s="98">
        <v>1771</v>
      </c>
      <c r="Q14" s="98">
        <v>2660</v>
      </c>
      <c r="R14" s="103">
        <v>0.28000000000000003</v>
      </c>
      <c r="S14" s="103">
        <v>0.32</v>
      </c>
      <c r="T14" s="122"/>
      <c r="U14" s="122"/>
      <c r="V14" s="122"/>
      <c r="AC14" s="122"/>
      <c r="AD14" s="122"/>
      <c r="AE14" s="122"/>
      <c r="AF14" s="122"/>
      <c r="AG14" s="122"/>
      <c r="AH14" s="122"/>
      <c r="AI14" s="122"/>
      <c r="AJ14" s="122"/>
      <c r="AK14" s="122"/>
    </row>
    <row r="15" spans="1:37" x14ac:dyDescent="0.25">
      <c r="A15" s="609"/>
      <c r="B15" s="236" t="s">
        <v>56</v>
      </c>
      <c r="C15" s="474">
        <v>0</v>
      </c>
      <c r="D15" s="474"/>
      <c r="E15" s="122"/>
      <c r="F15" s="122"/>
      <c r="G15" s="122"/>
      <c r="H15" s="122"/>
      <c r="I15" s="122"/>
      <c r="J15" s="79"/>
      <c r="K15" s="13"/>
      <c r="P15" s="98">
        <v>2661</v>
      </c>
      <c r="Q15" s="98">
        <v>3550</v>
      </c>
      <c r="R15" s="103">
        <v>0.3</v>
      </c>
      <c r="S15" s="103">
        <v>0.34</v>
      </c>
      <c r="T15" s="122"/>
      <c r="U15" s="122"/>
      <c r="V15" s="122"/>
      <c r="AC15" s="122"/>
      <c r="AD15" s="122"/>
      <c r="AE15" s="122"/>
      <c r="AF15" s="122"/>
      <c r="AG15" s="122"/>
      <c r="AH15" s="122"/>
      <c r="AI15" s="122"/>
      <c r="AJ15" s="122"/>
      <c r="AK15" s="122"/>
    </row>
    <row r="16" spans="1:37" x14ac:dyDescent="0.25">
      <c r="A16" s="609"/>
      <c r="B16" s="236" t="s">
        <v>57</v>
      </c>
      <c r="C16" s="474">
        <v>0</v>
      </c>
      <c r="D16" s="474"/>
      <c r="E16" s="122"/>
      <c r="F16" s="122"/>
      <c r="G16" s="122"/>
      <c r="H16" s="122"/>
      <c r="I16" s="122"/>
      <c r="J16" s="79"/>
      <c r="K16" s="13"/>
      <c r="P16" s="98">
        <v>3551</v>
      </c>
      <c r="R16" s="103">
        <v>0.35</v>
      </c>
      <c r="S16" s="103">
        <v>0.4</v>
      </c>
      <c r="T16" s="122"/>
      <c r="U16" s="122"/>
      <c r="V16" s="122"/>
      <c r="AC16" s="122"/>
      <c r="AD16" s="122"/>
      <c r="AE16" s="122"/>
      <c r="AF16" s="122"/>
      <c r="AG16" s="122"/>
      <c r="AH16" s="122"/>
      <c r="AI16" s="122"/>
      <c r="AJ16" s="122"/>
      <c r="AK16" s="122"/>
    </row>
    <row r="17" spans="1:37" x14ac:dyDescent="0.25">
      <c r="A17" s="609"/>
      <c r="B17" s="236" t="s">
        <v>58</v>
      </c>
      <c r="C17" s="474"/>
      <c r="D17" s="474"/>
      <c r="E17" s="122"/>
      <c r="F17" s="122"/>
      <c r="G17" s="122"/>
      <c r="H17" s="122"/>
      <c r="I17" s="122"/>
      <c r="J17" s="79"/>
      <c r="K17" s="13"/>
      <c r="L17" s="79" t="s">
        <v>4</v>
      </c>
      <c r="M17" s="195">
        <f>(C130+C150+C30+C28-C31)/6.86</f>
        <v>1457.7259475218659</v>
      </c>
      <c r="P17" s="97"/>
      <c r="Q17" s="97"/>
      <c r="R17" s="97"/>
      <c r="T17" s="122"/>
      <c r="U17" s="122"/>
      <c r="V17" s="122"/>
      <c r="AC17" s="122"/>
      <c r="AD17" s="122"/>
      <c r="AE17" s="122"/>
      <c r="AF17" s="122"/>
      <c r="AG17" s="122"/>
      <c r="AH17" s="122"/>
      <c r="AI17" s="122"/>
      <c r="AJ17" s="122"/>
      <c r="AK17" s="122"/>
    </row>
    <row r="18" spans="1:37" x14ac:dyDescent="0.25">
      <c r="A18" s="609"/>
      <c r="B18" s="236" t="s">
        <v>59</v>
      </c>
      <c r="C18" s="474"/>
      <c r="D18" s="474"/>
      <c r="E18" s="122"/>
      <c r="F18" s="122"/>
      <c r="G18" s="122"/>
      <c r="H18" s="122"/>
      <c r="I18" s="122"/>
      <c r="J18" s="79"/>
      <c r="K18" s="13"/>
      <c r="L18" s="79" t="s">
        <v>29</v>
      </c>
      <c r="M18" s="195">
        <f>(C130+C150+D30+D28-D31)/6.86</f>
        <v>0</v>
      </c>
      <c r="R18" s="97"/>
      <c r="T18" s="122"/>
      <c r="U18" s="122"/>
      <c r="V18" s="122"/>
      <c r="AC18" s="122"/>
      <c r="AD18" s="122"/>
      <c r="AE18" s="122"/>
      <c r="AF18" s="122"/>
      <c r="AG18" s="122"/>
      <c r="AH18" s="122"/>
      <c r="AI18" s="122"/>
      <c r="AJ18" s="122"/>
      <c r="AK18" s="122"/>
    </row>
    <row r="19" spans="1:37" x14ac:dyDescent="0.25">
      <c r="A19" s="609"/>
      <c r="B19" s="236" t="s">
        <v>60</v>
      </c>
      <c r="C19" s="474"/>
      <c r="D19" s="474"/>
      <c r="E19" s="122"/>
      <c r="F19" s="122"/>
      <c r="G19" s="122"/>
      <c r="H19" s="122"/>
      <c r="I19" s="122"/>
      <c r="J19" s="79"/>
      <c r="K19" s="13"/>
      <c r="L19" s="79"/>
      <c r="M19" s="79">
        <f>IF(M17&gt;M18,M17,M18)</f>
        <v>1457.7259475218659</v>
      </c>
      <c r="R19" s="97"/>
      <c r="T19" s="122"/>
      <c r="U19" s="122"/>
      <c r="V19" s="122"/>
      <c r="AC19" s="122"/>
      <c r="AD19" s="122"/>
      <c r="AE19" s="122"/>
      <c r="AF19" s="122"/>
      <c r="AG19" s="122"/>
      <c r="AH19" s="122"/>
      <c r="AI19" s="122"/>
      <c r="AJ19" s="122"/>
      <c r="AK19" s="122"/>
    </row>
    <row r="20" spans="1:37" x14ac:dyDescent="0.25">
      <c r="A20" s="609"/>
      <c r="B20" s="236" t="s">
        <v>125</v>
      </c>
      <c r="C20" s="474"/>
      <c r="D20" s="474"/>
      <c r="E20" s="122"/>
      <c r="F20" s="122"/>
      <c r="G20" s="122"/>
      <c r="H20" s="122"/>
      <c r="I20" s="122"/>
      <c r="J20" s="79"/>
      <c r="K20" s="13"/>
      <c r="P20" s="98" t="s">
        <v>71</v>
      </c>
      <c r="R20" s="97"/>
      <c r="T20" s="122"/>
      <c r="U20" s="122"/>
      <c r="V20" s="122"/>
      <c r="AC20" s="122"/>
      <c r="AD20" s="122"/>
      <c r="AE20" s="122"/>
      <c r="AF20" s="122"/>
      <c r="AG20" s="122"/>
      <c r="AH20" s="122"/>
      <c r="AI20" s="122"/>
      <c r="AJ20" s="122"/>
      <c r="AK20" s="122"/>
    </row>
    <row r="21" spans="1:37" x14ac:dyDescent="0.25">
      <c r="A21" s="609"/>
      <c r="B21" s="236" t="s">
        <v>126</v>
      </c>
      <c r="C21" s="474"/>
      <c r="D21" s="474"/>
      <c r="E21" s="122"/>
      <c r="F21" s="122"/>
      <c r="G21" s="122"/>
      <c r="H21" s="122"/>
      <c r="I21" s="122"/>
      <c r="J21" s="79"/>
      <c r="K21" s="13"/>
      <c r="Q21" s="97"/>
      <c r="R21" s="97"/>
      <c r="T21" s="122"/>
      <c r="U21" s="122"/>
      <c r="V21" s="122"/>
      <c r="AC21" s="122"/>
      <c r="AD21" s="122"/>
      <c r="AE21" s="122"/>
      <c r="AF21" s="122"/>
      <c r="AG21" s="122"/>
      <c r="AH21" s="122"/>
      <c r="AI21" s="122"/>
      <c r="AJ21" s="122"/>
      <c r="AK21" s="122"/>
    </row>
    <row r="22" spans="1:37" x14ac:dyDescent="0.25">
      <c r="A22" s="609"/>
      <c r="B22" s="236" t="s">
        <v>127</v>
      </c>
      <c r="C22" s="474"/>
      <c r="D22" s="474"/>
      <c r="E22" s="122"/>
      <c r="F22" s="122"/>
      <c r="G22" s="122"/>
      <c r="H22" s="122"/>
      <c r="I22" s="122"/>
      <c r="J22" s="79"/>
      <c r="K22" s="13"/>
      <c r="L22" s="98" t="s">
        <v>212</v>
      </c>
      <c r="M22" s="14" t="s">
        <v>9</v>
      </c>
      <c r="N22" s="14" t="s">
        <v>139</v>
      </c>
      <c r="Q22" s="98" t="s">
        <v>66</v>
      </c>
      <c r="R22" s="98" t="s">
        <v>6</v>
      </c>
      <c r="S22" s="98" t="s">
        <v>1</v>
      </c>
      <c r="T22" s="122"/>
      <c r="U22" s="122"/>
      <c r="V22" s="122"/>
      <c r="AC22" s="122"/>
      <c r="AD22" s="122"/>
      <c r="AE22" s="122"/>
      <c r="AF22" s="122"/>
      <c r="AG22" s="122"/>
      <c r="AH22" s="122"/>
      <c r="AI22" s="122"/>
      <c r="AJ22" s="122"/>
      <c r="AK22" s="122"/>
    </row>
    <row r="23" spans="1:37" x14ac:dyDescent="0.25">
      <c r="A23" s="609"/>
      <c r="B23" s="236" t="s">
        <v>128</v>
      </c>
      <c r="C23" s="474"/>
      <c r="D23" s="474"/>
      <c r="E23" s="122"/>
      <c r="F23" s="122"/>
      <c r="G23" s="122"/>
      <c r="H23" s="122"/>
      <c r="I23" s="122"/>
      <c r="J23" s="79"/>
      <c r="K23" s="13"/>
      <c r="L23" s="98" t="s">
        <v>211</v>
      </c>
      <c r="M23" s="159" t="s">
        <v>196</v>
      </c>
      <c r="N23" s="98" t="s">
        <v>205</v>
      </c>
      <c r="P23" s="98">
        <v>0</v>
      </c>
      <c r="Q23" s="98">
        <v>880</v>
      </c>
      <c r="R23" s="111">
        <v>0.25</v>
      </c>
      <c r="S23" s="111">
        <v>0.25</v>
      </c>
      <c r="T23" s="122"/>
      <c r="U23" s="122"/>
      <c r="V23" s="122"/>
      <c r="AC23" s="122"/>
      <c r="AD23" s="122"/>
      <c r="AE23" s="122"/>
      <c r="AF23" s="122"/>
      <c r="AG23" s="122"/>
      <c r="AH23" s="122"/>
      <c r="AI23" s="122"/>
      <c r="AJ23" s="122"/>
      <c r="AK23" s="122"/>
    </row>
    <row r="24" spans="1:37" x14ac:dyDescent="0.25">
      <c r="A24" s="609"/>
      <c r="B24" s="236" t="s">
        <v>129</v>
      </c>
      <c r="C24" s="474"/>
      <c r="D24" s="474"/>
      <c r="E24" s="122"/>
      <c r="F24" s="122"/>
      <c r="G24" s="122"/>
      <c r="H24" s="122"/>
      <c r="I24" s="122"/>
      <c r="J24" s="79"/>
      <c r="K24" s="13"/>
      <c r="L24" s="98"/>
      <c r="N24" s="14" t="s">
        <v>135</v>
      </c>
      <c r="P24" s="98">
        <v>881</v>
      </c>
      <c r="Q24" s="98">
        <v>1770</v>
      </c>
      <c r="R24" s="111">
        <v>0.25</v>
      </c>
      <c r="S24" s="111">
        <v>0.28000000000000003</v>
      </c>
      <c r="T24" s="122"/>
      <c r="U24" s="122"/>
      <c r="V24" s="122"/>
      <c r="AC24" s="122"/>
      <c r="AD24" s="122"/>
      <c r="AE24" s="122"/>
      <c r="AF24" s="122"/>
      <c r="AG24" s="122"/>
      <c r="AH24" s="122"/>
      <c r="AI24" s="122"/>
      <c r="AJ24" s="122"/>
      <c r="AK24" s="122"/>
    </row>
    <row r="25" spans="1:37" x14ac:dyDescent="0.25">
      <c r="A25" s="609"/>
      <c r="B25" s="236" t="s">
        <v>130</v>
      </c>
      <c r="C25" s="474"/>
      <c r="D25" s="474"/>
      <c r="E25" s="122"/>
      <c r="F25" s="122"/>
      <c r="G25" s="122"/>
      <c r="H25" s="122"/>
      <c r="I25" s="122"/>
      <c r="J25" s="79"/>
      <c r="K25" s="13"/>
      <c r="L25" s="98"/>
      <c r="N25" s="14" t="s">
        <v>140</v>
      </c>
      <c r="P25" s="98">
        <v>1771</v>
      </c>
      <c r="Q25" s="98">
        <v>2660</v>
      </c>
      <c r="R25" s="111">
        <v>0.28000000000000003</v>
      </c>
      <c r="S25" s="111">
        <v>0.32</v>
      </c>
      <c r="T25" s="122"/>
      <c r="U25" s="122"/>
      <c r="V25" s="122"/>
      <c r="AC25" s="122"/>
      <c r="AD25" s="122"/>
      <c r="AE25" s="122"/>
      <c r="AF25" s="122"/>
      <c r="AG25" s="122"/>
      <c r="AH25" s="122"/>
      <c r="AI25" s="122"/>
      <c r="AJ25" s="122"/>
      <c r="AK25" s="122"/>
    </row>
    <row r="26" spans="1:37" x14ac:dyDescent="0.25">
      <c r="A26" s="609"/>
      <c r="B26" s="236" t="s">
        <v>61</v>
      </c>
      <c r="C26" s="442">
        <f>IFERROR(AVERAGE(C14:C25),)</f>
        <v>0</v>
      </c>
      <c r="D26" s="442">
        <f>IFERROR(AVERAGE(D14:D25),)</f>
        <v>0</v>
      </c>
      <c r="E26" s="122"/>
      <c r="F26" s="122"/>
      <c r="G26" s="122"/>
      <c r="H26" s="122"/>
      <c r="I26" s="122"/>
      <c r="J26" s="122"/>
      <c r="K26" s="98" t="s">
        <v>328</v>
      </c>
      <c r="L26" s="98"/>
      <c r="N26" s="14" t="s">
        <v>136</v>
      </c>
      <c r="P26" s="98">
        <v>2661</v>
      </c>
      <c r="Q26" s="98">
        <v>3550</v>
      </c>
      <c r="R26" s="111">
        <v>0.3</v>
      </c>
      <c r="S26" s="111">
        <v>0.34</v>
      </c>
      <c r="T26" s="122"/>
      <c r="U26" s="122"/>
      <c r="V26" s="122"/>
      <c r="AC26" s="122"/>
      <c r="AD26" s="122"/>
      <c r="AE26" s="122"/>
      <c r="AF26" s="122"/>
      <c r="AG26" s="122"/>
      <c r="AH26" s="122"/>
      <c r="AI26" s="122"/>
      <c r="AJ26" s="122"/>
      <c r="AK26" s="122"/>
    </row>
    <row r="27" spans="1:37" x14ac:dyDescent="0.25">
      <c r="A27" s="609"/>
      <c r="B27" s="237" t="s">
        <v>62</v>
      </c>
      <c r="C27" s="442">
        <f>C26*VLOOKUP(C13,$P$35:$Q$45,2,FALSE)</f>
        <v>0</v>
      </c>
      <c r="D27" s="442">
        <f>D26*VLOOKUP(D13,$P$35:$Q$45,2,FALSE)</f>
        <v>0</v>
      </c>
      <c r="E27" s="122"/>
      <c r="F27" s="122"/>
      <c r="G27" s="122"/>
      <c r="H27" s="122"/>
      <c r="I27" s="122"/>
      <c r="J27" s="122" t="s">
        <v>122</v>
      </c>
      <c r="K27" s="98">
        <f>+((E37+F37)*0.6%*0.56%)/$D$6</f>
        <v>0</v>
      </c>
      <c r="L27" s="98"/>
      <c r="N27" s="14" t="s">
        <v>145</v>
      </c>
      <c r="P27" s="98">
        <v>3551</v>
      </c>
      <c r="R27" s="111">
        <v>0.35</v>
      </c>
      <c r="S27" s="111">
        <v>0.4</v>
      </c>
      <c r="T27" s="122"/>
      <c r="U27" s="122"/>
      <c r="V27" s="122"/>
      <c r="AC27" s="122"/>
      <c r="AD27" s="122"/>
      <c r="AE27" s="122"/>
      <c r="AF27" s="122"/>
      <c r="AG27" s="122"/>
      <c r="AH27" s="122"/>
      <c r="AI27" s="122"/>
      <c r="AJ27" s="122"/>
      <c r="AK27" s="122"/>
    </row>
    <row r="28" spans="1:37" x14ac:dyDescent="0.25">
      <c r="A28" s="610"/>
      <c r="B28" s="237" t="s">
        <v>87</v>
      </c>
      <c r="C28" s="442">
        <f>IFERROR(C27,0)</f>
        <v>0</v>
      </c>
      <c r="D28" s="442">
        <f>IFERROR(D27,0)</f>
        <v>0</v>
      </c>
      <c r="E28" s="122"/>
      <c r="F28" s="122"/>
      <c r="G28" s="122"/>
      <c r="H28" s="122"/>
      <c r="I28" s="122"/>
      <c r="J28" s="122" t="s">
        <v>69</v>
      </c>
      <c r="K28" s="98">
        <f>+((E38+F38)*2.4%*3.49%)/$D$6</f>
        <v>0</v>
      </c>
      <c r="P28" s="97"/>
      <c r="Q28" s="97"/>
      <c r="R28" s="97"/>
      <c r="T28" s="122"/>
      <c r="U28" s="122"/>
      <c r="V28" s="122"/>
      <c r="AC28" s="122"/>
      <c r="AD28" s="122"/>
      <c r="AE28" s="122"/>
      <c r="AF28" s="122"/>
      <c r="AG28" s="122"/>
      <c r="AH28" s="122"/>
      <c r="AI28" s="122"/>
      <c r="AJ28" s="122"/>
      <c r="AK28" s="122"/>
    </row>
    <row r="29" spans="1:37" x14ac:dyDescent="0.25">
      <c r="A29" s="307" t="s">
        <v>76</v>
      </c>
      <c r="B29" s="238">
        <f>C29+D29</f>
        <v>0</v>
      </c>
      <c r="C29" s="250"/>
      <c r="D29" s="250">
        <v>0</v>
      </c>
      <c r="E29" s="122"/>
      <c r="F29" s="122"/>
      <c r="G29" s="122"/>
      <c r="H29" s="122"/>
      <c r="I29" s="122"/>
      <c r="J29" s="122" t="s">
        <v>68</v>
      </c>
      <c r="K29" s="98">
        <f>+((E39+F39)*3.2%*2.3%)/$D$6</f>
        <v>0</v>
      </c>
      <c r="R29" s="97"/>
      <c r="T29" s="122"/>
      <c r="U29" s="122"/>
      <c r="V29" s="122"/>
      <c r="AC29" s="122"/>
      <c r="AD29" s="122"/>
      <c r="AE29" s="122"/>
      <c r="AF29" s="122"/>
      <c r="AG29" s="122"/>
      <c r="AH29" s="122"/>
      <c r="AI29" s="122"/>
      <c r="AJ29" s="122"/>
      <c r="AK29" s="122"/>
    </row>
    <row r="30" spans="1:37" x14ac:dyDescent="0.25">
      <c r="A30" s="256" t="s">
        <v>309</v>
      </c>
      <c r="B30" s="240">
        <f>C30+D30</f>
        <v>10000</v>
      </c>
      <c r="C30" s="250">
        <v>10000</v>
      </c>
      <c r="D30" s="250">
        <v>0</v>
      </c>
      <c r="E30" s="122"/>
      <c r="F30" s="122"/>
      <c r="G30" s="122"/>
      <c r="H30" s="122"/>
      <c r="I30" s="122"/>
      <c r="J30" s="122" t="s">
        <v>327</v>
      </c>
      <c r="K30" s="98">
        <f>+((E42+F42)*2.4%*5.28%)/$D$6</f>
        <v>0</v>
      </c>
      <c r="R30" s="97"/>
      <c r="T30" s="122"/>
      <c r="U30" s="122"/>
      <c r="V30" s="122"/>
      <c r="AC30" s="122"/>
      <c r="AD30" s="122"/>
      <c r="AE30" s="122"/>
      <c r="AF30" s="122"/>
      <c r="AG30" s="122"/>
      <c r="AH30" s="122"/>
      <c r="AI30" s="122"/>
      <c r="AJ30" s="122"/>
      <c r="AK30" s="122"/>
    </row>
    <row r="31" spans="1:37" ht="24.75" hidden="1" customHeight="1" x14ac:dyDescent="0.25">
      <c r="A31" s="256" t="s">
        <v>123</v>
      </c>
      <c r="B31" s="240">
        <f>SUM(C31:D31)</f>
        <v>0</v>
      </c>
      <c r="C31" s="443">
        <v>0</v>
      </c>
      <c r="D31" s="443">
        <v>0</v>
      </c>
      <c r="E31" s="122"/>
      <c r="F31" s="122"/>
      <c r="G31" s="122"/>
      <c r="H31" s="122"/>
      <c r="I31" s="122"/>
      <c r="J31" s="122"/>
      <c r="K31" s="98"/>
      <c r="R31" s="97"/>
      <c r="T31" s="122"/>
      <c r="U31" s="122"/>
      <c r="V31" s="122"/>
      <c r="AC31" s="122"/>
      <c r="AD31" s="122"/>
      <c r="AE31" s="122"/>
      <c r="AF31" s="122"/>
      <c r="AG31" s="122"/>
      <c r="AH31" s="122"/>
      <c r="AI31" s="122"/>
      <c r="AJ31" s="122"/>
      <c r="AK31" s="122"/>
    </row>
    <row r="32" spans="1:37" ht="21" x14ac:dyDescent="0.25">
      <c r="A32" s="256" t="s">
        <v>31</v>
      </c>
      <c r="B32" s="427">
        <f>((B29*0.82)+B30+C28+D28-B31)/D6</f>
        <v>1457.7259475218659</v>
      </c>
      <c r="C32" s="241"/>
      <c r="D32" s="242"/>
      <c r="E32" s="122"/>
      <c r="F32" s="243"/>
      <c r="G32" s="122"/>
      <c r="H32" s="122"/>
      <c r="I32" s="122"/>
      <c r="J32" s="122"/>
      <c r="K32" s="98" t="s">
        <v>329</v>
      </c>
      <c r="R32" s="97"/>
      <c r="T32" s="122"/>
      <c r="U32" s="122"/>
      <c r="V32" s="122"/>
      <c r="AC32" s="122"/>
      <c r="AD32" s="122"/>
      <c r="AE32" s="122"/>
      <c r="AF32" s="122"/>
      <c r="AG32" s="122"/>
      <c r="AH32" s="122"/>
      <c r="AI32" s="122"/>
      <c r="AJ32" s="122"/>
      <c r="AK32" s="122"/>
    </row>
    <row r="33" spans="1:37" ht="21" x14ac:dyDescent="0.25">
      <c r="A33" s="256" t="s">
        <v>30</v>
      </c>
      <c r="B33" s="244">
        <f xml:space="preserve">  IF(AND(B8=CONFIG!G2,OR(D8=CONFIG!K3,D8=CONFIG!K4)),VLOOKUP(D88,CONFIG!A1:B4,2,FALSE),
 IF(AND(B8=CONFIG!G2,D8=CONFIG!K2),  VLOOKUP(D88,CONFIG!A1:C4,3,FALSE),
 IF(AND(B8=CONFIG!G2,D8=CONFIG!L2), VLOOKUP(D88,CONFIG!A1:B4,2,FALSE),
 IF(AND(B8=CONFIG!G2,D8=CONFIG!K2),VLOOKUP(D88,CONFIG!A1:E4,4,FALSE),
 IF(AND(B8=CONFIG!G2,D8,CONFIG!L3),VLOOKUP(D88,CONFIG!A2:C4,3,FALSE),
 IF(AND(B8=CONFIG!G2,D8,CONFIG!L3),VLOOKUP(D88,CONFIG!A2:B4,2,FALSE),
 IF(B7=L22,LOOKUP(B32,P23:Q27,S23:S27),  LOOKUP(B32,P23:Q27,R23:R27)  )
 ) ) ) ) ))</f>
        <v>0.25</v>
      </c>
      <c r="C33" s="241"/>
      <c r="D33" s="242"/>
      <c r="E33" s="122"/>
      <c r="F33" s="485"/>
      <c r="G33" s="122"/>
      <c r="H33" s="122"/>
      <c r="I33" s="122"/>
      <c r="J33" s="122" t="s">
        <v>122</v>
      </c>
      <c r="K33" s="98">
        <f>+((E47+F47)*0.56%)/$D$6</f>
        <v>0</v>
      </c>
      <c r="P33" s="98" t="s">
        <v>86</v>
      </c>
      <c r="R33" s="97"/>
      <c r="T33" s="122"/>
      <c r="U33" s="122"/>
      <c r="V33" s="122"/>
      <c r="AC33" s="122"/>
      <c r="AD33" s="122"/>
      <c r="AE33" s="122"/>
      <c r="AF33" s="122"/>
      <c r="AG33" s="122"/>
      <c r="AH33" s="122"/>
      <c r="AI33" s="122"/>
      <c r="AJ33" s="122"/>
      <c r="AK33" s="122"/>
    </row>
    <row r="34" spans="1:37" x14ac:dyDescent="0.25">
      <c r="A34" s="311" t="s">
        <v>88</v>
      </c>
      <c r="B34" s="245">
        <f>B32*B33</f>
        <v>364.43148688046648</v>
      </c>
      <c r="C34" s="230" t="s">
        <v>95</v>
      </c>
      <c r="D34" s="246">
        <f>B34*D6</f>
        <v>2500</v>
      </c>
      <c r="E34" s="122"/>
      <c r="F34" s="122"/>
      <c r="G34" s="122"/>
      <c r="J34" s="122" t="s">
        <v>69</v>
      </c>
      <c r="K34" s="98">
        <f>+((E48+F48)*3.49%)/$D$6</f>
        <v>0</v>
      </c>
      <c r="R34" s="97"/>
      <c r="T34" s="122"/>
      <c r="U34" s="122"/>
      <c r="V34" s="122"/>
      <c r="AC34" s="122"/>
      <c r="AD34" s="122"/>
      <c r="AE34" s="122"/>
      <c r="AF34" s="122"/>
      <c r="AG34" s="122"/>
      <c r="AH34" s="122"/>
      <c r="AI34" s="122"/>
      <c r="AJ34" s="122"/>
      <c r="AK34" s="122"/>
    </row>
    <row r="35" spans="1:37" x14ac:dyDescent="0.25">
      <c r="A35" s="417"/>
      <c r="B35" s="409"/>
      <c r="C35" s="412" t="s">
        <v>317</v>
      </c>
      <c r="D35" s="418"/>
      <c r="E35" s="385" t="s">
        <v>318</v>
      </c>
      <c r="F35" s="122"/>
      <c r="G35" s="122"/>
      <c r="J35" s="122" t="s">
        <v>68</v>
      </c>
      <c r="K35" s="98">
        <f>+((E49+F49)*3.2%*2.3%)/$D$6</f>
        <v>0</v>
      </c>
      <c r="P35" s="88" t="s">
        <v>79</v>
      </c>
      <c r="Q35" s="117">
        <v>0.62</v>
      </c>
      <c r="R35" s="97"/>
      <c r="T35" s="122"/>
      <c r="U35" s="122"/>
      <c r="V35" s="122"/>
      <c r="AC35" s="122"/>
      <c r="AD35" s="122"/>
      <c r="AE35" s="122"/>
      <c r="AF35" s="122"/>
      <c r="AG35" s="122"/>
      <c r="AH35" s="122"/>
      <c r="AI35" s="122"/>
      <c r="AJ35" s="122"/>
      <c r="AK35" s="122"/>
    </row>
    <row r="36" spans="1:37" ht="15.75" thickBot="1" x14ac:dyDescent="0.3">
      <c r="A36" s="231" t="s">
        <v>19</v>
      </c>
      <c r="B36" s="232" t="s">
        <v>12</v>
      </c>
      <c r="C36" s="426" t="s">
        <v>4</v>
      </c>
      <c r="D36" s="426" t="s">
        <v>29</v>
      </c>
      <c r="E36" s="426" t="s">
        <v>4</v>
      </c>
      <c r="F36" s="426" t="s">
        <v>29</v>
      </c>
      <c r="G36" s="122"/>
      <c r="H36" s="122"/>
      <c r="I36" s="122"/>
      <c r="J36" s="122" t="s">
        <v>327</v>
      </c>
      <c r="K36" s="98">
        <f>+((E50+F50)*5.28%)/$D$6</f>
        <v>0</v>
      </c>
      <c r="P36" s="88" t="s">
        <v>80</v>
      </c>
      <c r="Q36" s="117">
        <v>0.75</v>
      </c>
      <c r="R36" s="97"/>
      <c r="T36" s="122"/>
      <c r="U36" s="122"/>
      <c r="V36" s="122"/>
      <c r="AC36" s="122"/>
      <c r="AD36" s="122"/>
      <c r="AE36" s="122"/>
      <c r="AF36" s="122"/>
      <c r="AG36" s="122"/>
      <c r="AH36" s="122"/>
      <c r="AI36" s="122"/>
      <c r="AJ36" s="122"/>
      <c r="AK36" s="122"/>
    </row>
    <row r="37" spans="1:37" ht="15.75" thickBot="1" x14ac:dyDescent="0.3">
      <c r="A37" s="307" t="s">
        <v>10</v>
      </c>
      <c r="B37" s="247">
        <f>((IF(B7="SI",(C37+D37)*$S$6,IF(B6="SI",(C37+D37)*$S$5,(C37+D37)*$S$4)))+((E37+F37)*0.6%*0.56%))/$D$6</f>
        <v>0</v>
      </c>
      <c r="C37" s="250"/>
      <c r="D37" s="250"/>
      <c r="E37" s="250"/>
      <c r="F37" s="250"/>
      <c r="G37" s="122"/>
      <c r="H37" s="122"/>
      <c r="I37" s="122"/>
      <c r="K37" s="13"/>
      <c r="L37" s="97" t="s">
        <v>207</v>
      </c>
      <c r="M37" s="163">
        <f>+IF(B7=L22,LOOKUP(B32,P23:Q27,S23:S27),LOOKUP(B32,P23:Q27,R23:R27))</f>
        <v>0.25</v>
      </c>
      <c r="P37" s="88" t="s">
        <v>81</v>
      </c>
      <c r="Q37" s="117">
        <v>0.7</v>
      </c>
      <c r="R37" s="97"/>
      <c r="T37" s="122"/>
      <c r="U37" s="122"/>
      <c r="V37" s="122"/>
      <c r="AC37" s="122"/>
      <c r="AD37" s="122"/>
      <c r="AE37" s="122"/>
      <c r="AF37" s="122"/>
      <c r="AG37" s="122"/>
      <c r="AH37" s="122"/>
      <c r="AI37" s="122"/>
      <c r="AJ37" s="122"/>
      <c r="AK37" s="122"/>
    </row>
    <row r="38" spans="1:37" x14ac:dyDescent="0.25">
      <c r="A38" s="256" t="s">
        <v>9</v>
      </c>
      <c r="B38" s="248">
        <f>((IF(B7="SI",(C38+D38)*$R$6,IF(B6="SI",(C38+D38)*$R$5,(C38+D38)*$R$4)))+(((E38+F38)*2.4%*3.49%)))/$D$6</f>
        <v>0</v>
      </c>
      <c r="C38" s="250"/>
      <c r="D38" s="250"/>
      <c r="E38" s="250"/>
      <c r="F38" s="250"/>
      <c r="G38" s="122"/>
      <c r="H38" s="122"/>
      <c r="I38" s="122"/>
      <c r="K38" s="13"/>
      <c r="P38" s="88" t="s">
        <v>82</v>
      </c>
      <c r="Q38" s="117">
        <v>0.7</v>
      </c>
      <c r="R38" s="97"/>
      <c r="T38" s="122"/>
      <c r="U38" s="122"/>
      <c r="V38" s="122"/>
      <c r="AC38" s="122"/>
      <c r="AD38" s="122"/>
      <c r="AE38" s="122"/>
      <c r="AF38" s="122"/>
      <c r="AG38" s="122"/>
      <c r="AH38" s="122"/>
      <c r="AI38" s="122"/>
      <c r="AJ38" s="122"/>
      <c r="AK38" s="122"/>
    </row>
    <row r="39" spans="1:37" x14ac:dyDescent="0.25">
      <c r="A39" s="256" t="s">
        <v>20</v>
      </c>
      <c r="B39" s="248">
        <f>((IF(B7="SI",(C39+D39)*$Q$6,IF(B6="SI",(C39+D39)*$Q$5,(C39+D39)*$Q$4)))+((E39+F39)*3.2%*2.3%))/$D$6</f>
        <v>0</v>
      </c>
      <c r="C39" s="250">
        <v>0</v>
      </c>
      <c r="D39" s="250"/>
      <c r="E39" s="250">
        <v>0</v>
      </c>
      <c r="F39" s="250"/>
      <c r="G39" s="122"/>
      <c r="H39" s="122"/>
      <c r="I39" s="122"/>
      <c r="K39" s="13"/>
      <c r="P39" s="88" t="s">
        <v>83</v>
      </c>
      <c r="Q39" s="117">
        <v>0.98</v>
      </c>
      <c r="R39" s="97"/>
      <c r="T39" s="122"/>
      <c r="U39" s="122"/>
      <c r="V39" s="122"/>
      <c r="AC39" s="122"/>
      <c r="AD39" s="122"/>
      <c r="AE39" s="122"/>
      <c r="AF39" s="122"/>
      <c r="AG39" s="122"/>
      <c r="AH39" s="122"/>
      <c r="AI39" s="122"/>
      <c r="AJ39" s="122"/>
      <c r="AK39" s="122"/>
    </row>
    <row r="40" spans="1:37" x14ac:dyDescent="0.25">
      <c r="A40" s="256" t="s">
        <v>194</v>
      </c>
      <c r="B40" s="248">
        <f>(C40+D40)/$D$6</f>
        <v>0</v>
      </c>
      <c r="C40" s="250">
        <v>0</v>
      </c>
      <c r="D40" s="250"/>
      <c r="E40" s="122"/>
      <c r="F40" s="122"/>
      <c r="G40" s="122"/>
      <c r="H40" s="122"/>
      <c r="I40" s="122"/>
      <c r="K40" s="13"/>
      <c r="P40" s="88" t="s">
        <v>84</v>
      </c>
      <c r="Q40" s="117">
        <v>0.8</v>
      </c>
      <c r="R40" s="97"/>
      <c r="T40" s="122"/>
      <c r="U40" s="122"/>
      <c r="V40" s="122"/>
      <c r="AC40" s="122"/>
      <c r="AD40" s="122"/>
      <c r="AE40" s="122"/>
      <c r="AF40" s="122"/>
      <c r="AG40" s="122"/>
      <c r="AH40" s="122"/>
      <c r="AI40" s="122"/>
      <c r="AJ40" s="122"/>
      <c r="AK40" s="122"/>
    </row>
    <row r="41" spans="1:37" x14ac:dyDescent="0.25">
      <c r="A41" s="256" t="s">
        <v>195</v>
      </c>
      <c r="B41" s="239">
        <f>(C41+D41)/$D$6</f>
        <v>0</v>
      </c>
      <c r="C41" s="250">
        <v>0</v>
      </c>
      <c r="D41" s="250"/>
      <c r="E41" s="122"/>
      <c r="F41" s="122"/>
      <c r="G41" s="122"/>
      <c r="H41" s="122"/>
      <c r="I41" s="122"/>
      <c r="K41" s="13"/>
      <c r="P41" s="88" t="s">
        <v>85</v>
      </c>
      <c r="Q41" s="117">
        <v>0.55000000000000004</v>
      </c>
      <c r="R41" s="97"/>
      <c r="T41" s="122"/>
      <c r="U41" s="122"/>
      <c r="V41" s="122"/>
      <c r="AC41" s="122"/>
      <c r="AD41" s="122"/>
      <c r="AE41" s="122"/>
      <c r="AF41" s="122"/>
      <c r="AG41" s="122"/>
      <c r="AH41" s="122"/>
      <c r="AI41" s="122"/>
      <c r="AJ41" s="122"/>
      <c r="AK41" s="122"/>
    </row>
    <row r="42" spans="1:37" ht="13.5" customHeight="1" x14ac:dyDescent="0.25">
      <c r="A42" s="307" t="s">
        <v>323</v>
      </c>
      <c r="B42" s="239">
        <f>((E42+F42)*2.4%*5.28%)/$D$6</f>
        <v>0</v>
      </c>
      <c r="C42" s="543"/>
      <c r="D42" s="544"/>
      <c r="E42" s="250">
        <v>0</v>
      </c>
      <c r="F42" s="250"/>
      <c r="G42" s="122"/>
      <c r="H42" s="122"/>
      <c r="I42" s="122"/>
      <c r="K42" s="13"/>
      <c r="P42" s="88" t="s">
        <v>78</v>
      </c>
      <c r="Q42" s="117">
        <v>0.4</v>
      </c>
      <c r="R42" s="97"/>
      <c r="T42" s="122"/>
      <c r="U42" s="122"/>
      <c r="V42" s="122"/>
      <c r="AC42" s="122"/>
      <c r="AD42" s="122"/>
      <c r="AE42" s="122"/>
      <c r="AF42" s="122"/>
      <c r="AG42" s="122"/>
      <c r="AH42" s="122"/>
      <c r="AI42" s="122"/>
      <c r="AJ42" s="122"/>
      <c r="AK42" s="122"/>
    </row>
    <row r="43" spans="1:37" ht="18.75" hidden="1" customHeight="1" thickBot="1" x14ac:dyDescent="0.3">
      <c r="A43" s="249" t="s">
        <v>124</v>
      </c>
      <c r="B43" s="232" t="s">
        <v>12</v>
      </c>
      <c r="C43" s="425" t="s">
        <v>4</v>
      </c>
      <c r="D43" s="319" t="s">
        <v>29</v>
      </c>
      <c r="E43" s="122"/>
      <c r="F43" s="122"/>
      <c r="G43" s="122"/>
      <c r="H43" s="122"/>
      <c r="I43" s="122"/>
      <c r="J43" s="79"/>
      <c r="K43" s="13"/>
      <c r="P43" s="88" t="s">
        <v>114</v>
      </c>
      <c r="Q43" s="117">
        <v>0.84</v>
      </c>
      <c r="R43" s="97"/>
      <c r="T43" s="122"/>
      <c r="U43" s="122"/>
      <c r="V43" s="122"/>
      <c r="AC43" s="122"/>
      <c r="AD43" s="122"/>
      <c r="AE43" s="122"/>
      <c r="AF43" s="122"/>
      <c r="AG43" s="122"/>
      <c r="AH43" s="122"/>
      <c r="AI43" s="122"/>
      <c r="AJ43" s="122"/>
      <c r="AK43" s="122"/>
    </row>
    <row r="44" spans="1:37" ht="15.75" hidden="1" customHeight="1" thickBot="1" x14ac:dyDescent="0.3">
      <c r="A44" s="250"/>
      <c r="B44" s="251">
        <f>(C44+D44)/$D$6</f>
        <v>0</v>
      </c>
      <c r="C44" s="252">
        <v>0</v>
      </c>
      <c r="D44" s="253">
        <v>0</v>
      </c>
      <c r="E44" s="122"/>
      <c r="F44" s="122"/>
      <c r="G44" s="122"/>
      <c r="H44" s="122"/>
      <c r="I44" s="122"/>
      <c r="K44" s="13"/>
      <c r="P44" s="97"/>
      <c r="Q44" s="97"/>
      <c r="R44" s="97"/>
      <c r="T44" s="122"/>
      <c r="U44" s="122"/>
      <c r="V44" s="122"/>
      <c r="AC44" s="122"/>
      <c r="AD44" s="122"/>
      <c r="AE44" s="122"/>
      <c r="AF44" s="122"/>
      <c r="AG44" s="122"/>
      <c r="AH44" s="122"/>
      <c r="AI44" s="122"/>
      <c r="AJ44" s="122"/>
      <c r="AK44" s="122"/>
    </row>
    <row r="45" spans="1:37" ht="15" customHeight="1" x14ac:dyDescent="0.25">
      <c r="A45" s="254"/>
      <c r="B45" s="255"/>
      <c r="C45" s="412" t="s">
        <v>317</v>
      </c>
      <c r="D45" s="416"/>
      <c r="E45" s="593" t="s">
        <v>318</v>
      </c>
      <c r="F45" s="594"/>
      <c r="G45" s="122"/>
      <c r="H45" s="122"/>
      <c r="I45" s="122"/>
      <c r="K45" s="13"/>
      <c r="P45" s="88" t="s">
        <v>265</v>
      </c>
      <c r="Q45" s="117">
        <v>0.97</v>
      </c>
      <c r="R45" s="97"/>
      <c r="T45" s="122"/>
      <c r="U45" s="122"/>
      <c r="V45" s="122"/>
      <c r="AC45" s="122"/>
      <c r="AD45" s="122"/>
      <c r="AE45" s="122"/>
      <c r="AF45" s="122"/>
      <c r="AG45" s="122"/>
      <c r="AH45" s="122"/>
      <c r="AI45" s="122"/>
      <c r="AJ45" s="122"/>
      <c r="AK45" s="122"/>
    </row>
    <row r="46" spans="1:37" x14ac:dyDescent="0.25">
      <c r="A46" s="231" t="s">
        <v>21</v>
      </c>
      <c r="B46" s="232" t="s">
        <v>8</v>
      </c>
      <c r="C46" s="233" t="s">
        <v>4</v>
      </c>
      <c r="D46" s="233" t="s">
        <v>29</v>
      </c>
      <c r="E46" s="426" t="s">
        <v>4</v>
      </c>
      <c r="F46" s="234" t="s">
        <v>29</v>
      </c>
      <c r="G46" s="122"/>
      <c r="H46" s="122"/>
      <c r="I46" s="122"/>
      <c r="K46" s="13"/>
      <c r="P46" s="97"/>
      <c r="Q46" s="97"/>
      <c r="R46" s="97"/>
      <c r="T46" s="122"/>
      <c r="U46" s="122"/>
      <c r="V46" s="122"/>
      <c r="AC46" s="122"/>
      <c r="AD46" s="122"/>
      <c r="AE46" s="122"/>
      <c r="AF46" s="122"/>
      <c r="AG46" s="122"/>
      <c r="AH46" s="122"/>
      <c r="AI46" s="122"/>
      <c r="AJ46" s="122"/>
      <c r="AK46" s="122"/>
    </row>
    <row r="47" spans="1:37" x14ac:dyDescent="0.25">
      <c r="A47" s="307" t="s">
        <v>10</v>
      </c>
      <c r="B47" s="238">
        <f>((C47+D47)+((E47+F47)*0.56%))/$D$6</f>
        <v>145.77259475218659</v>
      </c>
      <c r="C47" s="250">
        <v>1000</v>
      </c>
      <c r="D47" s="250"/>
      <c r="E47" s="250">
        <v>0</v>
      </c>
      <c r="F47" s="250"/>
      <c r="G47" s="122"/>
      <c r="H47" s="122"/>
      <c r="I47" s="122"/>
      <c r="J47" s="79"/>
      <c r="K47" s="13"/>
      <c r="R47" s="97"/>
      <c r="T47" s="122"/>
      <c r="U47" s="122"/>
      <c r="V47" s="122"/>
    </row>
    <row r="48" spans="1:37" x14ac:dyDescent="0.25">
      <c r="A48" s="256" t="s">
        <v>9</v>
      </c>
      <c r="B48" s="239">
        <f>((C48+D48)+((E48+F48)*3.49%))/$D$6</f>
        <v>0</v>
      </c>
      <c r="C48" s="250">
        <v>0</v>
      </c>
      <c r="D48" s="250"/>
      <c r="E48" s="250">
        <v>0</v>
      </c>
      <c r="F48" s="250"/>
      <c r="G48" s="122"/>
      <c r="H48" s="122"/>
      <c r="I48" s="122"/>
      <c r="J48" s="79"/>
      <c r="K48" s="13"/>
      <c r="R48" s="97"/>
      <c r="T48" s="122"/>
      <c r="U48" s="122"/>
      <c r="V48" s="122"/>
    </row>
    <row r="49" spans="1:22" ht="15.75" customHeight="1" x14ac:dyDescent="0.25">
      <c r="A49" s="256" t="s">
        <v>20</v>
      </c>
      <c r="B49" s="248">
        <f>((C49+D49)*3.2%+((E49+F49)*3.2%*2.3%))/$D$6</f>
        <v>0</v>
      </c>
      <c r="C49" s="250">
        <v>0</v>
      </c>
      <c r="D49" s="250"/>
      <c r="E49" s="250">
        <v>0</v>
      </c>
      <c r="F49" s="250"/>
      <c r="G49" s="122"/>
      <c r="H49" s="122"/>
      <c r="I49" s="122"/>
      <c r="J49" s="79"/>
      <c r="K49" s="13"/>
      <c r="L49" s="558" t="s">
        <v>118</v>
      </c>
      <c r="M49" s="557" t="s">
        <v>117</v>
      </c>
      <c r="N49" s="557"/>
      <c r="O49" s="557"/>
      <c r="P49" s="13"/>
      <c r="Q49" s="67" t="s">
        <v>287</v>
      </c>
      <c r="R49" s="66" t="s">
        <v>119</v>
      </c>
      <c r="S49" s="66" t="s">
        <v>120</v>
      </c>
      <c r="T49" s="203" t="s">
        <v>284</v>
      </c>
      <c r="U49" s="122"/>
      <c r="V49" s="122"/>
    </row>
    <row r="50" spans="1:22" x14ac:dyDescent="0.25">
      <c r="A50" s="256" t="s">
        <v>325</v>
      </c>
      <c r="B50" s="239">
        <f>(C50+D50+((E50+F50)*5.28%))/$D$6</f>
        <v>0</v>
      </c>
      <c r="C50" s="250"/>
      <c r="D50" s="250"/>
      <c r="E50" s="250"/>
      <c r="F50" s="250">
        <v>0</v>
      </c>
      <c r="G50" s="122"/>
      <c r="H50" s="122"/>
      <c r="I50" s="122"/>
      <c r="J50" s="79"/>
      <c r="K50" s="13"/>
      <c r="L50" s="558"/>
      <c r="M50" s="83" t="s">
        <v>119</v>
      </c>
      <c r="N50" s="83" t="s">
        <v>120</v>
      </c>
      <c r="O50" s="83" t="s">
        <v>121</v>
      </c>
      <c r="P50" s="13"/>
      <c r="Q50" s="137">
        <f>B32</f>
        <v>1457.7259475218659</v>
      </c>
      <c r="R50" s="66">
        <v>2.5</v>
      </c>
      <c r="S50" s="66">
        <v>3.5</v>
      </c>
      <c r="T50" s="203">
        <v>4.5</v>
      </c>
      <c r="U50" s="122"/>
      <c r="V50" s="122"/>
    </row>
    <row r="51" spans="1:22" hidden="1" x14ac:dyDescent="0.25">
      <c r="A51" s="534"/>
      <c r="B51" s="534"/>
      <c r="C51" s="534"/>
      <c r="D51" s="534"/>
      <c r="E51" s="122"/>
      <c r="F51" s="122"/>
      <c r="G51" s="122"/>
      <c r="H51" s="122"/>
      <c r="I51" s="122"/>
      <c r="J51" s="79"/>
      <c r="K51" s="13"/>
      <c r="L51" s="66">
        <v>0</v>
      </c>
      <c r="M51" s="137">
        <f>$B$57/$D$6</f>
        <v>6833.0903790087459</v>
      </c>
      <c r="N51" s="137">
        <f t="shared" ref="N51:O52" si="0">$B$57/$D$6</f>
        <v>6833.0903790087459</v>
      </c>
      <c r="O51" s="137">
        <f t="shared" si="0"/>
        <v>6833.0903790087459</v>
      </c>
      <c r="P51" s="13"/>
      <c r="Q51" s="13"/>
      <c r="R51" s="13"/>
      <c r="S51" s="13"/>
      <c r="T51" s="79"/>
      <c r="U51" s="122"/>
      <c r="V51" s="122"/>
    </row>
    <row r="52" spans="1:22" x14ac:dyDescent="0.25">
      <c r="A52" s="256" t="s">
        <v>11</v>
      </c>
      <c r="B52" s="257">
        <f>B34-B37-B38-B39-B40-B41-B42-B47-B48-B49-B50-B44</f>
        <v>218.65889212827989</v>
      </c>
      <c r="C52" s="256" t="s">
        <v>106</v>
      </c>
      <c r="D52" s="257">
        <f>B52*D6</f>
        <v>1500</v>
      </c>
      <c r="E52" s="122"/>
      <c r="F52" s="122"/>
      <c r="G52" s="122"/>
      <c r="H52" s="122"/>
      <c r="I52" s="122"/>
      <c r="J52" s="79"/>
      <c r="K52" s="13"/>
      <c r="L52" s="66">
        <v>700</v>
      </c>
      <c r="M52" s="137">
        <v>6000</v>
      </c>
      <c r="N52" s="137">
        <f t="shared" si="0"/>
        <v>6833.0903790087459</v>
      </c>
      <c r="O52" s="137">
        <f t="shared" si="0"/>
        <v>6833.0903790087459</v>
      </c>
      <c r="P52" s="13"/>
      <c r="Q52" s="13"/>
      <c r="R52" s="13"/>
      <c r="S52" s="13"/>
      <c r="T52" s="79"/>
      <c r="U52" s="122"/>
      <c r="V52" s="122"/>
    </row>
    <row r="53" spans="1:22" ht="10.5" customHeight="1" x14ac:dyDescent="0.25">
      <c r="A53" s="521"/>
      <c r="B53" s="522"/>
      <c r="C53" s="522"/>
      <c r="D53" s="522"/>
      <c r="E53" s="122"/>
      <c r="F53" s="122"/>
      <c r="G53" s="122"/>
      <c r="H53" s="122"/>
      <c r="I53" s="122"/>
      <c r="J53" s="79"/>
      <c r="K53" s="13"/>
      <c r="L53" s="66">
        <v>1030</v>
      </c>
      <c r="M53" s="137">
        <v>6000</v>
      </c>
      <c r="N53" s="137">
        <v>8500</v>
      </c>
      <c r="O53" s="137">
        <f>$B$57/$D$6</f>
        <v>6833.0903790087459</v>
      </c>
      <c r="P53" s="13"/>
      <c r="Q53" s="13"/>
      <c r="R53" s="13"/>
      <c r="S53" s="13"/>
      <c r="T53" s="79"/>
      <c r="U53" s="122"/>
      <c r="V53" s="122"/>
    </row>
    <row r="54" spans="1:22" x14ac:dyDescent="0.25">
      <c r="A54" s="536" t="s">
        <v>13</v>
      </c>
      <c r="B54" s="537"/>
      <c r="C54" s="537"/>
      <c r="D54" s="537"/>
      <c r="E54" s="122"/>
      <c r="F54" s="122"/>
      <c r="G54" s="122"/>
      <c r="H54" s="122"/>
      <c r="I54" s="122"/>
      <c r="J54" s="79"/>
      <c r="K54" s="13"/>
      <c r="L54" s="66">
        <v>1320</v>
      </c>
      <c r="M54" s="137">
        <v>7000</v>
      </c>
      <c r="N54" s="137">
        <v>9500</v>
      </c>
      <c r="O54" s="137">
        <v>12000</v>
      </c>
      <c r="P54" s="13"/>
      <c r="Q54" s="13"/>
      <c r="R54" s="13"/>
      <c r="S54" s="13"/>
      <c r="T54" s="79"/>
      <c r="U54" s="122"/>
      <c r="V54" s="122"/>
    </row>
    <row r="55" spans="1:22" x14ac:dyDescent="0.25">
      <c r="A55" s="595" t="s">
        <v>20</v>
      </c>
      <c r="B55" s="596"/>
      <c r="C55" s="596"/>
      <c r="D55" s="596"/>
      <c r="E55" s="122"/>
      <c r="F55" s="122"/>
      <c r="G55" s="122"/>
      <c r="H55" s="122"/>
      <c r="I55" s="122"/>
      <c r="J55" s="79"/>
      <c r="K55" s="13"/>
      <c r="L55" s="66">
        <v>1736</v>
      </c>
      <c r="M55" s="137">
        <v>7500</v>
      </c>
      <c r="N55" s="137">
        <v>12000</v>
      </c>
      <c r="O55" s="137">
        <v>15000</v>
      </c>
      <c r="P55" s="13"/>
      <c r="Q55" s="13"/>
      <c r="R55" s="13"/>
      <c r="S55" s="13"/>
      <c r="T55" s="79"/>
      <c r="U55" s="122"/>
      <c r="V55" s="122"/>
    </row>
    <row r="56" spans="1:22" x14ac:dyDescent="0.25">
      <c r="A56" s="430" t="s">
        <v>332</v>
      </c>
      <c r="B56" s="482">
        <f>IFERROR(((($B$32*0.25)-($B$38+$B$39+$B$40+$B$48+$B$49-K28-K29-K34-K35))/0.032)*6.86,"")</f>
        <v>78125</v>
      </c>
      <c r="C56" s="260"/>
      <c r="D56" s="260"/>
      <c r="E56" s="122"/>
      <c r="F56" s="122"/>
      <c r="G56" s="122"/>
      <c r="H56" s="122"/>
      <c r="I56" s="122"/>
      <c r="J56" s="79"/>
      <c r="K56" s="13"/>
      <c r="L56" s="13"/>
      <c r="M56" s="13">
        <v>2</v>
      </c>
      <c r="N56" s="13">
        <v>3</v>
      </c>
      <c r="O56" s="13">
        <v>4</v>
      </c>
      <c r="P56" s="13"/>
      <c r="Q56" s="13"/>
      <c r="R56" s="13"/>
      <c r="S56" s="13"/>
      <c r="T56" s="79"/>
      <c r="U56" s="122"/>
      <c r="V56" s="122"/>
    </row>
    <row r="57" spans="1:22" x14ac:dyDescent="0.25">
      <c r="A57" s="308" t="s">
        <v>289</v>
      </c>
      <c r="B57" s="482">
        <f>($B$52/3.2%)*$D$6</f>
        <v>46875</v>
      </c>
      <c r="C57" s="261" t="s">
        <v>168</v>
      </c>
      <c r="D57" s="261" t="s">
        <v>167</v>
      </c>
      <c r="E57" s="122"/>
      <c r="F57" s="122"/>
      <c r="G57" s="122"/>
      <c r="H57" s="122"/>
      <c r="I57" s="122"/>
      <c r="J57" s="79"/>
      <c r="K57" s="13"/>
      <c r="N57" s="14"/>
      <c r="O57" s="13"/>
      <c r="P57" s="13"/>
      <c r="Q57" s="13"/>
      <c r="R57" s="13"/>
      <c r="S57" s="13"/>
      <c r="T57" s="79"/>
      <c r="U57" s="122"/>
      <c r="V57" s="122"/>
    </row>
    <row r="58" spans="1:22" x14ac:dyDescent="0.25">
      <c r="A58" s="308" t="s">
        <v>292</v>
      </c>
      <c r="B58" s="484">
        <f>M60</f>
        <v>45000</v>
      </c>
      <c r="C58" s="467">
        <v>68600</v>
      </c>
      <c r="D58" s="467">
        <v>0</v>
      </c>
      <c r="E58" s="122"/>
      <c r="F58" s="122"/>
      <c r="G58" s="122"/>
      <c r="H58" s="122"/>
      <c r="I58" s="122"/>
      <c r="J58" s="79"/>
      <c r="K58" s="13"/>
      <c r="N58" s="13"/>
      <c r="O58" s="13"/>
      <c r="P58" s="13"/>
      <c r="Q58" s="13"/>
      <c r="R58" s="13"/>
      <c r="S58" s="13"/>
      <c r="T58" s="79"/>
      <c r="U58" s="122"/>
      <c r="V58" s="122"/>
    </row>
    <row r="59" spans="1:22" x14ac:dyDescent="0.25">
      <c r="A59" s="256" t="s">
        <v>30</v>
      </c>
      <c r="B59" s="262"/>
      <c r="C59" s="444">
        <f>IFERROR(($B$37+$B$38+$B$39+$B$40+$B$41+$B$42+$B$47+$B$48+$B$49+$B$50+$B$44+(C58/$D$6*3.2%))/$B$32,0)</f>
        <v>0.31951999999999997</v>
      </c>
      <c r="D59" s="445">
        <f>IFERROR(($B$37+$B$38+$B$39+$B$40+$B$41+$B$42+$B$47+$B$48+$B$49+$B$50+$B$44+(D58/$D$6*3.2%))/$B$32,0)</f>
        <v>0.1</v>
      </c>
      <c r="E59" s="122"/>
      <c r="F59" s="122"/>
      <c r="G59" s="122"/>
      <c r="H59" s="122"/>
      <c r="I59" s="122"/>
      <c r="J59" s="79"/>
      <c r="K59" s="13"/>
      <c r="L59" s="97" t="s">
        <v>293</v>
      </c>
      <c r="M59" s="225">
        <f>MIN(B57:B58)</f>
        <v>45000</v>
      </c>
      <c r="N59" s="97"/>
      <c r="O59" s="97"/>
      <c r="P59" s="13"/>
      <c r="Q59" s="13"/>
      <c r="R59" s="13"/>
      <c r="S59" s="13"/>
      <c r="T59" s="79"/>
      <c r="U59" s="122"/>
      <c r="V59" s="122"/>
    </row>
    <row r="60" spans="1:22" x14ac:dyDescent="0.25">
      <c r="A60" s="313" t="s">
        <v>117</v>
      </c>
      <c r="B60" s="453" t="s">
        <v>121</v>
      </c>
      <c r="C60" s="447"/>
      <c r="D60" s="448"/>
      <c r="E60" s="122"/>
      <c r="F60" s="122"/>
      <c r="G60" s="122"/>
      <c r="H60" s="122"/>
      <c r="I60" s="122"/>
      <c r="J60" s="79"/>
      <c r="K60" s="13"/>
      <c r="L60" s="67" t="s">
        <v>288</v>
      </c>
      <c r="M60" s="42">
        <f>(IF($B$60="Muy Bueno",$B$32*T50,IF($B$60="Bueno",$B$32*S50,IF($B$60="Regular",$B$32*R50,0))))*$D$6</f>
        <v>45000</v>
      </c>
      <c r="N60" s="97"/>
      <c r="O60" s="97"/>
      <c r="P60" s="13"/>
      <c r="Q60" s="13"/>
      <c r="R60" s="13"/>
      <c r="S60" s="13"/>
      <c r="T60" s="79"/>
      <c r="U60" s="122"/>
      <c r="V60" s="122"/>
    </row>
    <row r="61" spans="1:22" x14ac:dyDescent="0.25">
      <c r="A61" s="314" t="s">
        <v>96</v>
      </c>
      <c r="B61" s="451" t="str">
        <f>LOOKUP(B32,Q63:R66,S63:S66)</f>
        <v>ORO</v>
      </c>
      <c r="C61" s="312" t="str">
        <f>IF(LOOKUP(C58,Q81:Q82,S81:S82)="CALIFICA",IF(C58&gt;M59,"NO CALIFICA","CALIFICA"),LOOKUP(C58,Q81:Q82,S81:S82))</f>
        <v>NO CALIFICA</v>
      </c>
      <c r="D61" s="312" t="str">
        <f>IF(LOOKUP(D58,Q81:Q82,S81:S82)="CALIFICA",IF(D58&gt;M59,"NO CALIFICA","CALIFICA"),LOOKUP(D58,Q81:Q82,S81:S82))</f>
        <v>MTO MÍNIMO</v>
      </c>
      <c r="I61" s="122"/>
      <c r="J61" s="79"/>
      <c r="K61" s="13"/>
      <c r="L61" s="14"/>
      <c r="M61" s="14"/>
      <c r="N61" s="14"/>
      <c r="O61" s="14"/>
      <c r="Q61" s="13" t="s">
        <v>110</v>
      </c>
      <c r="R61" s="13"/>
      <c r="S61" s="13"/>
      <c r="T61" s="79"/>
      <c r="U61" s="122"/>
      <c r="V61" s="122"/>
    </row>
    <row r="62" spans="1:22" x14ac:dyDescent="0.25">
      <c r="A62" s="446" t="s">
        <v>193</v>
      </c>
      <c r="B62" s="449"/>
      <c r="C62" s="450" t="str">
        <f>+IFERROR(IF(($B$38+$B$39+$B$40+$B$48+$B$49-K28-K29-K34-K35+(C58*3.2%/$D$6))/$B$32&gt;$M$37,"No Cumple","Cumple"),"")</f>
        <v>Cumple</v>
      </c>
      <c r="D62" s="450" t="str">
        <f>+IFERROR(IF(($B$38+$B$39+$B$40+$B$48+$B$49-K28-K29-K34-K35+(D58*3.2%/$D$6))/$B$32&gt;$M$37,"No Cumple","Cumple"),"")</f>
        <v>Cumple</v>
      </c>
      <c r="I62" s="122"/>
      <c r="J62" s="79"/>
      <c r="K62" s="13"/>
      <c r="L62" s="14"/>
      <c r="M62" s="14"/>
      <c r="N62" s="14"/>
      <c r="O62" s="14"/>
      <c r="Q62" s="13"/>
      <c r="R62" s="13"/>
      <c r="S62" s="13"/>
      <c r="T62" s="79"/>
      <c r="U62" s="122"/>
      <c r="V62" s="122"/>
    </row>
    <row r="63" spans="1:22" ht="9.75" customHeight="1" thickBot="1" x14ac:dyDescent="0.3">
      <c r="A63" s="265"/>
      <c r="B63" s="266"/>
      <c r="C63" s="267"/>
      <c r="D63" s="268"/>
      <c r="I63" s="122"/>
      <c r="J63" s="79"/>
      <c r="K63" s="13"/>
      <c r="L63" s="14"/>
      <c r="M63" s="14"/>
      <c r="N63" s="14"/>
      <c r="O63" s="14"/>
      <c r="Q63" s="13">
        <v>0</v>
      </c>
      <c r="R63" s="13">
        <v>350</v>
      </c>
      <c r="S63" s="14" t="s">
        <v>97</v>
      </c>
      <c r="T63" s="79"/>
      <c r="U63" s="122"/>
      <c r="V63" s="122"/>
    </row>
    <row r="64" spans="1:22" x14ac:dyDescent="0.25">
      <c r="A64" s="269" t="s">
        <v>91</v>
      </c>
      <c r="B64" s="270">
        <v>1</v>
      </c>
      <c r="C64" s="270" t="s">
        <v>162</v>
      </c>
      <c r="D64" s="270">
        <v>2</v>
      </c>
      <c r="E64" s="270" t="s">
        <v>163</v>
      </c>
      <c r="I64" s="79"/>
      <c r="J64" s="13"/>
      <c r="K64" s="13"/>
      <c r="L64" s="14"/>
      <c r="M64" s="14"/>
      <c r="N64" s="14"/>
      <c r="O64" s="14"/>
      <c r="Q64" s="13">
        <f>R63</f>
        <v>350</v>
      </c>
      <c r="R64" s="13">
        <v>800</v>
      </c>
      <c r="S64" s="13" t="s">
        <v>116</v>
      </c>
      <c r="T64" s="79"/>
    </row>
    <row r="65" spans="1:20" x14ac:dyDescent="0.25">
      <c r="A65" s="308" t="s">
        <v>132</v>
      </c>
      <c r="B65" s="475" t="s">
        <v>121</v>
      </c>
      <c r="C65" s="230"/>
      <c r="D65" s="230"/>
      <c r="E65" s="230"/>
      <c r="I65" s="79"/>
      <c r="J65" s="13"/>
      <c r="K65" s="13"/>
      <c r="M65" s="97"/>
      <c r="N65" s="97"/>
      <c r="O65" s="97"/>
      <c r="P65" s="97"/>
      <c r="Q65" s="13">
        <v>800</v>
      </c>
      <c r="R65" s="13">
        <v>2499</v>
      </c>
      <c r="S65" s="13" t="s">
        <v>94</v>
      </c>
      <c r="T65" s="79"/>
    </row>
    <row r="66" spans="1:20" x14ac:dyDescent="0.25">
      <c r="A66" s="311" t="s">
        <v>89</v>
      </c>
      <c r="B66" s="462">
        <f>B67</f>
        <v>184793.04</v>
      </c>
      <c r="C66" s="271">
        <f>B66</f>
        <v>184793.04</v>
      </c>
      <c r="D66" s="462">
        <f>D67</f>
        <v>184793.04</v>
      </c>
      <c r="E66" s="271">
        <f>D66</f>
        <v>184793.04</v>
      </c>
      <c r="I66" s="79"/>
      <c r="J66" s="13"/>
      <c r="M66" s="97"/>
      <c r="N66" s="97"/>
      <c r="O66" s="97"/>
      <c r="P66" s="97"/>
      <c r="Q66" s="13">
        <v>2499</v>
      </c>
      <c r="R66" s="13">
        <v>100000</v>
      </c>
      <c r="S66" s="13" t="s">
        <v>251</v>
      </c>
      <c r="T66" s="13"/>
    </row>
    <row r="67" spans="1:20" outlineLevel="1" x14ac:dyDescent="0.25">
      <c r="A67" s="311" t="s">
        <v>331</v>
      </c>
      <c r="B67" s="271">
        <f>IF(OR(B71="",B71=0%),ROUNDDOWN(((($B$32*$D$6*$B$33-SUM($B$37:$B$42,$B$47:$B$50,$B$44)*$D$6-B75*B79/12)*((1+(B70+B74)/12)^B73-1))/(((B70+B74)/12)*((1+(B70+B74)/12)^B73))),2),ROUNDDOWN(((($B$32*$D$6*$B$33-SUM($B$37:$B$42,$B$47:$B$50,$B$44)*$D$6-B75*B79/12)*((1+(B71+B72+B74)/12)^B73-1))/(((B71+B72+B74)/12)*((1+(B71+B72+B74)/12)^B73))),2))</f>
        <v>184793.04</v>
      </c>
      <c r="C67" s="271">
        <f t="shared" ref="C67:E79" si="1">B67</f>
        <v>184793.04</v>
      </c>
      <c r="D67" s="271">
        <f>IF(OR(D71="",D71=0%),ROUNDDOWN(((($B$32*$D$6*$B$33-SUM($B$37:$B$42,$B$47:$B$50,$B$44)*$D$6-D75*D79/12)*((1+(D70+D74)/12)^D73-1))/(((D70+D74)/12)*((1+(D70+D74)/12)^D73))),2),ROUNDDOWN(((($B$32*$D$6*$B$33-SUM($B$37:$B$42,$B$47:$B$50,$B$44)*$D$6-D75*D79/12)*((1+(D71+D72+D74)/12)^D73-1))/(((D71+D72+D74)/12)*((1+(D71+D72+D74)/12)^D73))),2))</f>
        <v>184793.04</v>
      </c>
      <c r="E67" s="271">
        <f t="shared" si="1"/>
        <v>184793.04</v>
      </c>
      <c r="I67" s="79"/>
      <c r="J67" s="13"/>
      <c r="M67" s="97"/>
      <c r="N67" s="97"/>
      <c r="O67" s="97"/>
      <c r="P67" s="97"/>
      <c r="Q67" s="13"/>
      <c r="R67" s="13"/>
      <c r="S67" s="13"/>
      <c r="T67" s="13"/>
    </row>
    <row r="68" spans="1:20" outlineLevel="1" x14ac:dyDescent="0.25">
      <c r="A68" s="316" t="s">
        <v>197</v>
      </c>
      <c r="B68" s="271">
        <f>IF(OR(B71="",B71=0%),ROUNDDOWN(((($B$32*$D$6*M37-(SUM($B$38:$B$40,$B$48:$B$49)-K28-K29-K34-K35)*$D$6-B75*B79/12)*((1+(B70+B74)/12)^B73-1))/(((B70+B74)/12)*((1+(B70+B74)/12)^B73))),2),ROUNDDOWN(((($B$32*$D$6*M37-(SUM($B$38:$B$40,$B$48:$B$49)-K28-K29-K34-K35)*$D$6-B75*B79/12)*((1+(B71+B72+B74)/12)^B73-1))/(((B71++B72+B74)/12)*((1+(B71+B72+B74)/12)^B73))),2))</f>
        <v>307988.40000000002</v>
      </c>
      <c r="C68" s="271">
        <f>+B68</f>
        <v>307988.40000000002</v>
      </c>
      <c r="D68" s="271">
        <f>IF(OR(D71="",D71=0%),ROUNDDOWN(((($B$32*$D$6*M37-(SUM($B$38:$B$40,$B$48:$B$49)-K28-K29-K34-K35)*$D$6-D75*D79/12)*((1+(D70+D74)/12)^D73-1))/(((D70+D74)/12)*((1+(D70+D74)/12)^D73))),2),ROUNDDOWN(((($B$32*$D$6*M37-(SUM($B$38:$B$40,$B$48:$B$49)-K28-K29-K34-K35)*$D$6-D75*D79/12)*((1+(D71+D72+D74)/12)^D73-1))/(((D71+D72+D74)/12)*((1+(D71+D72+D74)/12)^D73))),2))</f>
        <v>307988.40000000002</v>
      </c>
      <c r="E68" s="271">
        <f>+D68</f>
        <v>307988.40000000002</v>
      </c>
      <c r="I68" s="79"/>
      <c r="J68" s="13"/>
      <c r="M68" s="97"/>
      <c r="N68" s="97"/>
      <c r="O68" s="97"/>
      <c r="P68" s="97"/>
      <c r="Q68" s="13"/>
      <c r="R68" s="13"/>
      <c r="S68" s="13"/>
      <c r="T68" s="13"/>
    </row>
    <row r="69" spans="1:20" x14ac:dyDescent="0.25">
      <c r="A69" s="311" t="s">
        <v>93</v>
      </c>
      <c r="B69" s="240">
        <f>B66/$D$6</f>
        <v>26937.760932944606</v>
      </c>
      <c r="C69" s="240">
        <f t="shared" si="1"/>
        <v>26937.760932944606</v>
      </c>
      <c r="D69" s="240">
        <f>D66/$D$6</f>
        <v>26937.760932944606</v>
      </c>
      <c r="E69" s="240">
        <f t="shared" si="1"/>
        <v>26937.760932944606</v>
      </c>
      <c r="I69" s="79"/>
      <c r="J69" s="13"/>
      <c r="M69" s="97"/>
      <c r="N69" s="97"/>
      <c r="O69" s="97"/>
      <c r="P69" s="97"/>
      <c r="Q69" s="13"/>
      <c r="R69" s="13"/>
      <c r="S69" s="13"/>
      <c r="T69" s="13"/>
    </row>
    <row r="70" spans="1:20" collapsed="1" x14ac:dyDescent="0.25">
      <c r="A70" s="256" t="s">
        <v>335</v>
      </c>
      <c r="B70" s="463">
        <v>0.06</v>
      </c>
      <c r="C70" s="272">
        <f t="shared" si="1"/>
        <v>0.06</v>
      </c>
      <c r="D70" s="463">
        <v>0.06</v>
      </c>
      <c r="E70" s="272">
        <f t="shared" si="1"/>
        <v>0.06</v>
      </c>
      <c r="I70" s="79"/>
      <c r="J70" s="13"/>
      <c r="R70" s="13"/>
      <c r="S70" s="13"/>
      <c r="T70" s="13"/>
    </row>
    <row r="71" spans="1:20" x14ac:dyDescent="0.25">
      <c r="A71" s="256" t="s">
        <v>334</v>
      </c>
      <c r="B71" s="463">
        <v>0</v>
      </c>
      <c r="C71" s="272">
        <f t="shared" si="1"/>
        <v>0</v>
      </c>
      <c r="D71" s="463">
        <v>0</v>
      </c>
      <c r="E71" s="272">
        <f t="shared" si="1"/>
        <v>0</v>
      </c>
      <c r="I71" s="79"/>
      <c r="J71" s="13"/>
      <c r="R71" s="13"/>
      <c r="S71" s="13"/>
      <c r="T71" s="13"/>
    </row>
    <row r="72" spans="1:20" x14ac:dyDescent="0.25">
      <c r="A72" s="256" t="s">
        <v>336</v>
      </c>
      <c r="B72" s="463">
        <v>3.09E-2</v>
      </c>
      <c r="C72" s="272">
        <f>B72</f>
        <v>3.09E-2</v>
      </c>
      <c r="D72" s="463">
        <v>3.09E-2</v>
      </c>
      <c r="E72" s="272">
        <f>D72</f>
        <v>3.09E-2</v>
      </c>
      <c r="I72" s="79"/>
      <c r="J72" s="13"/>
      <c r="R72" s="13"/>
      <c r="S72" s="13"/>
      <c r="T72" s="13"/>
    </row>
    <row r="73" spans="1:20" x14ac:dyDescent="0.25">
      <c r="A73" s="256" t="s">
        <v>15</v>
      </c>
      <c r="B73" s="263">
        <v>240</v>
      </c>
      <c r="C73" s="230">
        <f>+IF(OR($D$8=$N$22,$D$8=$N$23,$D$8=$N$24),B73+6,IF($D$8=$N$27,B73+12,B73+12))</f>
        <v>246</v>
      </c>
      <c r="D73" s="263">
        <v>240</v>
      </c>
      <c r="E73" s="230">
        <f>+IF(OR($D$8=$N$22,$D$8=$N$23,$D$8=$N$24),D73+6,IF($D$8=$N$27,D73+12,D73+12))</f>
        <v>246</v>
      </c>
      <c r="I73" s="122"/>
      <c r="J73" s="13"/>
      <c r="Q73" s="13"/>
      <c r="R73" s="13"/>
      <c r="S73" s="14"/>
      <c r="T73" s="13"/>
    </row>
    <row r="74" spans="1:20" x14ac:dyDescent="0.25">
      <c r="A74" s="256" t="s">
        <v>16</v>
      </c>
      <c r="B74" s="272">
        <f>IF(D8="Vehicular",IF(B10="Casado/Conviviente",1.53%,0.85%),IF(D8="Vivienda",IF(B10="Casado/Conviviente",1.53%,0.85%),IF(D8="Vivienda Social",IF(B10="Casado/Conviviente",1.53%,0.85%),IF(SUM(D28:D30)&gt;0,3.2%,1.6%))))</f>
        <v>1.6E-2</v>
      </c>
      <c r="C74" s="272">
        <f t="shared" si="1"/>
        <v>1.6E-2</v>
      </c>
      <c r="D74" s="463">
        <v>1.6E-2</v>
      </c>
      <c r="E74" s="272">
        <f t="shared" si="1"/>
        <v>1.6E-2</v>
      </c>
      <c r="F74" s="122"/>
      <c r="G74" s="469" t="str">
        <f>IF(AND(D88="Regular",G84&lt;=20000,(OR(B88="Pdh",B88="Stock",B88="Premium",B88="Regular"))),"SE CUMPLE CÚMULO",IF(AND(D88="BUENO",G84&lt;=30000,OR(B88="Pdh",B88="Stock",B88="Premium",B88="Regular")),"SE CUMPLE CÚMULO",IF(AND(D88="Muy Bueno",G84&lt;=30000,OR(B88="Pdh",B88="Stock",B88="Premium",B88="Regular")),"SE CUMPLE CÚMULO",IF(AND(G84&lt;=40000,B88="Enalta"),"SE CUMPLE CÚMULO","SOBREPASA CÚMULO"))))</f>
        <v>SE CUMPLE CÚMULO</v>
      </c>
      <c r="H74" s="122"/>
      <c r="I74" s="122"/>
      <c r="J74" s="13"/>
      <c r="L74" s="66" t="s">
        <v>133</v>
      </c>
      <c r="M74" s="66"/>
      <c r="N74" s="13"/>
      <c r="O74" s="13"/>
      <c r="P74" s="13"/>
      <c r="Q74" s="13"/>
      <c r="R74" s="13"/>
      <c r="S74" s="13"/>
      <c r="T74" s="13"/>
    </row>
    <row r="75" spans="1:20" x14ac:dyDescent="0.25">
      <c r="A75" s="256" t="s">
        <v>17</v>
      </c>
      <c r="B75" s="464">
        <v>1.9499999999999999E-3</v>
      </c>
      <c r="C75" s="273">
        <f t="shared" si="1"/>
        <v>1.9499999999999999E-3</v>
      </c>
      <c r="D75" s="464">
        <v>3.0000000000000001E-3</v>
      </c>
      <c r="E75" s="273">
        <f t="shared" si="1"/>
        <v>3.0000000000000001E-3</v>
      </c>
      <c r="F75" s="122"/>
      <c r="G75" s="122"/>
      <c r="H75" s="122"/>
      <c r="I75" s="122"/>
      <c r="J75" s="13"/>
      <c r="K75" s="13"/>
      <c r="L75" s="67"/>
      <c r="M75" s="67" t="s">
        <v>134</v>
      </c>
      <c r="N75" s="13"/>
      <c r="O75" s="83" t="s">
        <v>117</v>
      </c>
      <c r="P75" s="83" t="s">
        <v>15</v>
      </c>
      <c r="Q75" s="13"/>
      <c r="R75" s="13"/>
      <c r="S75" s="13"/>
      <c r="T75" s="13"/>
    </row>
    <row r="76" spans="1:20" outlineLevel="1" x14ac:dyDescent="0.25">
      <c r="A76" s="256" t="s">
        <v>99</v>
      </c>
      <c r="B76" s="464">
        <v>0</v>
      </c>
      <c r="C76" s="273">
        <f t="shared" si="1"/>
        <v>0</v>
      </c>
      <c r="D76" s="464">
        <v>0</v>
      </c>
      <c r="E76" s="273">
        <f t="shared" si="1"/>
        <v>0</v>
      </c>
      <c r="F76" s="603" t="s">
        <v>214</v>
      </c>
      <c r="G76" s="604"/>
      <c r="H76" s="604"/>
      <c r="I76" s="605"/>
      <c r="J76" s="13"/>
      <c r="K76" s="13"/>
      <c r="L76" s="66" t="s">
        <v>9</v>
      </c>
      <c r="M76" s="66">
        <v>6</v>
      </c>
      <c r="N76" s="13"/>
      <c r="O76" s="83" t="s">
        <v>119</v>
      </c>
      <c r="P76" s="83">
        <v>36</v>
      </c>
      <c r="Q76" s="13"/>
      <c r="R76" s="13"/>
      <c r="S76" s="13"/>
      <c r="T76" s="13"/>
    </row>
    <row r="77" spans="1:20" outlineLevel="1" x14ac:dyDescent="0.25">
      <c r="A77" s="256" t="s">
        <v>295</v>
      </c>
      <c r="B77" s="250">
        <v>0.01</v>
      </c>
      <c r="C77" s="240">
        <f t="shared" si="1"/>
        <v>0.01</v>
      </c>
      <c r="D77" s="250">
        <v>0</v>
      </c>
      <c r="E77" s="240">
        <f t="shared" si="1"/>
        <v>0</v>
      </c>
      <c r="F77" s="438" t="s">
        <v>215</v>
      </c>
      <c r="G77" s="438" t="s">
        <v>272</v>
      </c>
      <c r="H77" s="438" t="s">
        <v>273</v>
      </c>
      <c r="I77" s="438" t="s">
        <v>226</v>
      </c>
      <c r="J77" s="13"/>
      <c r="K77" s="13"/>
      <c r="L77" s="66" t="s">
        <v>143</v>
      </c>
      <c r="M77" s="66">
        <v>12</v>
      </c>
      <c r="N77" s="13"/>
      <c r="O77" s="83" t="s">
        <v>120</v>
      </c>
      <c r="P77" s="83">
        <v>60</v>
      </c>
      <c r="Q77" s="13"/>
      <c r="R77" s="13"/>
      <c r="S77" s="13"/>
      <c r="T77" s="13"/>
    </row>
    <row r="78" spans="1:20" x14ac:dyDescent="0.25">
      <c r="A78" s="256" t="s">
        <v>112</v>
      </c>
      <c r="B78" s="250">
        <v>0.01</v>
      </c>
      <c r="C78" s="240">
        <f t="shared" si="1"/>
        <v>0.01</v>
      </c>
      <c r="D78" s="250">
        <v>0</v>
      </c>
      <c r="E78" s="240">
        <f t="shared" si="1"/>
        <v>0</v>
      </c>
      <c r="F78" s="258" t="s">
        <v>274</v>
      </c>
      <c r="G78" s="263" t="s">
        <v>218</v>
      </c>
      <c r="H78" s="407">
        <f>B96</f>
        <v>184793.04</v>
      </c>
      <c r="I78" s="408">
        <f t="shared" ref="I78:I83" si="2">+IFERROR(H78/$D$6,0)</f>
        <v>26937.760932944606</v>
      </c>
      <c r="J78" s="13"/>
      <c r="K78" s="13"/>
      <c r="L78" s="66" t="s">
        <v>144</v>
      </c>
      <c r="M78" s="66">
        <v>24</v>
      </c>
      <c r="N78" s="13"/>
      <c r="O78" s="83" t="s">
        <v>121</v>
      </c>
      <c r="P78" s="83">
        <v>72</v>
      </c>
      <c r="S78" s="98"/>
      <c r="T78" s="13"/>
    </row>
    <row r="79" spans="1:20" collapsed="1" x14ac:dyDescent="0.25">
      <c r="A79" s="256" t="s">
        <v>113</v>
      </c>
      <c r="B79" s="250">
        <v>0.01</v>
      </c>
      <c r="C79" s="240">
        <f t="shared" si="1"/>
        <v>0.01</v>
      </c>
      <c r="D79" s="250">
        <v>0</v>
      </c>
      <c r="E79" s="240">
        <f t="shared" si="1"/>
        <v>0</v>
      </c>
      <c r="F79" s="250"/>
      <c r="G79" s="250" t="s">
        <v>219</v>
      </c>
      <c r="H79" s="250">
        <v>508900</v>
      </c>
      <c r="I79" s="408">
        <f t="shared" si="2"/>
        <v>74183.673469387752</v>
      </c>
      <c r="J79" s="13"/>
      <c r="K79" s="13"/>
      <c r="L79" s="13"/>
      <c r="M79" s="13"/>
      <c r="N79" s="13"/>
      <c r="O79" s="156"/>
      <c r="P79" s="156"/>
      <c r="R79" s="98" t="str">
        <f>$B$61</f>
        <v>ORO</v>
      </c>
      <c r="S79" s="98"/>
    </row>
    <row r="80" spans="1:20" ht="0.75" customHeight="1" x14ac:dyDescent="0.25">
      <c r="A80" s="307"/>
      <c r="B80" s="274"/>
      <c r="C80" s="274"/>
      <c r="D80" s="274"/>
      <c r="E80" s="274"/>
      <c r="F80" s="250"/>
      <c r="G80" s="250"/>
      <c r="H80" s="250"/>
      <c r="I80" s="408">
        <f t="shared" si="2"/>
        <v>0</v>
      </c>
      <c r="J80" s="13"/>
      <c r="K80" s="13"/>
      <c r="L80" s="14"/>
      <c r="N80" s="14"/>
      <c r="O80" s="14"/>
      <c r="P80" s="13"/>
      <c r="Q80" s="13" t="s">
        <v>110</v>
      </c>
      <c r="R80" s="13"/>
      <c r="S80" s="13"/>
    </row>
    <row r="81" spans="1:20" x14ac:dyDescent="0.25">
      <c r="A81" s="256" t="s">
        <v>27</v>
      </c>
      <c r="B81" s="240">
        <f>IF(OR(B71="",B71=0%),ABS(PMT((B70+B74)/12,B73,B66))+B75*B79/12,ABS(PMT((B71+B74+B72)/12,B73,B66))+B75*B79/12)</f>
        <v>1499.9999874930304</v>
      </c>
      <c r="C81" s="240">
        <f>IF(OR(C71="",C71=0%),ABS(PMT((C70+C74)/12,C73,C66))+C75*C79/12,ABS(PMT((C71+C74+C72)/12,C73,C66))+C75*C79/12)</f>
        <v>1484.4579645378456</v>
      </c>
      <c r="D81" s="240">
        <f>IF(OR(D71="",D71=0%),ABS(PMT((D70+D74)/12,D73,D66))+D75*D79/12,ABS(PMT((D71+D74+D72)/12,D73,D66))+D75*D79/12)</f>
        <v>1499.9999858680303</v>
      </c>
      <c r="E81" s="240">
        <f>IF(OR(E71="",E71=0%),ABS(PMT((E70+E74)/12,E73,E66))+E75*E79/12,ABS(PMT((E71+E74+E72)/12,E73,E66))+E75*E79/12)</f>
        <v>1484.4579629128455</v>
      </c>
      <c r="F81" s="250"/>
      <c r="G81" s="250"/>
      <c r="H81" s="250"/>
      <c r="I81" s="408">
        <f t="shared" si="2"/>
        <v>0</v>
      </c>
      <c r="J81" s="13"/>
      <c r="L81" s="14"/>
      <c r="M81" s="14">
        <f>IF(B8=L76,M76,IF(D8="Comercial",M77,M78))</f>
        <v>6</v>
      </c>
      <c r="Q81" s="13">
        <v>0</v>
      </c>
      <c r="R81" s="13">
        <f>IF(R79="CLÁSICA",750*D6,IF(R79="ORO",1500*D6,4000*D6))</f>
        <v>10290</v>
      </c>
      <c r="S81" s="13" t="s">
        <v>107</v>
      </c>
    </row>
    <row r="82" spans="1:20" x14ac:dyDescent="0.25">
      <c r="A82" s="256" t="s">
        <v>18</v>
      </c>
      <c r="B82" s="240">
        <f>B81/$D$6</f>
        <v>218.65889030510647</v>
      </c>
      <c r="C82" s="275">
        <f t="shared" ref="C82:D82" si="3">C81/$D$6</f>
        <v>216.39328929123113</v>
      </c>
      <c r="D82" s="275">
        <f t="shared" si="3"/>
        <v>218.65889006822599</v>
      </c>
      <c r="E82" s="275">
        <f t="shared" ref="E82" si="4">E81/$D$6</f>
        <v>216.39328905435065</v>
      </c>
      <c r="F82" s="250"/>
      <c r="G82" s="250"/>
      <c r="H82" s="250"/>
      <c r="I82" s="408">
        <f t="shared" si="2"/>
        <v>0</v>
      </c>
      <c r="J82" s="13"/>
      <c r="Q82" s="13">
        <f>R81</f>
        <v>10290</v>
      </c>
      <c r="R82" s="13">
        <v>100000</v>
      </c>
      <c r="S82" s="13" t="s">
        <v>109</v>
      </c>
    </row>
    <row r="83" spans="1:20" x14ac:dyDescent="0.25">
      <c r="A83" s="452" t="s">
        <v>92</v>
      </c>
      <c r="B83" s="410">
        <f>IFERROR((($B$37+$B$38+$B$39+$B$40+$B$41+B42+$B$47+$B$48+$B$49+$B$50+$B$82+$B$44)/$B$32),0)</f>
        <v>0.24999999874930304</v>
      </c>
      <c r="C83" s="410">
        <f>IFERROR((($B$37+$B$38+$B$39+$B$40+$B$41+B42+$B$47+$B$48+$B$49+$B$50+$C$82+$B$44)/$B$32),0)</f>
        <v>0.24844579645378453</v>
      </c>
      <c r="D83" s="410">
        <f>IFERROR((($B$37+$B$38+$B$39+$B$40+$B$41+B42+$B$47+$B$48+$B$49+$B$50+$D$82+$B$44)/$B$32),0)</f>
        <v>0.24999999858680305</v>
      </c>
      <c r="E83" s="410">
        <f>IFERROR((($B$37+$B$38+$B$39+$B$40+$B$41+B42+$B$47+$B$48+$B$49+$B$50+$E$82+$B$44)/$B$32),0)</f>
        <v>0.24844579629128455</v>
      </c>
      <c r="F83" s="250"/>
      <c r="G83" s="250"/>
      <c r="H83" s="250"/>
      <c r="I83" s="408">
        <f t="shared" si="2"/>
        <v>0</v>
      </c>
      <c r="J83" s="13"/>
      <c r="S83" s="98"/>
      <c r="T83" s="122"/>
    </row>
    <row r="84" spans="1:20" x14ac:dyDescent="0.25">
      <c r="A84" s="421" t="s">
        <v>23</v>
      </c>
      <c r="B84" s="422" t="str">
        <f>IF(B83&gt;$B$33,"no califica","califica")</f>
        <v>califica</v>
      </c>
      <c r="C84" s="422" t="str">
        <f>IF(C83&gt;$B$33,"no califica","califica")</f>
        <v>califica</v>
      </c>
      <c r="D84" s="422" t="str">
        <f>IF(D83&gt;$B$33,"no califica","califica")</f>
        <v>califica</v>
      </c>
      <c r="E84" s="422" t="str">
        <f>IF(E83&gt;$B$33,"no califica","califica")</f>
        <v>califica</v>
      </c>
      <c r="F84" s="332" t="s">
        <v>220</v>
      </c>
      <c r="G84" s="419">
        <f>+K149</f>
        <v>26937.760932944606</v>
      </c>
      <c r="H84" s="526" t="s">
        <v>224</v>
      </c>
      <c r="I84" s="527"/>
      <c r="J84" s="13"/>
      <c r="T84" s="122"/>
    </row>
    <row r="85" spans="1:20" x14ac:dyDescent="0.25">
      <c r="A85" s="421" t="s">
        <v>192</v>
      </c>
      <c r="B85" s="422" t="str">
        <f>+IFERROR(IF(($B$38+$B$39+$B$40+$B$48+$B$49+B82-K28-K29-K34-K35)/$B$32&gt;$M$37,"No Cumple","Cumple"),"")</f>
        <v>Cumple</v>
      </c>
      <c r="C85" s="422" t="str">
        <f>+IFERROR(IF(($B$38+$B$39+$B$40+$B$48+$B$49+C82-K28-K29-K34-K35)/$B$32&gt;$M$37,"No Cumple","Cumple"),"")</f>
        <v>Cumple</v>
      </c>
      <c r="D85" s="422" t="str">
        <f>+IFERROR(IF(($B$38+$B$39+$B$40+$B$48+$B$49+D82-K28-K29-K34-K35)/$B$32&gt;$M$37,"No Cumple","Cumple"),"")</f>
        <v>Cumple</v>
      </c>
      <c r="E85" s="422" t="str">
        <f>+IFERROR(IF(($B$38+$B$39+$B$40+$B$48+$B$49+E82-K28-K29-K34-K35)/$B$32&gt;$M$37,"No Cumple","Cumple"),"")</f>
        <v>Cumple</v>
      </c>
      <c r="F85" s="332" t="s">
        <v>221</v>
      </c>
      <c r="G85" s="420">
        <f>I78+I79+I80+I81+I82+I83</f>
        <v>101121.43440233235</v>
      </c>
      <c r="H85" s="602" t="str">
        <f>P180</f>
        <v>División Riesgos</v>
      </c>
      <c r="I85" s="602"/>
      <c r="J85" s="13"/>
      <c r="K85" s="14" t="s">
        <v>150</v>
      </c>
      <c r="L85" s="14" t="s">
        <v>154</v>
      </c>
      <c r="M85" s="14"/>
      <c r="N85" s="14"/>
      <c r="O85" s="14"/>
      <c r="P85" s="13"/>
      <c r="T85" s="122"/>
    </row>
    <row r="86" spans="1:20" ht="15.75" thickBot="1" x14ac:dyDescent="0.3">
      <c r="A86" s="597" t="s">
        <v>90</v>
      </c>
      <c r="B86" s="598"/>
      <c r="C86" s="598"/>
      <c r="D86" s="598"/>
      <c r="E86" s="599"/>
      <c r="F86" s="13"/>
      <c r="G86" s="13"/>
      <c r="H86" s="13"/>
      <c r="I86" s="13"/>
      <c r="K86" s="14" t="s">
        <v>149</v>
      </c>
      <c r="L86" s="14" t="s">
        <v>156</v>
      </c>
      <c r="M86" s="14"/>
      <c r="N86" s="14"/>
      <c r="O86" s="14"/>
      <c r="P86" s="13"/>
      <c r="T86" s="122"/>
    </row>
    <row r="87" spans="1:20" x14ac:dyDescent="0.25">
      <c r="A87" s="493" t="s">
        <v>297</v>
      </c>
      <c r="B87" s="494" t="str">
        <f ca="1">IF(B10="Casado/Conviviente",O192,K192)</f>
        <v>SI CALIFICA</v>
      </c>
      <c r="C87" s="278"/>
      <c r="D87" s="278"/>
      <c r="E87" s="278"/>
      <c r="F87" s="278"/>
      <c r="G87" s="278"/>
      <c r="H87" s="278"/>
      <c r="I87" s="279"/>
      <c r="J87" s="79"/>
      <c r="K87" s="14" t="s">
        <v>170</v>
      </c>
      <c r="L87" s="14" t="s">
        <v>184</v>
      </c>
      <c r="M87" s="14"/>
      <c r="N87" s="14"/>
      <c r="O87" s="14"/>
      <c r="P87" s="13"/>
      <c r="T87" s="122"/>
    </row>
    <row r="88" spans="1:20" x14ac:dyDescent="0.25">
      <c r="A88" s="413" t="s">
        <v>159</v>
      </c>
      <c r="B88" s="263" t="s">
        <v>333</v>
      </c>
      <c r="C88" s="491" t="s">
        <v>117</v>
      </c>
      <c r="D88" s="280" t="str">
        <f>IF(OR(B95=K102,B95=K103),B60,B65)</f>
        <v>Muy Bueno</v>
      </c>
      <c r="E88" s="492"/>
      <c r="F88" s="492" t="s">
        <v>270</v>
      </c>
      <c r="G88" s="476"/>
      <c r="H88" s="263"/>
      <c r="I88" s="486"/>
      <c r="J88" s="79"/>
      <c r="K88" s="14" t="s">
        <v>151</v>
      </c>
      <c r="L88" s="14" t="s">
        <v>152</v>
      </c>
      <c r="M88" s="14"/>
      <c r="N88" s="14"/>
      <c r="O88" s="14"/>
      <c r="P88" s="13"/>
      <c r="T88" s="122"/>
    </row>
    <row r="89" spans="1:20" x14ac:dyDescent="0.25">
      <c r="A89" s="413"/>
      <c r="B89" s="492"/>
      <c r="C89" s="492" t="s">
        <v>173</v>
      </c>
      <c r="D89" s="492"/>
      <c r="E89" s="492"/>
      <c r="F89" s="492" t="s">
        <v>271</v>
      </c>
      <c r="G89" s="476"/>
      <c r="H89" s="263"/>
      <c r="I89" s="486"/>
      <c r="J89" s="122"/>
      <c r="K89" s="14" t="s">
        <v>152</v>
      </c>
      <c r="L89" s="14" t="s">
        <v>155</v>
      </c>
      <c r="M89" s="14"/>
      <c r="N89" s="14"/>
      <c r="O89" s="14"/>
      <c r="P89" s="13"/>
      <c r="T89" s="122"/>
    </row>
    <row r="90" spans="1:20" x14ac:dyDescent="0.25">
      <c r="A90" s="413" t="s">
        <v>320</v>
      </c>
      <c r="B90" s="476"/>
      <c r="C90" s="263"/>
      <c r="D90" s="492"/>
      <c r="E90" s="492"/>
      <c r="F90" s="492" t="s">
        <v>316</v>
      </c>
      <c r="G90" s="476"/>
      <c r="H90" s="263"/>
      <c r="I90" s="486"/>
      <c r="J90" s="122"/>
      <c r="K90" s="14" t="s">
        <v>155</v>
      </c>
      <c r="L90" s="14" t="s">
        <v>199</v>
      </c>
      <c r="M90" s="14"/>
      <c r="N90" s="14"/>
      <c r="O90" s="14"/>
      <c r="P90" s="13"/>
      <c r="T90" s="122"/>
    </row>
    <row r="91" spans="1:20" x14ac:dyDescent="0.25">
      <c r="A91" s="413" t="s">
        <v>321</v>
      </c>
      <c r="B91" s="476"/>
      <c r="C91" s="263"/>
      <c r="D91" s="492"/>
      <c r="E91" s="492"/>
      <c r="F91" s="492"/>
      <c r="G91" s="492"/>
      <c r="H91" s="492"/>
      <c r="I91" s="486"/>
      <c r="J91" s="122"/>
      <c r="K91" s="14" t="s">
        <v>201</v>
      </c>
      <c r="L91" s="14" t="s">
        <v>201</v>
      </c>
      <c r="M91" s="14"/>
      <c r="N91" s="14"/>
      <c r="O91" s="14"/>
      <c r="P91" s="13"/>
      <c r="T91" s="122"/>
    </row>
    <row r="92" spans="1:20" x14ac:dyDescent="0.25">
      <c r="A92" s="413" t="s">
        <v>322</v>
      </c>
      <c r="B92" s="476"/>
      <c r="C92" s="263"/>
      <c r="D92" s="492"/>
      <c r="E92" s="492"/>
      <c r="F92" s="492"/>
      <c r="G92" s="492"/>
      <c r="H92" s="492"/>
      <c r="I92" s="486"/>
      <c r="J92" s="122"/>
      <c r="K92" s="14"/>
      <c r="L92" s="14"/>
      <c r="M92" s="14"/>
      <c r="N92" s="14"/>
      <c r="O92" s="14"/>
      <c r="P92" s="13"/>
      <c r="T92" s="122"/>
    </row>
    <row r="93" spans="1:20" x14ac:dyDescent="0.25">
      <c r="A93" s="413" t="s">
        <v>157</v>
      </c>
      <c r="B93" s="281" t="str">
        <f>B9</f>
        <v>No</v>
      </c>
      <c r="C93" s="492"/>
      <c r="D93" s="492"/>
      <c r="E93" s="492"/>
      <c r="F93" s="492"/>
      <c r="G93" s="492"/>
      <c r="H93" s="492"/>
      <c r="I93" s="486"/>
      <c r="J93" s="122"/>
      <c r="K93" s="14"/>
      <c r="L93" s="14"/>
      <c r="M93" s="14"/>
      <c r="N93" s="14"/>
      <c r="O93" s="14"/>
      <c r="P93" s="14"/>
      <c r="T93" s="122"/>
    </row>
    <row r="94" spans="1:20" x14ac:dyDescent="0.25">
      <c r="A94" s="413"/>
      <c r="B94" s="492"/>
      <c r="C94" s="492"/>
      <c r="D94" s="492"/>
      <c r="E94" s="492"/>
      <c r="F94" s="492"/>
      <c r="G94" s="492"/>
      <c r="H94" s="492"/>
      <c r="I94" s="486"/>
      <c r="J94" s="122"/>
      <c r="K94" s="14"/>
      <c r="L94" s="14" t="s">
        <v>161</v>
      </c>
      <c r="M94" s="14" t="s">
        <v>14</v>
      </c>
      <c r="N94" s="14" t="s">
        <v>15</v>
      </c>
      <c r="O94" s="14" t="s">
        <v>183</v>
      </c>
      <c r="P94" s="14" t="s">
        <v>183</v>
      </c>
      <c r="Q94" s="98" t="s">
        <v>334</v>
      </c>
      <c r="T94" s="122"/>
    </row>
    <row r="95" spans="1:20" x14ac:dyDescent="0.25">
      <c r="A95" s="414" t="s">
        <v>165</v>
      </c>
      <c r="B95" s="475">
        <v>1</v>
      </c>
      <c r="C95" s="263" t="s">
        <v>204</v>
      </c>
      <c r="D95" s="492"/>
      <c r="E95" s="492"/>
      <c r="F95" s="492"/>
      <c r="G95" s="492"/>
      <c r="H95" s="492"/>
      <c r="I95" s="486"/>
      <c r="J95" s="455">
        <v>1</v>
      </c>
      <c r="K95" s="14">
        <v>1</v>
      </c>
      <c r="L95" s="142">
        <f>+B66</f>
        <v>184793.04</v>
      </c>
      <c r="M95" s="143">
        <f>+B70</f>
        <v>0.06</v>
      </c>
      <c r="N95" s="14">
        <f>+B73</f>
        <v>240</v>
      </c>
      <c r="O95" s="143">
        <f>+B74</f>
        <v>1.6E-2</v>
      </c>
      <c r="P95" s="143">
        <f>+B75</f>
        <v>1.9499999999999999E-3</v>
      </c>
      <c r="Q95" s="350">
        <f>B71</f>
        <v>0</v>
      </c>
      <c r="T95" s="122"/>
    </row>
    <row r="96" spans="1:20" x14ac:dyDescent="0.25">
      <c r="A96" s="414" t="s">
        <v>158</v>
      </c>
      <c r="B96" s="282">
        <f>IFERROR(VLOOKUP(B95,K95:N103,2,TRUE),"")</f>
        <v>184793.04</v>
      </c>
      <c r="C96" s="492"/>
      <c r="D96" s="492"/>
      <c r="E96" s="492"/>
      <c r="F96" s="492"/>
      <c r="G96" s="492"/>
      <c r="H96" s="492"/>
      <c r="I96" s="486"/>
      <c r="J96" s="455" t="s">
        <v>162</v>
      </c>
      <c r="K96" s="14" t="s">
        <v>162</v>
      </c>
      <c r="L96" s="142">
        <f>+C66</f>
        <v>184793.04</v>
      </c>
      <c r="M96" s="143">
        <f>+C70</f>
        <v>0.06</v>
      </c>
      <c r="N96" s="14">
        <f>+C73</f>
        <v>246</v>
      </c>
      <c r="O96" s="143">
        <f>+C74</f>
        <v>1.6E-2</v>
      </c>
      <c r="P96" s="143">
        <f>+C75</f>
        <v>1.9499999999999999E-3</v>
      </c>
      <c r="Q96" s="350">
        <f>C71</f>
        <v>0</v>
      </c>
      <c r="R96" s="97"/>
      <c r="T96" s="122"/>
    </row>
    <row r="97" spans="1:20" x14ac:dyDescent="0.25">
      <c r="A97" s="414" t="s">
        <v>335</v>
      </c>
      <c r="B97" s="283">
        <f>IFERROR(VLOOKUP(B95,K95:N103,3,TRUE),"")</f>
        <v>0.06</v>
      </c>
      <c r="C97" s="492"/>
      <c r="D97" s="492"/>
      <c r="E97" s="492"/>
      <c r="F97" s="492"/>
      <c r="G97" s="492"/>
      <c r="H97" s="492"/>
      <c r="I97" s="486"/>
      <c r="J97" s="455">
        <v>2</v>
      </c>
      <c r="K97" s="14">
        <v>2</v>
      </c>
      <c r="L97" s="142">
        <f>+D66</f>
        <v>184793.04</v>
      </c>
      <c r="M97" s="143">
        <f>+D70</f>
        <v>0.06</v>
      </c>
      <c r="N97" s="14">
        <f>+D73</f>
        <v>240</v>
      </c>
      <c r="O97" s="143">
        <f>+D74</f>
        <v>1.6E-2</v>
      </c>
      <c r="P97" s="143">
        <f>+D75</f>
        <v>3.0000000000000001E-3</v>
      </c>
      <c r="Q97" s="350">
        <f>D71</f>
        <v>0</v>
      </c>
      <c r="R97" s="97"/>
      <c r="T97" s="122"/>
    </row>
    <row r="98" spans="1:20" x14ac:dyDescent="0.25">
      <c r="A98" s="414" t="s">
        <v>334</v>
      </c>
      <c r="B98" s="283">
        <f>IFERROR(VLOOKUP(B95,K95:Q103,7,TRUE),"")</f>
        <v>0</v>
      </c>
      <c r="C98" s="499" t="s">
        <v>340</v>
      </c>
      <c r="D98" s="492"/>
      <c r="E98" s="492"/>
      <c r="F98" s="492"/>
      <c r="G98" s="492"/>
      <c r="H98" s="492"/>
      <c r="I98" s="486"/>
      <c r="J98" s="455" t="s">
        <v>163</v>
      </c>
      <c r="K98" s="14" t="s">
        <v>163</v>
      </c>
      <c r="L98" s="142">
        <f>E66</f>
        <v>184793.04</v>
      </c>
      <c r="M98" s="143">
        <f>E70</f>
        <v>0.06</v>
      </c>
      <c r="N98" s="14">
        <f>E73</f>
        <v>246</v>
      </c>
      <c r="O98" s="143">
        <f>E74</f>
        <v>1.6E-2</v>
      </c>
      <c r="P98" s="500">
        <f>E75</f>
        <v>3.0000000000000001E-3</v>
      </c>
      <c r="Q98" s="350">
        <f>E71</f>
        <v>0</v>
      </c>
      <c r="R98" s="97"/>
    </row>
    <row r="99" spans="1:20" x14ac:dyDescent="0.25">
      <c r="A99" s="414" t="s">
        <v>15</v>
      </c>
      <c r="B99" s="281">
        <f>IFERROR(VLOOKUP(B95,K95:N103,4,TRUE),"")</f>
        <v>240</v>
      </c>
      <c r="C99" s="492"/>
      <c r="D99" s="492"/>
      <c r="E99" s="492"/>
      <c r="F99" s="492"/>
      <c r="G99" s="492"/>
      <c r="H99" s="492"/>
      <c r="I99" s="486"/>
      <c r="J99" s="455" t="s">
        <v>166</v>
      </c>
      <c r="K99" s="14">
        <v>3</v>
      </c>
      <c r="L99" s="142" t="e">
        <f>+#REF!</f>
        <v>#REF!</v>
      </c>
      <c r="M99" s="143" t="e">
        <f>+#REF!</f>
        <v>#REF!</v>
      </c>
      <c r="N99" s="14" t="str">
        <f>+G74</f>
        <v>SE CUMPLE CÚMULO</v>
      </c>
      <c r="O99" s="143">
        <f>+G75</f>
        <v>0</v>
      </c>
      <c r="P99" s="13"/>
      <c r="R99" s="97"/>
    </row>
    <row r="100" spans="1:20" x14ac:dyDescent="0.25">
      <c r="A100" s="413" t="s">
        <v>182</v>
      </c>
      <c r="B100" s="283">
        <f>IFERROR(VLOOKUP(B95,K95:O103,5,TRUE),"")</f>
        <v>1.6E-2</v>
      </c>
      <c r="C100" s="496" t="str">
        <f>IFERROR(IF(B10="Casado/Conviviente","Mancómuno","Individual"),"")</f>
        <v>Mancómuno</v>
      </c>
      <c r="D100" s="492"/>
      <c r="E100" s="492"/>
      <c r="F100" s="492"/>
      <c r="G100" s="492"/>
      <c r="H100" s="492"/>
      <c r="I100" s="486"/>
      <c r="J100" s="455" t="s">
        <v>167</v>
      </c>
      <c r="K100" s="14" t="s">
        <v>164</v>
      </c>
      <c r="L100" s="142" t="e">
        <f>+#REF!</f>
        <v>#REF!</v>
      </c>
      <c r="M100" s="143" t="e">
        <f>+#REF!</f>
        <v>#REF!</v>
      </c>
      <c r="N100" s="14">
        <f>+H74</f>
        <v>0</v>
      </c>
      <c r="O100" s="143">
        <f>+H75</f>
        <v>0</v>
      </c>
      <c r="P100" s="13"/>
      <c r="R100" s="97"/>
    </row>
    <row r="101" spans="1:20" x14ac:dyDescent="0.25">
      <c r="A101" s="413" t="s">
        <v>17</v>
      </c>
      <c r="B101" s="284">
        <f>IFERROR(VLOOKUP(B95,K95:P103,6,TRUE),"")</f>
        <v>1.9499999999999999E-3</v>
      </c>
      <c r="C101" s="496"/>
      <c r="D101" s="492"/>
      <c r="E101" s="492"/>
      <c r="F101" s="492"/>
      <c r="G101" s="492"/>
      <c r="H101" s="492"/>
      <c r="I101" s="486"/>
      <c r="J101" s="122"/>
      <c r="K101" s="14">
        <v>4</v>
      </c>
      <c r="L101" s="142" t="e">
        <f>+#REF!</f>
        <v>#REF!</v>
      </c>
      <c r="M101" s="143" t="e">
        <f>+#REF!</f>
        <v>#REF!</v>
      </c>
      <c r="N101" s="14">
        <f>+I74</f>
        <v>0</v>
      </c>
      <c r="O101" s="143">
        <f>+I75</f>
        <v>0</v>
      </c>
      <c r="P101" s="13"/>
      <c r="R101" s="97"/>
    </row>
    <row r="102" spans="1:20" x14ac:dyDescent="0.25">
      <c r="A102" s="415" t="s">
        <v>275</v>
      </c>
      <c r="B102" s="477" t="s">
        <v>223</v>
      </c>
      <c r="C102" s="496"/>
      <c r="D102" s="492"/>
      <c r="E102" s="492"/>
      <c r="F102" s="492"/>
      <c r="G102" s="492"/>
      <c r="H102" s="492"/>
      <c r="I102" s="486"/>
      <c r="J102" s="122"/>
      <c r="K102" s="14" t="s">
        <v>166</v>
      </c>
      <c r="L102" s="148">
        <f>+C58</f>
        <v>68600</v>
      </c>
      <c r="M102" s="14" t="s">
        <v>169</v>
      </c>
      <c r="N102" s="14" t="s">
        <v>169</v>
      </c>
      <c r="O102" s="14" t="s">
        <v>202</v>
      </c>
      <c r="P102" s="13"/>
      <c r="R102" s="97"/>
    </row>
    <row r="103" spans="1:20" x14ac:dyDescent="0.25">
      <c r="A103" s="413" t="s">
        <v>174</v>
      </c>
      <c r="B103" s="545" t="s">
        <v>174</v>
      </c>
      <c r="C103" s="546"/>
      <c r="D103" s="492"/>
      <c r="E103" s="492"/>
      <c r="F103" s="492"/>
      <c r="G103" s="492"/>
      <c r="H103" s="492"/>
      <c r="I103" s="486"/>
      <c r="J103" s="122"/>
      <c r="K103" s="14" t="s">
        <v>167</v>
      </c>
      <c r="L103" s="148">
        <f>+D58</f>
        <v>0</v>
      </c>
      <c r="M103" s="14" t="s">
        <v>169</v>
      </c>
      <c r="N103" s="14" t="s">
        <v>169</v>
      </c>
      <c r="O103" s="14" t="s">
        <v>202</v>
      </c>
      <c r="P103" s="13"/>
      <c r="R103" s="97"/>
    </row>
    <row r="104" spans="1:20" x14ac:dyDescent="0.25">
      <c r="A104" s="413" t="s">
        <v>254</v>
      </c>
      <c r="B104" s="492"/>
      <c r="C104" s="492"/>
      <c r="D104" s="492"/>
      <c r="E104" s="492"/>
      <c r="F104" s="492"/>
      <c r="G104" s="492"/>
      <c r="H104" s="492"/>
      <c r="I104" s="486"/>
      <c r="J104" s="122"/>
      <c r="K104" s="14"/>
      <c r="L104" s="14"/>
      <c r="M104" s="14"/>
      <c r="N104" s="14">
        <v>60</v>
      </c>
      <c r="O104" s="14"/>
      <c r="P104" s="13"/>
      <c r="R104" s="97"/>
    </row>
    <row r="105" spans="1:20" x14ac:dyDescent="0.25">
      <c r="A105" s="600"/>
      <c r="B105" s="601"/>
      <c r="C105" s="601"/>
      <c r="D105" s="601"/>
      <c r="E105" s="601"/>
      <c r="F105" s="601"/>
      <c r="G105" s="601"/>
      <c r="H105" s="601"/>
      <c r="I105" s="486"/>
      <c r="J105" s="122"/>
      <c r="K105" s="14"/>
      <c r="L105" s="14"/>
      <c r="M105" s="14"/>
      <c r="N105" s="14"/>
      <c r="O105" s="14"/>
      <c r="P105" s="13"/>
      <c r="R105" s="97"/>
    </row>
    <row r="106" spans="1:20" x14ac:dyDescent="0.25">
      <c r="A106" s="411"/>
      <c r="B106" s="492"/>
      <c r="C106" s="492"/>
      <c r="D106" s="492"/>
      <c r="E106" s="492"/>
      <c r="F106" s="492"/>
      <c r="G106" s="492"/>
      <c r="H106" s="492"/>
      <c r="I106" s="490"/>
      <c r="J106" s="122"/>
      <c r="K106" s="14"/>
      <c r="L106" s="14"/>
      <c r="M106" s="14"/>
      <c r="N106" s="14"/>
      <c r="O106" s="14" t="s">
        <v>203</v>
      </c>
      <c r="P106" s="13"/>
      <c r="R106" s="98" t="s">
        <v>203</v>
      </c>
    </row>
    <row r="107" spans="1:20" x14ac:dyDescent="0.25">
      <c r="A107" s="619" t="s">
        <v>310</v>
      </c>
      <c r="B107" s="620"/>
      <c r="C107" s="620"/>
      <c r="D107" s="620"/>
      <c r="E107" s="620"/>
      <c r="F107" s="620"/>
      <c r="G107" s="620"/>
      <c r="H107" s="620"/>
      <c r="I107" s="486"/>
      <c r="J107" s="122"/>
      <c r="K107" s="14"/>
      <c r="L107" s="14"/>
      <c r="M107" s="14"/>
      <c r="N107" s="14"/>
      <c r="O107" s="14" t="s">
        <v>204</v>
      </c>
      <c r="P107" s="13"/>
      <c r="R107" s="98" t="s">
        <v>204</v>
      </c>
    </row>
    <row r="108" spans="1:20" x14ac:dyDescent="0.25">
      <c r="A108" s="600"/>
      <c r="B108" s="601"/>
      <c r="C108" s="601"/>
      <c r="D108" s="601"/>
      <c r="E108" s="601"/>
      <c r="F108" s="601"/>
      <c r="G108" s="601"/>
      <c r="H108" s="601"/>
      <c r="I108" s="486"/>
      <c r="J108" s="122"/>
      <c r="K108" s="14" t="s">
        <v>174</v>
      </c>
      <c r="L108" s="14"/>
      <c r="M108" s="14"/>
      <c r="N108" s="14"/>
      <c r="O108" s="14" t="s">
        <v>253</v>
      </c>
      <c r="P108" s="13"/>
      <c r="R108" s="98" t="s">
        <v>253</v>
      </c>
    </row>
    <row r="109" spans="1:20" x14ac:dyDescent="0.25">
      <c r="A109" s="600"/>
      <c r="B109" s="601"/>
      <c r="C109" s="601"/>
      <c r="D109" s="601"/>
      <c r="E109" s="601"/>
      <c r="F109" s="601"/>
      <c r="G109" s="601"/>
      <c r="H109" s="601"/>
      <c r="I109" s="486"/>
      <c r="J109" s="122"/>
      <c r="K109" s="14" t="s">
        <v>175</v>
      </c>
      <c r="L109" s="14"/>
      <c r="M109" s="14"/>
      <c r="N109" s="14"/>
      <c r="O109" s="98" t="s">
        <v>333</v>
      </c>
      <c r="P109" s="14" t="s">
        <v>208</v>
      </c>
      <c r="R109" s="97" t="s">
        <v>256</v>
      </c>
    </row>
    <row r="110" spans="1:20" x14ac:dyDescent="0.25">
      <c r="A110" s="600"/>
      <c r="B110" s="601"/>
      <c r="C110" s="601"/>
      <c r="D110" s="601"/>
      <c r="E110" s="601"/>
      <c r="F110" s="601"/>
      <c r="G110" s="601"/>
      <c r="H110" s="601"/>
      <c r="I110" s="486"/>
      <c r="J110" s="122"/>
      <c r="K110" s="14" t="s">
        <v>176</v>
      </c>
      <c r="L110" s="14"/>
      <c r="M110" s="14"/>
      <c r="N110" s="14"/>
      <c r="O110" s="14" t="s">
        <v>7</v>
      </c>
      <c r="P110" s="13"/>
      <c r="R110" s="97" t="s">
        <v>257</v>
      </c>
    </row>
    <row r="111" spans="1:20" x14ac:dyDescent="0.25">
      <c r="A111" s="600"/>
      <c r="B111" s="601"/>
      <c r="C111" s="601"/>
      <c r="D111" s="601"/>
      <c r="E111" s="601"/>
      <c r="F111" s="601"/>
      <c r="G111" s="601"/>
      <c r="H111" s="601"/>
      <c r="I111" s="486"/>
      <c r="J111" s="122"/>
      <c r="K111" s="14" t="s">
        <v>177</v>
      </c>
      <c r="L111" s="14"/>
      <c r="M111" s="14"/>
      <c r="N111" s="14"/>
      <c r="O111" s="14" t="s">
        <v>160</v>
      </c>
      <c r="P111" s="13"/>
      <c r="R111" s="97" t="s">
        <v>337</v>
      </c>
    </row>
    <row r="112" spans="1:20" ht="15.75" thickBot="1" x14ac:dyDescent="0.3">
      <c r="A112" s="617"/>
      <c r="B112" s="618"/>
      <c r="C112" s="618"/>
      <c r="D112" s="618"/>
      <c r="E112" s="618"/>
      <c r="F112" s="618"/>
      <c r="G112" s="618"/>
      <c r="H112" s="618"/>
      <c r="I112" s="489"/>
      <c r="J112" s="122"/>
      <c r="K112" s="97" t="s">
        <v>303</v>
      </c>
      <c r="L112" s="14"/>
      <c r="M112" s="14"/>
      <c r="N112" s="14"/>
      <c r="O112" s="14" t="s">
        <v>63</v>
      </c>
      <c r="P112" s="13"/>
      <c r="R112" s="97" t="s">
        <v>338</v>
      </c>
    </row>
    <row r="113" spans="1:24" ht="15.75" hidden="1" outlineLevel="1" thickBot="1" x14ac:dyDescent="0.3">
      <c r="A113" s="285" t="s">
        <v>50</v>
      </c>
      <c r="B113" s="286" t="s">
        <v>51</v>
      </c>
      <c r="C113" s="287">
        <f>C29</f>
        <v>0</v>
      </c>
      <c r="D113" s="288"/>
      <c r="K113" s="14" t="s">
        <v>178</v>
      </c>
      <c r="O113" s="14" t="s">
        <v>119</v>
      </c>
      <c r="R113" s="97" t="s">
        <v>339</v>
      </c>
    </row>
    <row r="114" spans="1:24" ht="15.75" hidden="1" outlineLevel="1" thickTop="1" x14ac:dyDescent="0.25">
      <c r="A114" s="88"/>
      <c r="B114" s="88"/>
      <c r="C114" s="88"/>
      <c r="D114" s="88"/>
      <c r="K114" s="14" t="s">
        <v>179</v>
      </c>
      <c r="O114" s="14" t="s">
        <v>209</v>
      </c>
      <c r="R114" s="97"/>
    </row>
    <row r="115" spans="1:24" hidden="1" outlineLevel="1" x14ac:dyDescent="0.25">
      <c r="A115" s="289" t="s">
        <v>33</v>
      </c>
      <c r="B115" s="290" t="s">
        <v>34</v>
      </c>
      <c r="C115" s="289" t="s">
        <v>35</v>
      </c>
      <c r="D115" s="288"/>
      <c r="K115" s="14" t="s">
        <v>180</v>
      </c>
      <c r="O115" s="14" t="s">
        <v>210</v>
      </c>
      <c r="R115" s="97"/>
    </row>
    <row r="116" spans="1:24" hidden="1" outlineLevel="1" x14ac:dyDescent="0.25">
      <c r="A116" s="291" t="s">
        <v>36</v>
      </c>
      <c r="B116" s="292">
        <v>0.03</v>
      </c>
      <c r="C116" s="293">
        <f>IF(C113&gt;40770,40770*B116,C113*B116)</f>
        <v>0</v>
      </c>
      <c r="D116" s="288"/>
      <c r="K116" s="14" t="s">
        <v>181</v>
      </c>
      <c r="R116" s="97"/>
    </row>
    <row r="117" spans="1:24" hidden="1" outlineLevel="1" x14ac:dyDescent="0.25">
      <c r="A117" s="291" t="s">
        <v>37</v>
      </c>
      <c r="B117" s="294">
        <v>1.7100000000000001E-2</v>
      </c>
      <c r="C117" s="293">
        <f>IF(C113&gt;40770,40770*B117,C113*B117)</f>
        <v>0</v>
      </c>
      <c r="D117" s="288"/>
      <c r="K117" s="14" t="s">
        <v>185</v>
      </c>
      <c r="R117" s="97"/>
    </row>
    <row r="118" spans="1:24" hidden="1" outlineLevel="1" x14ac:dyDescent="0.25">
      <c r="A118" s="295" t="s">
        <v>38</v>
      </c>
      <c r="B118" s="296"/>
      <c r="C118" s="297">
        <f>SUM(C116:C117)</f>
        <v>0</v>
      </c>
      <c r="D118" s="298"/>
      <c r="K118" s="14" t="s">
        <v>186</v>
      </c>
      <c r="R118" s="97"/>
    </row>
    <row r="119" spans="1:24" hidden="1" outlineLevel="1" x14ac:dyDescent="0.25">
      <c r="A119" s="289" t="s">
        <v>39</v>
      </c>
      <c r="B119" s="289"/>
      <c r="C119" s="299"/>
      <c r="D119" s="288"/>
      <c r="K119" s="14" t="s">
        <v>187</v>
      </c>
      <c r="R119" s="97"/>
    </row>
    <row r="120" spans="1:24" hidden="1" outlineLevel="1" x14ac:dyDescent="0.25">
      <c r="A120" s="291" t="s">
        <v>40</v>
      </c>
      <c r="B120" s="294">
        <v>0.1</v>
      </c>
      <c r="C120" s="293">
        <f>IF(C113&gt;40770,40770*B120,C113*B120)</f>
        <v>0</v>
      </c>
      <c r="D120" s="288"/>
      <c r="K120" s="14" t="s">
        <v>188</v>
      </c>
      <c r="R120" s="97"/>
    </row>
    <row r="121" spans="1:24" hidden="1" outlineLevel="1" x14ac:dyDescent="0.25">
      <c r="A121" s="291" t="s">
        <v>41</v>
      </c>
      <c r="B121" s="294">
        <v>5.0000000000000001E-3</v>
      </c>
      <c r="C121" s="293">
        <f>IF(C113&gt;40770,40770*B121,C113*B121)</f>
        <v>0</v>
      </c>
      <c r="D121" s="288"/>
      <c r="K121" s="14" t="s">
        <v>189</v>
      </c>
      <c r="R121" s="97"/>
    </row>
    <row r="122" spans="1:24" hidden="1" outlineLevel="1" x14ac:dyDescent="0.25">
      <c r="A122" s="291" t="s">
        <v>42</v>
      </c>
      <c r="B122" s="294">
        <v>1.7100000000000001E-2</v>
      </c>
      <c r="C122" s="293">
        <f>IF(C113&gt;40770,40770*B122,C113*B122)</f>
        <v>0</v>
      </c>
      <c r="D122" s="288"/>
      <c r="K122" s="14" t="s">
        <v>190</v>
      </c>
      <c r="R122" s="97"/>
    </row>
    <row r="123" spans="1:24" hidden="1" outlineLevel="1" x14ac:dyDescent="0.25">
      <c r="A123" s="291" t="s">
        <v>43</v>
      </c>
      <c r="B123" s="294">
        <v>5.0000000000000001E-3</v>
      </c>
      <c r="C123" s="293">
        <f>IF(C113&gt;40770,40770*B123,C113*B123)</f>
        <v>0</v>
      </c>
      <c r="D123" s="289" t="s">
        <v>44</v>
      </c>
      <c r="R123" s="97"/>
    </row>
    <row r="124" spans="1:24" hidden="1" outlineLevel="1" x14ac:dyDescent="0.25">
      <c r="A124" s="291" t="s">
        <v>45</v>
      </c>
      <c r="B124" s="294">
        <v>0.01</v>
      </c>
      <c r="C124" s="293">
        <f>IF((C113-13000)&gt;0,(C113-13000)*B124,0)</f>
        <v>0</v>
      </c>
      <c r="D124" s="300" t="s">
        <v>46</v>
      </c>
      <c r="R124" s="97"/>
    </row>
    <row r="125" spans="1:24" hidden="1" outlineLevel="1" x14ac:dyDescent="0.25">
      <c r="A125" s="291" t="s">
        <v>45</v>
      </c>
      <c r="B125" s="294">
        <v>0.05</v>
      </c>
      <c r="C125" s="293">
        <f>IF((C113-25000)&gt;0,(C113-25000)*B125,0)</f>
        <v>0</v>
      </c>
      <c r="D125" s="300" t="s">
        <v>47</v>
      </c>
      <c r="K125" s="166" t="s">
        <v>217</v>
      </c>
      <c r="L125" s="14"/>
      <c r="M125" s="14"/>
      <c r="N125" s="14"/>
      <c r="O125" s="14" t="s">
        <v>237</v>
      </c>
      <c r="P125" s="13"/>
      <c r="Q125" s="13"/>
      <c r="R125" s="13"/>
      <c r="S125" s="13"/>
      <c r="T125" s="13"/>
      <c r="U125" s="13"/>
      <c r="V125" s="13"/>
      <c r="W125" s="79"/>
      <c r="X125" s="79"/>
    </row>
    <row r="126" spans="1:24" hidden="1" outlineLevel="1" x14ac:dyDescent="0.25">
      <c r="A126" s="291" t="s">
        <v>45</v>
      </c>
      <c r="B126" s="294">
        <v>0.1</v>
      </c>
      <c r="C126" s="293">
        <f>IF((C113-35000)&gt;0,(C113-35000)*B126,0)</f>
        <v>0</v>
      </c>
      <c r="D126" s="300" t="s">
        <v>48</v>
      </c>
      <c r="K126" s="14"/>
      <c r="L126" s="14"/>
      <c r="M126" s="14"/>
      <c r="N126" s="14"/>
      <c r="O126" s="14"/>
      <c r="P126" s="13"/>
      <c r="Q126" s="13"/>
      <c r="R126" s="13"/>
      <c r="S126" s="13"/>
      <c r="T126" s="13"/>
      <c r="U126" s="13"/>
      <c r="V126" s="13"/>
      <c r="W126" s="79"/>
      <c r="X126" s="79"/>
    </row>
    <row r="127" spans="1:24" hidden="1" outlineLevel="1" x14ac:dyDescent="0.25">
      <c r="A127" s="295"/>
      <c r="B127" s="296"/>
      <c r="C127" s="297">
        <f>SUM(C120:C126)</f>
        <v>0</v>
      </c>
      <c r="D127" s="298" t="e">
        <f>(C124+C125+C126)/C113</f>
        <v>#DIV/0!</v>
      </c>
      <c r="K127" s="167" t="s">
        <v>216</v>
      </c>
      <c r="L127" s="14"/>
      <c r="M127" s="14"/>
      <c r="N127" s="14"/>
      <c r="O127" s="169" t="s">
        <v>235</v>
      </c>
      <c r="P127" s="14"/>
      <c r="Q127" s="14"/>
      <c r="R127" s="13"/>
      <c r="S127" s="171"/>
      <c r="T127" s="178" t="s">
        <v>236</v>
      </c>
      <c r="U127" s="170"/>
      <c r="V127" s="170"/>
      <c r="W127" s="197"/>
      <c r="X127" s="198"/>
    </row>
    <row r="128" spans="1:24" hidden="1" outlineLevel="1" x14ac:dyDescent="0.25">
      <c r="A128" s="295" t="s">
        <v>49</v>
      </c>
      <c r="B128" s="296"/>
      <c r="C128" s="297">
        <f>C118+C127</f>
        <v>0</v>
      </c>
      <c r="D128" s="298"/>
      <c r="K128" s="14" t="s">
        <v>218</v>
      </c>
      <c r="L128" s="14"/>
      <c r="M128" s="14"/>
      <c r="N128" s="14"/>
      <c r="O128" s="172">
        <v>0</v>
      </c>
      <c r="P128" s="170"/>
      <c r="Q128" s="170"/>
      <c r="R128" s="170"/>
      <c r="S128" s="173"/>
      <c r="T128" s="179">
        <v>0</v>
      </c>
      <c r="U128" s="168">
        <v>9000</v>
      </c>
      <c r="V128" s="14">
        <v>1</v>
      </c>
      <c r="W128" s="199" t="s">
        <v>234</v>
      </c>
      <c r="X128" s="200"/>
    </row>
    <row r="129" spans="1:24" hidden="1" outlineLevel="1" x14ac:dyDescent="0.25">
      <c r="A129" s="288"/>
      <c r="B129" s="288"/>
      <c r="C129" s="288"/>
      <c r="D129" s="288"/>
      <c r="K129" s="14" t="s">
        <v>219</v>
      </c>
      <c r="L129" s="14"/>
      <c r="M129" s="14"/>
      <c r="N129" s="14"/>
      <c r="O129" s="172">
        <v>45001</v>
      </c>
      <c r="P129" s="168">
        <v>45000</v>
      </c>
      <c r="Q129" s="14">
        <v>1</v>
      </c>
      <c r="R129" s="14" t="s">
        <v>234</v>
      </c>
      <c r="S129" s="173"/>
      <c r="T129" s="179">
        <v>9001</v>
      </c>
      <c r="U129" s="168">
        <v>17000</v>
      </c>
      <c r="V129" s="14">
        <v>2</v>
      </c>
      <c r="W129" s="199" t="s">
        <v>233</v>
      </c>
      <c r="X129" s="200"/>
    </row>
    <row r="130" spans="1:24" hidden="1" outlineLevel="1" x14ac:dyDescent="0.25">
      <c r="A130" s="301" t="s">
        <v>52</v>
      </c>
      <c r="B130" s="302"/>
      <c r="C130" s="303">
        <f>C113-C127</f>
        <v>0</v>
      </c>
      <c r="D130" s="123"/>
      <c r="K130" s="14"/>
      <c r="L130" s="14"/>
      <c r="M130" s="14"/>
      <c r="N130" s="14"/>
      <c r="O130" s="172">
        <v>90001</v>
      </c>
      <c r="P130" s="168">
        <v>90000</v>
      </c>
      <c r="Q130" s="14">
        <v>2</v>
      </c>
      <c r="R130" s="14" t="s">
        <v>233</v>
      </c>
      <c r="S130" s="173"/>
      <c r="T130" s="179">
        <v>17001</v>
      </c>
      <c r="U130" s="168">
        <v>24000</v>
      </c>
      <c r="V130" s="14">
        <v>3</v>
      </c>
      <c r="W130" s="199" t="s">
        <v>232</v>
      </c>
      <c r="X130" s="200"/>
    </row>
    <row r="131" spans="1:24" hidden="1" outlineLevel="1" x14ac:dyDescent="0.25">
      <c r="K131" s="167" t="s">
        <v>222</v>
      </c>
      <c r="L131" s="14" t="s">
        <v>227</v>
      </c>
      <c r="M131" s="14"/>
      <c r="N131" s="14"/>
      <c r="O131" s="172">
        <v>150001</v>
      </c>
      <c r="P131" s="168">
        <v>150000</v>
      </c>
      <c r="Q131" s="14">
        <v>3</v>
      </c>
      <c r="R131" s="14" t="s">
        <v>232</v>
      </c>
      <c r="S131" s="173"/>
      <c r="T131" s="179">
        <v>24001</v>
      </c>
      <c r="U131" s="168">
        <v>35000</v>
      </c>
      <c r="V131" s="14">
        <v>4</v>
      </c>
      <c r="W131" s="199" t="s">
        <v>231</v>
      </c>
      <c r="X131" s="200"/>
    </row>
    <row r="132" spans="1:24" ht="15.75" hidden="1" outlineLevel="1" thickBot="1" x14ac:dyDescent="0.3">
      <c r="K132" s="14" t="s">
        <v>223</v>
      </c>
      <c r="L132" s="14"/>
      <c r="M132" s="14"/>
      <c r="N132" s="14"/>
      <c r="O132" s="172">
        <v>180001</v>
      </c>
      <c r="P132" s="168">
        <v>180000</v>
      </c>
      <c r="Q132" s="14">
        <v>4</v>
      </c>
      <c r="R132" s="14" t="s">
        <v>231</v>
      </c>
      <c r="S132" s="173"/>
      <c r="T132" s="179">
        <v>35001</v>
      </c>
      <c r="U132" s="168">
        <v>50000</v>
      </c>
      <c r="V132" s="14">
        <v>5</v>
      </c>
      <c r="W132" s="199" t="s">
        <v>229</v>
      </c>
      <c r="X132" s="200"/>
    </row>
    <row r="133" spans="1:24" ht="16.5" hidden="1" outlineLevel="1" thickTop="1" thickBot="1" x14ac:dyDescent="0.3">
      <c r="A133" s="285" t="s">
        <v>50</v>
      </c>
      <c r="B133" s="286" t="s">
        <v>51</v>
      </c>
      <c r="C133" s="304">
        <f>D29</f>
        <v>0</v>
      </c>
      <c r="D133" s="288"/>
      <c r="K133" s="14" t="s">
        <v>9</v>
      </c>
      <c r="L133" s="14"/>
      <c r="M133" s="14"/>
      <c r="N133" s="14"/>
      <c r="O133" s="172">
        <v>280001</v>
      </c>
      <c r="P133" s="168">
        <v>280000</v>
      </c>
      <c r="Q133" s="14">
        <v>5</v>
      </c>
      <c r="R133" s="14" t="s">
        <v>229</v>
      </c>
      <c r="S133" s="173"/>
      <c r="T133" s="179">
        <v>50001</v>
      </c>
      <c r="U133" s="168">
        <v>75000</v>
      </c>
      <c r="V133" s="14">
        <v>6</v>
      </c>
      <c r="W133" s="199" t="s">
        <v>230</v>
      </c>
      <c r="X133" s="200"/>
    </row>
    <row r="134" spans="1:24" ht="15.75" hidden="1" outlineLevel="1" thickTop="1" x14ac:dyDescent="0.25">
      <c r="A134" s="88"/>
      <c r="B134" s="88"/>
      <c r="C134" s="88"/>
      <c r="D134" s="88"/>
      <c r="K134" s="14" t="s">
        <v>267</v>
      </c>
      <c r="L134" s="14"/>
      <c r="M134" s="14"/>
      <c r="N134" s="14"/>
      <c r="O134" s="172">
        <v>380001</v>
      </c>
      <c r="P134" s="168">
        <v>380000</v>
      </c>
      <c r="Q134" s="14">
        <v>6</v>
      </c>
      <c r="R134" s="14" t="s">
        <v>230</v>
      </c>
      <c r="S134" s="173"/>
      <c r="T134" s="179">
        <v>75001</v>
      </c>
      <c r="U134" s="168">
        <v>100000</v>
      </c>
      <c r="V134" s="14">
        <v>7</v>
      </c>
      <c r="W134" s="199" t="s">
        <v>228</v>
      </c>
      <c r="X134" s="200"/>
    </row>
    <row r="135" spans="1:24" hidden="1" outlineLevel="1" x14ac:dyDescent="0.25">
      <c r="A135" s="289" t="s">
        <v>33</v>
      </c>
      <c r="B135" s="290" t="s">
        <v>34</v>
      </c>
      <c r="C135" s="289" t="s">
        <v>35</v>
      </c>
      <c r="D135" s="288"/>
      <c r="K135" s="14" t="s">
        <v>135</v>
      </c>
      <c r="L135" s="14"/>
      <c r="M135" s="14"/>
      <c r="N135" s="14"/>
      <c r="O135" s="174">
        <v>500001</v>
      </c>
      <c r="P135" s="168">
        <v>500000</v>
      </c>
      <c r="Q135" s="14">
        <v>7</v>
      </c>
      <c r="R135" s="14" t="s">
        <v>228</v>
      </c>
      <c r="S135" s="177"/>
      <c r="T135" s="180">
        <v>100001</v>
      </c>
      <c r="U135" s="175">
        <v>150000</v>
      </c>
      <c r="V135" s="176">
        <v>8</v>
      </c>
      <c r="W135" s="201" t="s">
        <v>227</v>
      </c>
      <c r="X135" s="202"/>
    </row>
    <row r="136" spans="1:24" hidden="1" outlineLevel="1" x14ac:dyDescent="0.25">
      <c r="A136" s="291" t="s">
        <v>36</v>
      </c>
      <c r="B136" s="292">
        <v>0.03</v>
      </c>
      <c r="C136" s="293">
        <f>IF(C133&gt;40770,40770*B136,C133*B136)</f>
        <v>0</v>
      </c>
      <c r="D136" s="288"/>
      <c r="K136" s="14" t="s">
        <v>144</v>
      </c>
      <c r="L136" s="14"/>
      <c r="M136" s="14"/>
      <c r="N136" s="14"/>
      <c r="O136" s="14">
        <v>600001</v>
      </c>
      <c r="P136" s="175">
        <v>600000</v>
      </c>
      <c r="Q136" s="176">
        <v>8</v>
      </c>
      <c r="R136" s="176" t="s">
        <v>227</v>
      </c>
      <c r="S136" s="13"/>
      <c r="T136" s="13">
        <v>150001</v>
      </c>
      <c r="U136" s="13">
        <v>1000000</v>
      </c>
      <c r="V136" s="168">
        <v>9</v>
      </c>
      <c r="W136" s="199" t="s">
        <v>276</v>
      </c>
      <c r="X136" s="199"/>
    </row>
    <row r="137" spans="1:24" hidden="1" outlineLevel="1" x14ac:dyDescent="0.25">
      <c r="A137" s="291" t="s">
        <v>37</v>
      </c>
      <c r="B137" s="294">
        <v>1.7100000000000001E-2</v>
      </c>
      <c r="C137" s="293">
        <f>IF(C133&gt;40770,40770*B137,C133*B137)</f>
        <v>0</v>
      </c>
      <c r="D137" s="288"/>
      <c r="K137" s="14" t="s">
        <v>143</v>
      </c>
      <c r="L137" s="14"/>
      <c r="M137" s="14"/>
      <c r="N137" s="14"/>
      <c r="P137" s="14"/>
      <c r="Q137" s="14">
        <v>9</v>
      </c>
      <c r="R137" s="13" t="s">
        <v>276</v>
      </c>
      <c r="S137" s="13"/>
      <c r="T137" s="14" t="s">
        <v>242</v>
      </c>
      <c r="U137" s="424">
        <f>G84</f>
        <v>26937.760932944606</v>
      </c>
    </row>
    <row r="138" spans="1:24" hidden="1" outlineLevel="1" x14ac:dyDescent="0.25">
      <c r="A138" s="295" t="s">
        <v>38</v>
      </c>
      <c r="B138" s="296"/>
      <c r="C138" s="297">
        <f>SUM(C136:C137)</f>
        <v>0</v>
      </c>
      <c r="D138" s="298"/>
      <c r="O138" s="14" t="s">
        <v>239</v>
      </c>
      <c r="P138" s="423">
        <f>G85</f>
        <v>101121.43440233235</v>
      </c>
      <c r="R138" s="97"/>
      <c r="T138" s="14" t="s">
        <v>243</v>
      </c>
      <c r="U138" s="211">
        <f>LOOKUP(U137,T128:U136,V128:V136)</f>
        <v>4</v>
      </c>
    </row>
    <row r="139" spans="1:24" hidden="1" outlineLevel="1" x14ac:dyDescent="0.25">
      <c r="A139" s="289" t="s">
        <v>39</v>
      </c>
      <c r="B139" s="289"/>
      <c r="C139" s="299"/>
      <c r="D139" s="288"/>
      <c r="O139" s="14" t="s">
        <v>240</v>
      </c>
      <c r="P139" s="210">
        <f>LOOKUP(P138,O128:P136,Q129:Q137)</f>
        <v>3</v>
      </c>
      <c r="R139" s="97"/>
    </row>
    <row r="140" spans="1:24" hidden="1" outlineLevel="1" x14ac:dyDescent="0.25">
      <c r="A140" s="291" t="s">
        <v>40</v>
      </c>
      <c r="B140" s="294">
        <v>0.1</v>
      </c>
      <c r="C140" s="293">
        <f>IF(C133&gt;40770,40770*B140,C133*B140)</f>
        <v>0</v>
      </c>
      <c r="D140" s="288"/>
      <c r="R140" s="97"/>
    </row>
    <row r="141" spans="1:24" hidden="1" outlineLevel="1" x14ac:dyDescent="0.25">
      <c r="A141" s="291" t="s">
        <v>41</v>
      </c>
      <c r="B141" s="294">
        <v>5.0000000000000001E-3</v>
      </c>
      <c r="C141" s="293">
        <f>IF(C133&gt;40770,40770*B141,C133*B141)</f>
        <v>0</v>
      </c>
      <c r="D141" s="288"/>
      <c r="K141" s="14" t="s">
        <v>241</v>
      </c>
      <c r="R141" s="97"/>
    </row>
    <row r="142" spans="1:24" hidden="1" outlineLevel="1" x14ac:dyDescent="0.25">
      <c r="A142" s="291" t="s">
        <v>42</v>
      </c>
      <c r="B142" s="294">
        <v>1.7100000000000001E-2</v>
      </c>
      <c r="C142" s="293">
        <f>IF(C133&gt;40770,40770*B142,C133*B142)</f>
        <v>0</v>
      </c>
      <c r="D142" s="288"/>
      <c r="K142" s="67" t="s">
        <v>218</v>
      </c>
      <c r="O142" s="14" t="s">
        <v>238</v>
      </c>
      <c r="P142" s="14"/>
      <c r="Q142" s="14"/>
      <c r="R142" s="13"/>
      <c r="S142" s="13"/>
      <c r="T142" s="13"/>
      <c r="U142" s="13"/>
      <c r="V142" s="168"/>
      <c r="W142" s="199"/>
    </row>
    <row r="143" spans="1:24" hidden="1" outlineLevel="1" x14ac:dyDescent="0.25">
      <c r="A143" s="291" t="s">
        <v>43</v>
      </c>
      <c r="B143" s="294">
        <v>5.0000000000000001E-3</v>
      </c>
      <c r="C143" s="293">
        <f>IF(C133&gt;40770,40770*B143,C133*B143)</f>
        <v>0</v>
      </c>
      <c r="D143" s="289" t="s">
        <v>44</v>
      </c>
      <c r="K143" s="208">
        <f t="shared" ref="K143:K148" si="5">IF(G78=$K$128,I78,0)</f>
        <v>26937.760932944606</v>
      </c>
      <c r="O143" s="181" t="s">
        <v>223</v>
      </c>
      <c r="P143" s="13"/>
      <c r="Q143" s="13"/>
      <c r="R143" s="13"/>
      <c r="S143" s="13"/>
      <c r="T143" s="182" t="s">
        <v>143</v>
      </c>
      <c r="U143" s="170"/>
      <c r="V143" s="170"/>
      <c r="W143" s="183"/>
    </row>
    <row r="144" spans="1:24" hidden="1" outlineLevel="1" x14ac:dyDescent="0.25">
      <c r="A144" s="291" t="s">
        <v>45</v>
      </c>
      <c r="B144" s="294">
        <v>0.01</v>
      </c>
      <c r="C144" s="293">
        <f>IF((C133-13000)&gt;0,(C133-13000)*B144,0)</f>
        <v>0</v>
      </c>
      <c r="D144" s="300" t="s">
        <v>46</v>
      </c>
      <c r="K144" s="208">
        <f t="shared" si="5"/>
        <v>0</v>
      </c>
      <c r="O144" s="179">
        <v>2000</v>
      </c>
      <c r="P144" s="182" t="s">
        <v>9</v>
      </c>
      <c r="Q144" s="182" t="s">
        <v>267</v>
      </c>
      <c r="R144" s="182" t="s">
        <v>135</v>
      </c>
      <c r="S144" s="182" t="s">
        <v>144</v>
      </c>
      <c r="T144" s="168">
        <v>0</v>
      </c>
      <c r="U144" s="14">
        <v>1</v>
      </c>
      <c r="V144" s="14" t="s">
        <v>234</v>
      </c>
      <c r="W144" s="184"/>
    </row>
    <row r="145" spans="1:23" hidden="1" outlineLevel="1" x14ac:dyDescent="0.25">
      <c r="A145" s="291" t="s">
        <v>45</v>
      </c>
      <c r="B145" s="294">
        <v>0.05</v>
      </c>
      <c r="C145" s="293">
        <f>IF((C133-25000)&gt;0,(C133-25000)*B145,0)</f>
        <v>0</v>
      </c>
      <c r="D145" s="300" t="s">
        <v>47</v>
      </c>
      <c r="K145" s="208">
        <f t="shared" si="5"/>
        <v>0</v>
      </c>
      <c r="O145" s="179">
        <v>4000</v>
      </c>
      <c r="P145" s="168">
        <v>7000</v>
      </c>
      <c r="Q145" s="168">
        <v>0</v>
      </c>
      <c r="R145" s="168">
        <v>5000</v>
      </c>
      <c r="S145" s="168">
        <v>35000</v>
      </c>
      <c r="T145" s="168">
        <v>0</v>
      </c>
      <c r="U145" s="14">
        <v>2</v>
      </c>
      <c r="V145" s="14" t="s">
        <v>233</v>
      </c>
      <c r="W145" s="173"/>
    </row>
    <row r="146" spans="1:23" hidden="1" outlineLevel="1" x14ac:dyDescent="0.25">
      <c r="A146" s="291" t="s">
        <v>45</v>
      </c>
      <c r="B146" s="294">
        <v>0.1</v>
      </c>
      <c r="C146" s="293">
        <f>IF((C133-35000)&gt;0,(C133-35000)*B146,0)</f>
        <v>0</v>
      </c>
      <c r="D146" s="300" t="s">
        <v>48</v>
      </c>
      <c r="K146" s="208">
        <f t="shared" si="5"/>
        <v>0</v>
      </c>
      <c r="O146" s="179">
        <v>6000</v>
      </c>
      <c r="P146" s="168">
        <v>13000</v>
      </c>
      <c r="Q146" s="168">
        <v>0</v>
      </c>
      <c r="R146" s="168">
        <v>15000</v>
      </c>
      <c r="S146" s="168">
        <v>70000</v>
      </c>
      <c r="T146" s="168">
        <v>0</v>
      </c>
      <c r="U146" s="14">
        <v>3</v>
      </c>
      <c r="V146" s="14" t="s">
        <v>232</v>
      </c>
      <c r="W146" s="173"/>
    </row>
    <row r="147" spans="1:23" hidden="1" outlineLevel="1" x14ac:dyDescent="0.25">
      <c r="A147" s="295"/>
      <c r="B147" s="296"/>
      <c r="C147" s="297">
        <f>SUM(C140:C146)</f>
        <v>0</v>
      </c>
      <c r="D147" s="298" t="e">
        <f>(C144+C145+C146)/C133</f>
        <v>#DIV/0!</v>
      </c>
      <c r="K147" s="208">
        <f t="shared" si="5"/>
        <v>0</v>
      </c>
      <c r="O147" s="179">
        <v>8000</v>
      </c>
      <c r="P147" s="168">
        <v>18000</v>
      </c>
      <c r="Q147" s="168">
        <v>0</v>
      </c>
      <c r="R147" s="168">
        <v>30000</v>
      </c>
      <c r="S147" s="168">
        <v>120000</v>
      </c>
      <c r="T147" s="168">
        <v>120000</v>
      </c>
      <c r="U147" s="14">
        <v>4</v>
      </c>
      <c r="V147" s="14" t="s">
        <v>231</v>
      </c>
      <c r="W147" s="173"/>
    </row>
    <row r="148" spans="1:23" hidden="1" outlineLevel="1" x14ac:dyDescent="0.25">
      <c r="A148" s="295" t="s">
        <v>49</v>
      </c>
      <c r="B148" s="296"/>
      <c r="C148" s="297">
        <f>C138+C147</f>
        <v>0</v>
      </c>
      <c r="D148" s="298"/>
      <c r="K148" s="208">
        <f t="shared" si="5"/>
        <v>0</v>
      </c>
      <c r="O148" s="172">
        <v>13000</v>
      </c>
      <c r="P148" s="168">
        <v>27000</v>
      </c>
      <c r="Q148" s="168">
        <v>0</v>
      </c>
      <c r="R148" s="168">
        <v>40000</v>
      </c>
      <c r="S148" s="168">
        <v>180000</v>
      </c>
      <c r="T148" s="168">
        <v>150000</v>
      </c>
      <c r="U148" s="14">
        <v>5</v>
      </c>
      <c r="V148" s="14" t="s">
        <v>229</v>
      </c>
      <c r="W148" s="173"/>
    </row>
    <row r="149" spans="1:23" hidden="1" outlineLevel="1" x14ac:dyDescent="0.25">
      <c r="A149" s="288"/>
      <c r="B149" s="288"/>
      <c r="C149" s="288"/>
      <c r="D149" s="288"/>
      <c r="H149" s="97" t="s">
        <v>220</v>
      </c>
      <c r="K149" s="208">
        <f>SUM(K143:K148)</f>
        <v>26937.760932944606</v>
      </c>
      <c r="O149" s="172">
        <v>20000</v>
      </c>
      <c r="P149" s="148">
        <v>40000</v>
      </c>
      <c r="Q149" s="148">
        <v>80000</v>
      </c>
      <c r="R149" s="148">
        <v>45000</v>
      </c>
      <c r="S149" s="168">
        <v>250000</v>
      </c>
      <c r="T149" s="168">
        <v>200000</v>
      </c>
      <c r="U149" s="14">
        <v>6</v>
      </c>
      <c r="V149" s="14" t="s">
        <v>230</v>
      </c>
      <c r="W149" s="173"/>
    </row>
    <row r="150" spans="1:23" hidden="1" outlineLevel="1" x14ac:dyDescent="0.25">
      <c r="A150" s="301" t="s">
        <v>52</v>
      </c>
      <c r="B150" s="302"/>
      <c r="C150" s="303">
        <f>C133-C147</f>
        <v>0</v>
      </c>
      <c r="D150" s="123"/>
      <c r="O150" s="172">
        <v>40000</v>
      </c>
      <c r="P150" s="148">
        <v>65000</v>
      </c>
      <c r="Q150" s="148">
        <v>120000</v>
      </c>
      <c r="R150" s="148">
        <v>50000</v>
      </c>
      <c r="S150" s="168">
        <v>300000</v>
      </c>
      <c r="T150" s="168">
        <v>400000</v>
      </c>
      <c r="U150" s="14">
        <v>7</v>
      </c>
      <c r="V150" s="14" t="s">
        <v>228</v>
      </c>
      <c r="W150" s="173"/>
    </row>
    <row r="151" spans="1:23" hidden="1" collapsed="1" x14ac:dyDescent="0.25">
      <c r="O151" s="174">
        <v>80000</v>
      </c>
      <c r="P151" s="148">
        <v>80000</v>
      </c>
      <c r="Q151" s="148">
        <v>150000</v>
      </c>
      <c r="R151" s="148">
        <v>80000</v>
      </c>
      <c r="S151" s="168">
        <v>400000</v>
      </c>
      <c r="T151" s="175">
        <v>500000</v>
      </c>
      <c r="U151" s="176">
        <v>8</v>
      </c>
      <c r="V151" s="176" t="s">
        <v>227</v>
      </c>
      <c r="W151" s="177"/>
    </row>
    <row r="152" spans="1:23" hidden="1" x14ac:dyDescent="0.25">
      <c r="O152" s="14" t="s">
        <v>244</v>
      </c>
      <c r="P152" s="185">
        <v>100000</v>
      </c>
      <c r="Q152" s="185">
        <v>200000</v>
      </c>
      <c r="R152" s="185">
        <v>100000</v>
      </c>
      <c r="S152" s="175">
        <v>500000</v>
      </c>
      <c r="T152" s="13"/>
      <c r="U152" s="13">
        <v>9</v>
      </c>
      <c r="V152" s="13" t="s">
        <v>276</v>
      </c>
      <c r="W152" s="79"/>
    </row>
    <row r="153" spans="1:23" hidden="1" x14ac:dyDescent="0.25">
      <c r="A153" s="122">
        <f t="array" ref="A153:A159">TRANSPOSE(B64:H64)</f>
        <v>1</v>
      </c>
      <c r="B153" s="305" t="str">
        <f>CONCATENATE("Cliente ",B$84," a Bs. ",B$66," con ",B$70*100,"% de Tasa, a un plazo de ",B$73," meses.")</f>
        <v>Cliente califica a Bs. 184793.04 con 6% de Tasa, a un plazo de 240 meses.</v>
      </c>
      <c r="O153" s="168">
        <v>8000</v>
      </c>
      <c r="P153" s="14"/>
      <c r="Q153" s="14"/>
      <c r="R153" s="13"/>
      <c r="S153" s="168">
        <v>120000</v>
      </c>
      <c r="T153" s="13"/>
      <c r="U153" s="13"/>
      <c r="V153" s="13"/>
      <c r="W153" s="79"/>
    </row>
    <row r="154" spans="1:23" hidden="1" x14ac:dyDescent="0.25">
      <c r="A154" s="122" t="str">
        <v>1 CPOP</v>
      </c>
      <c r="B154" s="305" t="str">
        <f>CONCATENATE("Cliente ",C$84," a Bs. ",C$66," con ",C$70*100,"% de Tasa, a un plazo de ",C$73," meses.")</f>
        <v>Cliente califica a Bs. 184793.04 con 6% de Tasa, a un plazo de 246 meses.</v>
      </c>
      <c r="O154" s="168">
        <v>6000</v>
      </c>
      <c r="P154" s="168">
        <v>27000</v>
      </c>
      <c r="Q154" s="168">
        <v>40000</v>
      </c>
      <c r="R154" s="168">
        <v>180000</v>
      </c>
      <c r="S154" s="168">
        <v>0</v>
      </c>
      <c r="T154" s="13"/>
      <c r="U154" s="13"/>
      <c r="V154" s="13"/>
      <c r="W154" s="79"/>
    </row>
    <row r="155" spans="1:23" hidden="1" x14ac:dyDescent="0.25">
      <c r="A155" s="122">
        <v>2</v>
      </c>
      <c r="B155" s="305" t="str">
        <f>CONCATENATE("Cliente ",D$84," a Bs. ",D$66," con ",D$70*100,"% de Tasa, a un plazo de ",D$73," meses.")</f>
        <v>Cliente califica a Bs. 184793.04 con 6% de Tasa, a un plazo de 240 meses.</v>
      </c>
      <c r="O155" s="168">
        <v>4000</v>
      </c>
      <c r="P155" s="168">
        <v>18000</v>
      </c>
      <c r="Q155" s="168">
        <v>30000</v>
      </c>
      <c r="R155" s="168">
        <v>120000</v>
      </c>
      <c r="S155" s="168">
        <v>0</v>
      </c>
      <c r="T155" s="13"/>
      <c r="U155" s="13"/>
      <c r="V155" s="13"/>
      <c r="W155" s="79"/>
    </row>
    <row r="156" spans="1:23" ht="27.75" hidden="1" customHeight="1" x14ac:dyDescent="0.25">
      <c r="A156" s="122" t="str">
        <v>2 CPOP</v>
      </c>
      <c r="B156" s="305" t="e">
        <f>CONCATENATE("Cliente ",F$85," a Bs. ",#REF!," con ",#REF!*100,"% de Tasa, a un plazo de ",F$74," meses.")</f>
        <v>#REF!</v>
      </c>
      <c r="O156" s="168">
        <v>2000</v>
      </c>
      <c r="P156" s="168">
        <v>13000</v>
      </c>
      <c r="Q156" s="168">
        <v>15000</v>
      </c>
      <c r="R156" s="168">
        <v>70000</v>
      </c>
      <c r="S156" s="168">
        <v>0</v>
      </c>
      <c r="T156" s="13"/>
      <c r="U156" s="13"/>
      <c r="V156" s="13"/>
      <c r="W156" s="79"/>
    </row>
    <row r="157" spans="1:23" ht="17.25" hidden="1" customHeight="1" x14ac:dyDescent="0.25">
      <c r="A157" s="122">
        <v>0</v>
      </c>
      <c r="B157" s="305" t="e">
        <f>CONCATENATE("Cliente ",G$85," a Bs. ",#REF!," con ",#REF!*100,"% de Tasa, a un plazo de ",G$74," meses.")</f>
        <v>#REF!</v>
      </c>
      <c r="O157" s="14"/>
      <c r="P157" s="168">
        <v>7000</v>
      </c>
      <c r="Q157" s="168">
        <v>5000</v>
      </c>
      <c r="R157" s="168">
        <v>35000</v>
      </c>
      <c r="S157" s="13"/>
      <c r="T157" s="13"/>
      <c r="U157" s="13"/>
      <c r="V157" s="13"/>
      <c r="W157" s="79"/>
    </row>
    <row r="158" spans="1:23" ht="21" hidden="1" customHeight="1" x14ac:dyDescent="0.25">
      <c r="A158" s="122">
        <v>0</v>
      </c>
      <c r="B158" s="305" t="e">
        <f>CONCATENATE("Cliente ",H$85," a Bs. ",#REF!," con ",#REF!*100,"% de Tasa, a un plazo de ",H$74," meses.")</f>
        <v>#REF!</v>
      </c>
    </row>
    <row r="159" spans="1:23" ht="21" hidden="1" customHeight="1" x14ac:dyDescent="0.25">
      <c r="A159" s="122">
        <v>0</v>
      </c>
      <c r="B159" s="305" t="e">
        <f>CONCATENATE("Cliente ",I$85," a Bs. ",#REF!," con ",#REF!*100,"% de Tasa, a un plazo de ",I$74," meses.")</f>
        <v>#REF!</v>
      </c>
    </row>
    <row r="160" spans="1:23" hidden="1" x14ac:dyDescent="0.25">
      <c r="O160" s="181" t="s">
        <v>223</v>
      </c>
      <c r="T160" s="182" t="s">
        <v>143</v>
      </c>
    </row>
    <row r="161" spans="15:29" hidden="1" x14ac:dyDescent="0.25">
      <c r="O161" s="98">
        <f t="shared" ref="O161:O168" si="6">IF($B$102=$O$160,O144,0)</f>
        <v>2000</v>
      </c>
      <c r="P161" s="182" t="s">
        <v>9</v>
      </c>
      <c r="Q161" s="182" t="s">
        <v>267</v>
      </c>
      <c r="R161" s="182" t="s">
        <v>135</v>
      </c>
      <c r="S161" s="182" t="s">
        <v>144</v>
      </c>
      <c r="T161" s="98">
        <f t="shared" ref="T161:T168" si="7">IF($B$102=$T$160,T144,0)</f>
        <v>0</v>
      </c>
      <c r="U161" s="14">
        <v>1</v>
      </c>
      <c r="V161" s="14" t="s">
        <v>234</v>
      </c>
      <c r="W161" s="79"/>
      <c r="Y161" s="208">
        <v>0</v>
      </c>
      <c r="Z161" s="208">
        <f t="shared" ref="Z161:Z167" si="8">O161+P162+Q162+R162+S162+T161</f>
        <v>2000</v>
      </c>
      <c r="AA161" s="67">
        <v>1</v>
      </c>
      <c r="AB161" s="67" t="s">
        <v>234</v>
      </c>
      <c r="AC161" s="79"/>
    </row>
    <row r="162" spans="15:29" hidden="1" x14ac:dyDescent="0.25">
      <c r="O162" s="98">
        <f t="shared" si="6"/>
        <v>4000</v>
      </c>
      <c r="P162" s="98">
        <f t="shared" ref="P162:P169" si="9">IF($B$102=$P$161,P145,0)</f>
        <v>0</v>
      </c>
      <c r="Q162" s="98">
        <f t="shared" ref="Q162:Q169" si="10">IF($B$102=$Q$161,Q145,0)</f>
        <v>0</v>
      </c>
      <c r="R162" s="98">
        <f t="shared" ref="R162:R169" si="11">IF($B$102=$R$161,R145,0)</f>
        <v>0</v>
      </c>
      <c r="S162" s="98">
        <f t="shared" ref="S162:S169" si="12">IF($B$102=$S$161,S145,0)</f>
        <v>0</v>
      </c>
      <c r="T162" s="98">
        <f t="shared" si="7"/>
        <v>0</v>
      </c>
      <c r="U162" s="14">
        <v>2</v>
      </c>
      <c r="V162" s="14" t="s">
        <v>233</v>
      </c>
      <c r="W162" s="79"/>
      <c r="Y162" s="208">
        <f>Z161+1</f>
        <v>2001</v>
      </c>
      <c r="Z162" s="208">
        <f t="shared" si="8"/>
        <v>4000</v>
      </c>
      <c r="AA162" s="67">
        <v>2</v>
      </c>
      <c r="AB162" s="67" t="s">
        <v>233</v>
      </c>
      <c r="AC162" s="79"/>
    </row>
    <row r="163" spans="15:29" hidden="1" x14ac:dyDescent="0.25">
      <c r="O163" s="98">
        <f t="shared" si="6"/>
        <v>6000</v>
      </c>
      <c r="P163" s="98">
        <f t="shared" si="9"/>
        <v>0</v>
      </c>
      <c r="Q163" s="98">
        <f t="shared" si="10"/>
        <v>0</v>
      </c>
      <c r="R163" s="98">
        <f t="shared" si="11"/>
        <v>0</v>
      </c>
      <c r="S163" s="98">
        <f t="shared" si="12"/>
        <v>0</v>
      </c>
      <c r="T163" s="98">
        <f t="shared" si="7"/>
        <v>0</v>
      </c>
      <c r="U163" s="14">
        <v>3</v>
      </c>
      <c r="V163" s="14" t="s">
        <v>232</v>
      </c>
      <c r="W163" s="79"/>
      <c r="Y163" s="208">
        <f t="shared" ref="Y163:Y166" si="13">Z162+1</f>
        <v>4001</v>
      </c>
      <c r="Z163" s="208">
        <f t="shared" si="8"/>
        <v>6000</v>
      </c>
      <c r="AA163" s="67">
        <v>3</v>
      </c>
      <c r="AB163" s="67" t="s">
        <v>232</v>
      </c>
      <c r="AC163" s="79"/>
    </row>
    <row r="164" spans="15:29" hidden="1" x14ac:dyDescent="0.25">
      <c r="O164" s="98">
        <f t="shared" si="6"/>
        <v>8000</v>
      </c>
      <c r="P164" s="98">
        <f t="shared" si="9"/>
        <v>0</v>
      </c>
      <c r="Q164" s="98">
        <f t="shared" si="10"/>
        <v>0</v>
      </c>
      <c r="R164" s="98">
        <f t="shared" si="11"/>
        <v>0</v>
      </c>
      <c r="S164" s="98">
        <f t="shared" si="12"/>
        <v>0</v>
      </c>
      <c r="T164" s="98">
        <f t="shared" si="7"/>
        <v>0</v>
      </c>
      <c r="U164" s="14">
        <v>4</v>
      </c>
      <c r="V164" s="14" t="s">
        <v>231</v>
      </c>
      <c r="W164" s="79"/>
      <c r="Y164" s="208">
        <f t="shared" si="13"/>
        <v>6001</v>
      </c>
      <c r="Z164" s="208">
        <f t="shared" si="8"/>
        <v>8000</v>
      </c>
      <c r="AA164" s="67">
        <v>4</v>
      </c>
      <c r="AB164" s="67" t="s">
        <v>231</v>
      </c>
      <c r="AC164" s="79"/>
    </row>
    <row r="165" spans="15:29" hidden="1" x14ac:dyDescent="0.25">
      <c r="O165" s="98">
        <f t="shared" si="6"/>
        <v>13000</v>
      </c>
      <c r="P165" s="98">
        <f t="shared" si="9"/>
        <v>0</v>
      </c>
      <c r="Q165" s="98">
        <f t="shared" si="10"/>
        <v>0</v>
      </c>
      <c r="R165" s="98">
        <f t="shared" si="11"/>
        <v>0</v>
      </c>
      <c r="S165" s="98">
        <f t="shared" si="12"/>
        <v>0</v>
      </c>
      <c r="T165" s="98">
        <f t="shared" si="7"/>
        <v>0</v>
      </c>
      <c r="U165" s="14">
        <v>5</v>
      </c>
      <c r="V165" s="14" t="s">
        <v>229</v>
      </c>
      <c r="W165" s="79"/>
      <c r="Y165" s="208">
        <f t="shared" si="13"/>
        <v>8001</v>
      </c>
      <c r="Z165" s="208">
        <f t="shared" si="8"/>
        <v>13000</v>
      </c>
      <c r="AA165" s="67">
        <v>5</v>
      </c>
      <c r="AB165" s="67" t="s">
        <v>229</v>
      </c>
      <c r="AC165" s="79"/>
    </row>
    <row r="166" spans="15:29" hidden="1" x14ac:dyDescent="0.25">
      <c r="O166" s="98">
        <f t="shared" si="6"/>
        <v>20000</v>
      </c>
      <c r="P166" s="98">
        <f t="shared" si="9"/>
        <v>0</v>
      </c>
      <c r="Q166" s="98">
        <f t="shared" si="10"/>
        <v>0</v>
      </c>
      <c r="R166" s="98">
        <f t="shared" si="11"/>
        <v>0</v>
      </c>
      <c r="S166" s="98">
        <f t="shared" si="12"/>
        <v>0</v>
      </c>
      <c r="T166" s="98">
        <f t="shared" si="7"/>
        <v>0</v>
      </c>
      <c r="U166" s="14">
        <v>6</v>
      </c>
      <c r="V166" s="14" t="s">
        <v>230</v>
      </c>
      <c r="W166" s="79"/>
      <c r="Y166" s="208">
        <f t="shared" si="13"/>
        <v>13001</v>
      </c>
      <c r="Z166" s="208">
        <f t="shared" si="8"/>
        <v>20000</v>
      </c>
      <c r="AA166" s="67">
        <v>6</v>
      </c>
      <c r="AB166" s="67" t="s">
        <v>230</v>
      </c>
      <c r="AC166" s="79"/>
    </row>
    <row r="167" spans="15:29" hidden="1" x14ac:dyDescent="0.25">
      <c r="O167" s="98">
        <f t="shared" si="6"/>
        <v>40000</v>
      </c>
      <c r="P167" s="98">
        <f t="shared" si="9"/>
        <v>0</v>
      </c>
      <c r="Q167" s="98">
        <f t="shared" si="10"/>
        <v>0</v>
      </c>
      <c r="R167" s="98">
        <f t="shared" si="11"/>
        <v>0</v>
      </c>
      <c r="S167" s="98">
        <f t="shared" si="12"/>
        <v>0</v>
      </c>
      <c r="T167" s="98">
        <f t="shared" si="7"/>
        <v>0</v>
      </c>
      <c r="U167" s="14">
        <v>7</v>
      </c>
      <c r="V167" s="14" t="s">
        <v>228</v>
      </c>
      <c r="W167" s="79"/>
      <c r="Y167" s="208">
        <f>Z166+1</f>
        <v>20001</v>
      </c>
      <c r="Z167" s="208">
        <f t="shared" si="8"/>
        <v>40000</v>
      </c>
      <c r="AA167" s="67">
        <v>7</v>
      </c>
      <c r="AB167" s="67" t="s">
        <v>228</v>
      </c>
      <c r="AC167" s="79"/>
    </row>
    <row r="168" spans="15:29" hidden="1" x14ac:dyDescent="0.25">
      <c r="O168" s="98">
        <f t="shared" si="6"/>
        <v>80000</v>
      </c>
      <c r="P168" s="98">
        <f t="shared" si="9"/>
        <v>0</v>
      </c>
      <c r="Q168" s="98">
        <f t="shared" si="10"/>
        <v>0</v>
      </c>
      <c r="R168" s="98">
        <f t="shared" si="11"/>
        <v>0</v>
      </c>
      <c r="S168" s="98">
        <f t="shared" si="12"/>
        <v>0</v>
      </c>
      <c r="T168" s="98">
        <f t="shared" si="7"/>
        <v>0</v>
      </c>
      <c r="U168" s="176">
        <v>8</v>
      </c>
      <c r="V168" s="176" t="s">
        <v>227</v>
      </c>
      <c r="W168" s="79"/>
      <c r="Y168" s="208">
        <f>Z167+1</f>
        <v>40001</v>
      </c>
      <c r="Z168" s="208">
        <f>O168+P169+Q169+R169+S169+T168</f>
        <v>80000</v>
      </c>
      <c r="AA168" s="67">
        <v>8</v>
      </c>
      <c r="AB168" s="67" t="s">
        <v>227</v>
      </c>
      <c r="AC168" s="79"/>
    </row>
    <row r="169" spans="15:29" hidden="1" x14ac:dyDescent="0.25">
      <c r="P169" s="98">
        <f t="shared" si="9"/>
        <v>0</v>
      </c>
      <c r="Q169" s="98">
        <f t="shared" si="10"/>
        <v>0</v>
      </c>
      <c r="R169" s="98">
        <f t="shared" si="11"/>
        <v>0</v>
      </c>
      <c r="S169" s="98">
        <f t="shared" si="12"/>
        <v>0</v>
      </c>
      <c r="U169" s="97">
        <v>9</v>
      </c>
      <c r="V169" s="97" t="s">
        <v>276</v>
      </c>
      <c r="Y169" s="208">
        <f>O168+P169+Q169+R169+S169+T168+1</f>
        <v>80001</v>
      </c>
      <c r="Z169" s="97">
        <v>10000000</v>
      </c>
      <c r="AA169" s="97">
        <v>9</v>
      </c>
      <c r="AB169" s="97" t="s">
        <v>276</v>
      </c>
    </row>
    <row r="170" spans="15:29" hidden="1" x14ac:dyDescent="0.25"/>
    <row r="171" spans="15:29" hidden="1" x14ac:dyDescent="0.25">
      <c r="O171" s="14" t="s">
        <v>247</v>
      </c>
      <c r="Y171" s="79" t="s">
        <v>245</v>
      </c>
      <c r="Z171" s="212">
        <f>I78</f>
        <v>26937.760932944606</v>
      </c>
    </row>
    <row r="172" spans="15:29" hidden="1" x14ac:dyDescent="0.25">
      <c r="O172" s="14"/>
      <c r="Y172" s="79" t="s">
        <v>246</v>
      </c>
      <c r="Z172" s="211">
        <f>LOOKUP(Z171,Y161:Z169,AA161:AA169)</f>
        <v>7</v>
      </c>
    </row>
    <row r="173" spans="15:29" hidden="1" x14ac:dyDescent="0.25">
      <c r="O173" s="14"/>
    </row>
    <row r="174" spans="15:29" hidden="1" x14ac:dyDescent="0.25">
      <c r="O174" s="14" t="s">
        <v>221</v>
      </c>
      <c r="P174" s="210">
        <f>P139</f>
        <v>3</v>
      </c>
      <c r="R174" s="67">
        <v>1</v>
      </c>
      <c r="S174" s="67" t="s">
        <v>234</v>
      </c>
    </row>
    <row r="175" spans="15:29" hidden="1" x14ac:dyDescent="0.25">
      <c r="O175" s="14" t="s">
        <v>218</v>
      </c>
      <c r="P175" s="210">
        <f>U138</f>
        <v>4</v>
      </c>
      <c r="R175" s="67">
        <v>2</v>
      </c>
      <c r="S175" s="67" t="s">
        <v>233</v>
      </c>
    </row>
    <row r="176" spans="15:29" hidden="1" x14ac:dyDescent="0.25">
      <c r="O176" s="14" t="s">
        <v>248</v>
      </c>
      <c r="P176" s="210">
        <f>Z172</f>
        <v>7</v>
      </c>
      <c r="R176" s="67">
        <v>3</v>
      </c>
      <c r="S176" s="67" t="s">
        <v>232</v>
      </c>
    </row>
    <row r="177" spans="11:19" hidden="1" x14ac:dyDescent="0.25">
      <c r="O177" s="14"/>
      <c r="R177" s="67">
        <v>4</v>
      </c>
      <c r="S177" s="67" t="s">
        <v>231</v>
      </c>
    </row>
    <row r="178" spans="11:19" hidden="1" x14ac:dyDescent="0.25">
      <c r="O178" s="14" t="s">
        <v>249</v>
      </c>
      <c r="P178" s="210">
        <f>MAX(P174:P176)</f>
        <v>7</v>
      </c>
      <c r="R178" s="67">
        <v>5</v>
      </c>
      <c r="S178" s="67" t="s">
        <v>229</v>
      </c>
    </row>
    <row r="179" spans="11:19" hidden="1" x14ac:dyDescent="0.25">
      <c r="O179" s="14"/>
      <c r="R179" s="67">
        <v>6</v>
      </c>
      <c r="S179" s="67" t="s">
        <v>230</v>
      </c>
    </row>
    <row r="180" spans="11:19" hidden="1" x14ac:dyDescent="0.25">
      <c r="O180" s="14" t="s">
        <v>246</v>
      </c>
      <c r="P180" s="210" t="str">
        <f>LOOKUP(P178,R174:R182,S174:S182)</f>
        <v>División Riesgos</v>
      </c>
      <c r="R180" s="67">
        <v>7</v>
      </c>
      <c r="S180" s="67" t="s">
        <v>228</v>
      </c>
    </row>
    <row r="181" spans="11:19" hidden="1" x14ac:dyDescent="0.25">
      <c r="R181" s="67">
        <v>8</v>
      </c>
      <c r="S181" s="67" t="s">
        <v>227</v>
      </c>
    </row>
    <row r="182" spans="11:19" hidden="1" x14ac:dyDescent="0.25">
      <c r="R182" s="98">
        <v>9</v>
      </c>
      <c r="S182" s="97" t="s">
        <v>276</v>
      </c>
    </row>
    <row r="183" spans="11:19" hidden="1" x14ac:dyDescent="0.25">
      <c r="K183" s="607" t="s">
        <v>297</v>
      </c>
      <c r="L183" s="607"/>
    </row>
    <row r="184" spans="11:19" hidden="1" x14ac:dyDescent="0.25">
      <c r="K184" s="14" t="s">
        <v>301</v>
      </c>
      <c r="L184" s="226">
        <f ca="1">TODAY()</f>
        <v>45140</v>
      </c>
    </row>
    <row r="185" spans="11:19" hidden="1" x14ac:dyDescent="0.25">
      <c r="K185" s="14"/>
      <c r="L185" s="14"/>
      <c r="M185" s="14" t="s">
        <v>269</v>
      </c>
      <c r="N185" s="14"/>
    </row>
    <row r="186" spans="11:19" x14ac:dyDescent="0.25">
      <c r="K186" s="14" t="s">
        <v>300</v>
      </c>
      <c r="L186" s="14">
        <f ca="1">+DATEDIF(D9,L184,"Y")</f>
        <v>32</v>
      </c>
      <c r="M186" s="14">
        <f ca="1">+DATEDIF(D10,L184,"Y")</f>
        <v>42</v>
      </c>
      <c r="N186" s="14"/>
    </row>
    <row r="187" spans="11:19" x14ac:dyDescent="0.25">
      <c r="K187" s="14" t="s">
        <v>299</v>
      </c>
      <c r="L187" s="222">
        <f ca="1">+L186+((L190)/12)</f>
        <v>52</v>
      </c>
      <c r="M187" s="222">
        <f ca="1">+M186+((L190)/12)</f>
        <v>62</v>
      </c>
      <c r="N187" s="14"/>
    </row>
    <row r="188" spans="11:19" x14ac:dyDescent="0.25">
      <c r="K188" s="14" t="s">
        <v>298</v>
      </c>
      <c r="L188" s="14">
        <v>75</v>
      </c>
      <c r="M188" s="14">
        <v>75</v>
      </c>
      <c r="N188" s="14"/>
    </row>
    <row r="189" spans="11:19" x14ac:dyDescent="0.25">
      <c r="K189" s="97" t="s">
        <v>307</v>
      </c>
      <c r="L189" s="97">
        <v>20</v>
      </c>
      <c r="M189" s="14">
        <v>20</v>
      </c>
      <c r="N189" s="14"/>
    </row>
    <row r="190" spans="11:19" x14ac:dyDescent="0.25">
      <c r="K190" s="14" t="s">
        <v>308</v>
      </c>
      <c r="L190" s="14">
        <f>IF(B95=K95,N95,IF(B95=K96,N96,IF(B95=K97,N97,IF(B95=K98,N98,IF(B95=K99,N99,IF(B95=K100,N100,IF(B95=K101,N101,IF(B95=K102,N104,IF(B95=K103,N104,)))))))))</f>
        <v>240</v>
      </c>
      <c r="M190" s="14"/>
      <c r="N190" s="14"/>
    </row>
    <row r="191" spans="11:19" x14ac:dyDescent="0.25">
      <c r="M191" s="14"/>
      <c r="N191" s="14"/>
    </row>
    <row r="192" spans="11:19" x14ac:dyDescent="0.25">
      <c r="K192" s="140" t="str">
        <f ca="1">+IF(L187&gt;L188,"NO CALIFICA",IF(L186&lt;L189,"NO CALIFICA","SI CALIFICA"))</f>
        <v>SI CALIFICA</v>
      </c>
      <c r="M192" s="140" t="str">
        <f ca="1">+IF(M187&gt;M188,"NO CALIFICA",IF(M186&lt;M189,"NO CALIFICA","SI CALIFICA"))</f>
        <v>SI CALIFICA</v>
      </c>
      <c r="N192" s="227" t="str">
        <f ca="1">IF(K192=M192,"SI CALIFICA","NO CALIFICA")</f>
        <v>SI CALIFICA</v>
      </c>
      <c r="O192" s="67" t="str">
        <f ca="1">IF(AND(K192="SI CALIFICA",M192="SI CALIFICA"),"SI CALIFICA","NO CALIFICA")</f>
        <v>SI CALIFICA</v>
      </c>
    </row>
  </sheetData>
  <mergeCells count="28">
    <mergeCell ref="B2:D2"/>
    <mergeCell ref="K183:L183"/>
    <mergeCell ref="A14:A28"/>
    <mergeCell ref="A1:D1"/>
    <mergeCell ref="A3:D3"/>
    <mergeCell ref="A4:D4"/>
    <mergeCell ref="A5:D5"/>
    <mergeCell ref="A11:D11"/>
    <mergeCell ref="L49:L50"/>
    <mergeCell ref="A111:H111"/>
    <mergeCell ref="A112:H112"/>
    <mergeCell ref="A107:H107"/>
    <mergeCell ref="A108:H108"/>
    <mergeCell ref="A110:H110"/>
    <mergeCell ref="A109:H109"/>
    <mergeCell ref="C42:D42"/>
    <mergeCell ref="A105:H105"/>
    <mergeCell ref="A53:D53"/>
    <mergeCell ref="A54:D54"/>
    <mergeCell ref="B103:C103"/>
    <mergeCell ref="H85:I85"/>
    <mergeCell ref="F76:I76"/>
    <mergeCell ref="E45:F45"/>
    <mergeCell ref="H84:I84"/>
    <mergeCell ref="A55:D55"/>
    <mergeCell ref="A86:E86"/>
    <mergeCell ref="M49:O49"/>
    <mergeCell ref="A51:D51"/>
  </mergeCells>
  <conditionalFormatting sqref="M192">
    <cfRule type="containsText" dxfId="15" priority="17" operator="containsText" text="NO CALIFICA">
      <formula>NOT(ISERROR(SEARCH("NO CALIFICA",M192)))</formula>
    </cfRule>
    <cfRule type="containsText" dxfId="14" priority="18" operator="containsText" text="SI CALIFICA">
      <formula>NOT(ISERROR(SEARCH("SI CALIFICA",M192)))</formula>
    </cfRule>
  </conditionalFormatting>
  <conditionalFormatting sqref="K192">
    <cfRule type="containsText" dxfId="13" priority="15" operator="containsText" text="NO CALIFICA">
      <formula>NOT(ISERROR(SEARCH("NO CALIFICA",K192)))</formula>
    </cfRule>
    <cfRule type="containsText" dxfId="12" priority="16" operator="containsText" text="SI CALIFICA">
      <formula>NOT(ISERROR(SEARCH("SI CALIFICA",K192)))</formula>
    </cfRule>
  </conditionalFormatting>
  <conditionalFormatting sqref="B87">
    <cfRule type="containsText" dxfId="11" priority="13" operator="containsText" text="NO CALIFICA">
      <formula>NOT(ISERROR(SEARCH("NO CALIFICA",B87)))</formula>
    </cfRule>
    <cfRule type="containsText" dxfId="10" priority="14" operator="containsText" text="SI CALIFICA">
      <formula>NOT(ISERROR(SEARCH("SI CALIFICA",B87)))</formula>
    </cfRule>
  </conditionalFormatting>
  <conditionalFormatting sqref="B84:D84">
    <cfRule type="beginsWith" dxfId="9" priority="10" operator="beginsWith" text="califica">
      <formula>LEFT(B84,LEN("califica"))="califica"</formula>
    </cfRule>
    <cfRule type="beginsWith" dxfId="8" priority="11" operator="beginsWith" text="no califica">
      <formula>LEFT(B84,LEN("no califica"))="no califica"</formula>
    </cfRule>
  </conditionalFormatting>
  <conditionalFormatting sqref="B85:D85">
    <cfRule type="beginsWith" dxfId="7" priority="8" operator="beginsWith" text="Cumple">
      <formula>LEFT(B85,LEN("Cumple"))="Cumple"</formula>
    </cfRule>
    <cfRule type="beginsWith" dxfId="6" priority="9" operator="beginsWith" text="No Cumple">
      <formula>LEFT(B85,LEN("No Cumple"))="No Cumple"</formula>
    </cfRule>
  </conditionalFormatting>
  <conditionalFormatting sqref="C62:D62">
    <cfRule type="beginsWith" dxfId="5" priority="5" operator="beginsWith" text="Cumple">
      <formula>LEFT(C62,LEN("Cumple"))="Cumple"</formula>
    </cfRule>
    <cfRule type="beginsWith" dxfId="4" priority="6" operator="beginsWith" text="No Cumple">
      <formula>LEFT(C62,LEN("No Cumple"))="No Cumple"</formula>
    </cfRule>
  </conditionalFormatting>
  <conditionalFormatting sqref="E84">
    <cfRule type="beginsWith" dxfId="3" priority="3" operator="beginsWith" text="califica">
      <formula>LEFT(E84,LEN("califica"))="califica"</formula>
    </cfRule>
    <cfRule type="beginsWith" dxfId="2" priority="4" operator="beginsWith" text="no califica">
      <formula>LEFT(E84,LEN("no califica"))="no califica"</formula>
    </cfRule>
  </conditionalFormatting>
  <conditionalFormatting sqref="E85">
    <cfRule type="beginsWith" dxfId="1" priority="1" operator="beginsWith" text="Cumple">
      <formula>LEFT(E85,LEN("Cumple"))="Cumple"</formula>
    </cfRule>
    <cfRule type="beginsWith" dxfId="0" priority="2" operator="beginsWith" text="No Cumple">
      <formula>LEFT(E85,LEN("No Cumple"))="No Cumple"</formula>
    </cfRule>
  </conditionalFormatting>
  <dataValidations count="31">
    <dataValidation type="list" allowBlank="1" showInputMessage="1" showErrorMessage="1" sqref="B65 B60">
      <formula1>$M$50:$O$50</formula1>
    </dataValidation>
    <dataValidation type="list" allowBlank="1" showInputMessage="1" showErrorMessage="1" sqref="C95">
      <formula1>$R$106:$R$113</formula1>
    </dataValidation>
    <dataValidation type="list" allowBlank="1" showInputMessage="1" showErrorMessage="1" sqref="B88">
      <formula1>$O$109:$O$113</formula1>
    </dataValidation>
    <dataValidation type="custom" allowBlank="1" showInputMessage="1" showErrorMessage="1" error="&quot;El estado civil debe ser Casado/Conviviente para ingresar datos de cónyuge&quot;" sqref="D14">
      <formula1>B10="Casado/Conviviente"</formula1>
    </dataValidation>
    <dataValidation type="custom" allowBlank="1" showInputMessage="1" showErrorMessage="1" error="&quot;El estado civil debe ser Casado/Conviviente para ingresar datos de cónyuge&quot;" sqref="D16">
      <formula1>B10="Casado/Conviviente"</formula1>
    </dataValidation>
    <dataValidation type="custom" allowBlank="1" showInputMessage="1" showErrorMessage="1" error="&quot;El estado civil debe ser Casado/Conviviente para ingresar datos de cónyuge&quot;" sqref="D31">
      <formula1>B10="Casado/Conviviente"</formula1>
    </dataValidation>
    <dataValidation type="custom" allowBlank="1" showInputMessage="1" showErrorMessage="1" error="&quot;El estado civil debe ser Casado/Conviviente para ingresar datos de cónyuge&quot;" sqref="D21">
      <formula1>B10="Casado/Conviviente"</formula1>
    </dataValidation>
    <dataValidation type="custom" allowBlank="1" showInputMessage="1" showErrorMessage="1" error="&quot;El estado civil debe ser Casado/Conviviente para ingresar datos de cónyuge&quot;" sqref="D15">
      <formula1>B10="Casado/Conviviente"</formula1>
    </dataValidation>
    <dataValidation type="custom" allowBlank="1" showInputMessage="1" showErrorMessage="1" error="&quot;El estado civil debe ser Casado/Conviviente para ingresar datos de cónyuge&quot;" sqref="D17">
      <formula1>B10="Casado/Conviviente"</formula1>
    </dataValidation>
    <dataValidation type="custom" allowBlank="1" showInputMessage="1" showErrorMessage="1" error="&quot;El estado civil debe ser Casado/Conviviente para ingresar datos de cónyuge&quot;" sqref="D18">
      <formula1>B10="Casado/Conviviente"</formula1>
    </dataValidation>
    <dataValidation type="custom" allowBlank="1" showInputMessage="1" showErrorMessage="1" error="&quot;El estado civil debe ser Casado/Conviviente para ingresar datos de cónyuge&quot;" sqref="D19">
      <formula1>B10="Casado/Conviviente"</formula1>
    </dataValidation>
    <dataValidation type="custom" allowBlank="1" showInputMessage="1" showErrorMessage="1" error="&quot;El estado civil debe ser Casado/Conviviente para ingresar datos de cónyuge&quot;" sqref="D20">
      <formula1>B10="Casado/Conviviente"</formula1>
    </dataValidation>
    <dataValidation type="custom" allowBlank="1" showInputMessage="1" showErrorMessage="1" error="&quot;El estado civil debe ser Casado/Conviviente para ingresar datos de cónyuge&quot;" sqref="D22">
      <formula1>B10="Casado/Conviviente"</formula1>
    </dataValidation>
    <dataValidation type="custom" allowBlank="1" showInputMessage="1" showErrorMessage="1" error="&quot;El estado civil debe ser Casado/Conviviente para ingresar datos de cónyuge&quot;" sqref="D23">
      <formula1>B10="Casado/Conviviente"</formula1>
    </dataValidation>
    <dataValidation type="custom" allowBlank="1" showInputMessage="1" showErrorMessage="1" error="&quot;El estado civil debe ser Casado/Conviviente para ingresar datos de cónyuge&quot;" sqref="D24">
      <formula1>B10="Casado/Conviviente"</formula1>
    </dataValidation>
    <dataValidation type="custom" allowBlank="1" showInputMessage="1" showErrorMessage="1" error="&quot;El estado civil debe ser Casado/Conviviente para ingresar datos de cónyuge&quot;" sqref="D25">
      <formula1>B10="Casado/Conviviente"</formula1>
    </dataValidation>
    <dataValidation type="custom" allowBlank="1" showInputMessage="1" showErrorMessage="1" error="&quot;El estado civil debe ser Casado/Conviviente para ingresar datos de cónyuge&quot;" sqref="D29">
      <formula1>B10="Casado/Conviviente"</formula1>
    </dataValidation>
    <dataValidation type="custom" allowBlank="1" showInputMessage="1" showErrorMessage="1" error="&quot;El estado civil debe ser Casado/Conviviente para ingresar datos de cónyuge&quot;" sqref="D30">
      <formula1>B10="Casado/Conviviente"</formula1>
    </dataValidation>
    <dataValidation type="list" allowBlank="1" showInputMessage="1" showErrorMessage="1" sqref="B10">
      <formula1>$K$10:$K$11</formula1>
    </dataValidation>
    <dataValidation type="list" allowBlank="1" showInputMessage="1" showErrorMessage="1" sqref="B102">
      <formula1>$K$132:$K$137</formula1>
    </dataValidation>
    <dataValidation type="list" allowBlank="1" showInputMessage="1" showErrorMessage="1" sqref="G78:G83">
      <formula1>$K$128:$K$129</formula1>
    </dataValidation>
    <dataValidation type="list" showInputMessage="1" showErrorMessage="1" sqref="B103:C103">
      <formula1>$K$109:$K$122</formula1>
    </dataValidation>
    <dataValidation type="custom" allowBlank="1" showInputMessage="1" showErrorMessage="1" errorTitle="Error" error="El estado civil debe ser Casado/Conviviente para ingresar datos del cónyuge" sqref="D10">
      <formula1>B10="Casado/Conviviente"</formula1>
    </dataValidation>
    <dataValidation type="list" allowBlank="1" showInputMessage="1" showErrorMessage="1" sqref="B9 B6:B7">
      <formula1>$L$22:$L$23</formula1>
    </dataValidation>
    <dataValidation type="list" allowBlank="1" showInputMessage="1" showErrorMessage="1" sqref="B8">
      <formula1>$M$22:$M$23</formula1>
    </dataValidation>
    <dataValidation type="list" allowBlank="1" showInputMessage="1" showErrorMessage="1" sqref="D8">
      <formula1>$N$22:$N$27</formula1>
    </dataValidation>
    <dataValidation type="list" allowBlank="1" showInputMessage="1" showErrorMessage="1" sqref="B92">
      <formula1>$L$86:$L$91</formula1>
    </dataValidation>
    <dataValidation type="list" allowBlank="1" showInputMessage="1" showErrorMessage="1" sqref="B91">
      <formula1>$K$85:$K$91</formula1>
    </dataValidation>
    <dataValidation type="list" allowBlank="1" showInputMessage="1" showErrorMessage="1" sqref="B90">
      <formula1>$K$86:$K$91</formula1>
    </dataValidation>
    <dataValidation type="list" allowBlank="1" showInputMessage="1" showErrorMessage="1" sqref="C13:D13">
      <formula1>$P$43</formula1>
    </dataValidation>
    <dataValidation type="list" allowBlank="1" showInputMessage="1" showErrorMessage="1" sqref="B95">
      <formula1>$J$95:$J$100</formula1>
    </dataValidation>
  </dataValidations>
  <pageMargins left="0.7" right="0.7" top="0.75" bottom="0.75" header="0.3" footer="0.3"/>
  <pageSetup scale="45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B1:G5"/>
  <sheetViews>
    <sheetView workbookViewId="0">
      <selection activeCell="D10" sqref="D10"/>
    </sheetView>
  </sheetViews>
  <sheetFormatPr baseColWidth="10" defaultRowHeight="15" x14ac:dyDescent="0.25"/>
  <cols>
    <col min="2" max="2" width="18" customWidth="1"/>
    <col min="3" max="3" width="19.5703125" customWidth="1"/>
    <col min="6" max="6" width="12.42578125" customWidth="1"/>
  </cols>
  <sheetData>
    <row r="1" spans="2:7" x14ac:dyDescent="0.25">
      <c r="B1" s="8" t="s">
        <v>104</v>
      </c>
      <c r="C1" s="8" t="s">
        <v>103</v>
      </c>
    </row>
    <row r="2" spans="2:7" ht="15.75" x14ac:dyDescent="0.25">
      <c r="B2" s="7">
        <f ca="1">TODAY()</f>
        <v>45140</v>
      </c>
      <c r="C2" s="7">
        <f ca="1">IF((WEEKDAY(IF(DAY(IF(DAY(B2)&lt;=16,B2+36,B2+45))=1,(IF(DAY(B2)&lt;=16,B2+36,B2+45))+1,IF(DAY(IF(DAY(B2)&lt;=16,B2+36,B2+45))=31,(IF(DAY(B2)&lt;=16,B2+36,B2+45))+2,IF(DAY(B2)&lt;=16,B2+36,B2+45))),2))=7,IF(DAY(IF(DAY(B2)&lt;=16,B2+36,B2+45))=1,(IF(DAY(B2)&lt;=16,B2+36,B2+45))+1,IF(DAY(IF(DAY(B2)&lt;=16,B2+36,B2+45))=31,(IF(DAY(B2)&lt;=16,B2+36,B2+45))+2,IF(DAY(B2)&lt;=16,B2+36,B2+45)))+1,IF(DAY(IF(DAY(B2)&lt;=16,B2+36,B2+45))=1,(IF(DAY(B2)&lt;=16,B2+36,B2+45))+1,IF(DAY(IF(DAY(B2)&lt;=16,B2+36,B2+45))=31,(IF(DAY(B2)&lt;=16,B2+36,B2+45))+2,IF(DAY(B2)&lt;=16,B2+36,B2+45))))</f>
        <v>45176</v>
      </c>
      <c r="D2" s="6" t="str">
        <f ca="1">IF(WEEKDAY(C2,2)=1,"Lunes", IF(WEEKDAY(C2,2)=2,"Martes",IF(WEEKDAY(C2,2)=3,"Miercoles",IF(WEEKDAY(C2,2)=4,"Jueves",IF(WEEKDAY(C2,2)=5,"Viernes",IF(WEEKDAY(C2,2)=6,"Sábado","Domingo"))))))</f>
        <v>Jueves</v>
      </c>
      <c r="F2" s="5"/>
    </row>
    <row r="3" spans="2:7" ht="63.75" x14ac:dyDescent="0.25">
      <c r="B3" s="4" t="s">
        <v>102</v>
      </c>
      <c r="C3" s="4" t="s">
        <v>101</v>
      </c>
      <c r="G3" s="3"/>
    </row>
    <row r="5" spans="2:7" x14ac:dyDescent="0.25">
      <c r="B5" s="164">
        <f ca="1">B2+90</f>
        <v>45230</v>
      </c>
      <c r="G5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2</vt:i4>
      </vt:variant>
    </vt:vector>
  </HeadingPairs>
  <TitlesOfParts>
    <vt:vector size="7" baseType="lpstr">
      <vt:lpstr>Dependientes</vt:lpstr>
      <vt:lpstr>Independientes</vt:lpstr>
      <vt:lpstr>CONFIG</vt:lpstr>
      <vt:lpstr>Independiente</vt:lpstr>
      <vt:lpstr>Fecha de Pago</vt:lpstr>
      <vt:lpstr>Dependientes!Área_de_impresión</vt:lpstr>
      <vt:lpstr>Independientes!Área_de_impresión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Romero Dupleich Cristhian</dc:creator>
  <cp:lastModifiedBy>Toro Salas Douglas Alejandro</cp:lastModifiedBy>
  <cp:lastPrinted>2023-03-03T19:25:33Z</cp:lastPrinted>
  <dcterms:created xsi:type="dcterms:W3CDTF">2011-05-26T13:53:58Z</dcterms:created>
  <dcterms:modified xsi:type="dcterms:W3CDTF">2023-08-02T13:47:12Z</dcterms:modified>
</cp:coreProperties>
</file>