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5CEA9F5-25B2-46E5-92B7-2C93D8A985C9}" xr6:coauthVersionLast="47" xr6:coauthVersionMax="47" xr10:uidLastSave="{00000000-0000-0000-0000-000000000000}"/>
  <bookViews>
    <workbookView xWindow="-108" yWindow="-108" windowWidth="23256" windowHeight="12456" activeTab="6" xr2:uid="{0B957AF8-A2C0-4476-B26A-905004BFD19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8" l="1"/>
  <c r="E39" i="8"/>
  <c r="E37" i="8"/>
  <c r="D40" i="8"/>
  <c r="C40" i="8"/>
  <c r="B40" i="8"/>
  <c r="G37" i="8"/>
  <c r="C26" i="5" l="1"/>
  <c r="G17" i="5"/>
  <c r="D12" i="5"/>
  <c r="D13" i="5"/>
  <c r="D14" i="5"/>
  <c r="D15" i="5"/>
  <c r="D16" i="5"/>
  <c r="D17" i="5"/>
  <c r="D18" i="5"/>
  <c r="D19" i="5"/>
  <c r="D20" i="5"/>
  <c r="C20" i="5"/>
  <c r="C19" i="5"/>
  <c r="C18" i="5"/>
  <c r="C17" i="5"/>
  <c r="C16" i="5"/>
  <c r="C15" i="5"/>
  <c r="C14" i="5"/>
  <c r="C13" i="5"/>
  <c r="C12" i="5"/>
  <c r="F5" i="5"/>
  <c r="F6" i="5"/>
  <c r="F7" i="5"/>
  <c r="F8" i="5"/>
  <c r="C8" i="5"/>
  <c r="D8" i="5"/>
  <c r="E8" i="5"/>
  <c r="H16" i="5"/>
  <c r="C28" i="5" l="1"/>
  <c r="C27" i="5"/>
  <c r="G16" i="5"/>
  <c r="B21" i="5"/>
  <c r="D23" i="4"/>
  <c r="D21" i="4"/>
  <c r="B16" i="4"/>
  <c r="C16" i="4"/>
  <c r="D16" i="4"/>
  <c r="D12" i="4"/>
  <c r="D13" i="4"/>
  <c r="D14" i="4"/>
  <c r="D15" i="4"/>
  <c r="D11" i="4"/>
  <c r="C12" i="4"/>
  <c r="C13" i="4"/>
  <c r="C14" i="4"/>
  <c r="C15" i="4"/>
  <c r="C11" i="4"/>
  <c r="C18" i="3"/>
  <c r="C17" i="3"/>
  <c r="C16" i="3"/>
  <c r="C15" i="3"/>
  <c r="D9" i="3"/>
  <c r="D8" i="3"/>
  <c r="D7" i="3"/>
  <c r="D6" i="3"/>
  <c r="D22" i="4"/>
  <c r="C14" i="2"/>
  <c r="E9" i="2"/>
  <c r="E10" i="2" s="1"/>
  <c r="D17" i="2"/>
  <c r="D16" i="2"/>
  <c r="G8" i="2"/>
  <c r="C8" i="2"/>
  <c r="C17" i="1"/>
  <c r="C16" i="1"/>
  <c r="D9" i="1"/>
  <c r="C13" i="1" s="1"/>
  <c r="D7" i="1"/>
  <c r="F8" i="3"/>
  <c r="E14" i="3"/>
  <c r="E15" i="1"/>
  <c r="G12" i="4"/>
  <c r="E7" i="1"/>
  <c r="H9" i="2"/>
  <c r="G13" i="5"/>
  <c r="F7" i="3"/>
  <c r="G12" i="5"/>
  <c r="F6" i="3"/>
  <c r="E18" i="3"/>
  <c r="E17" i="3"/>
  <c r="E9" i="1"/>
  <c r="E13" i="1"/>
  <c r="F23" i="4"/>
  <c r="E17" i="1"/>
  <c r="E14" i="2"/>
  <c r="E13" i="3"/>
  <c r="E15" i="2"/>
  <c r="H10" i="2"/>
  <c r="F17" i="2"/>
  <c r="G13" i="4"/>
  <c r="E14" i="1"/>
  <c r="H8" i="2"/>
  <c r="E15" i="3"/>
  <c r="D28" i="5"/>
  <c r="C13" i="3" l="1"/>
  <c r="C14" i="3" s="1"/>
  <c r="E20" i="4"/>
  <c r="C15" i="2"/>
  <c r="C14" i="1"/>
  <c r="C15" i="1" s="1"/>
  <c r="D21" i="5" l="1"/>
  <c r="C25" i="5" s="1"/>
  <c r="C21" i="5"/>
</calcChain>
</file>

<file path=xl/sharedStrings.xml><?xml version="1.0" encoding="utf-8"?>
<sst xmlns="http://schemas.openxmlformats.org/spreadsheetml/2006/main" count="268" uniqueCount="160">
  <si>
    <t>or not at 3% level of significance?</t>
  </si>
  <si>
    <t>Solution:- Here, we have</t>
  </si>
  <si>
    <t>Sample size (n) =</t>
  </si>
  <si>
    <t>No.of Heads (x) =</t>
  </si>
  <si>
    <t>Sample prop.(p) =</t>
  </si>
  <si>
    <t>Pop. Prop.(P) =</t>
  </si>
  <si>
    <t>Q =</t>
  </si>
  <si>
    <t>Here, we set up Hypothesis as</t>
  </si>
  <si>
    <t>Coin is Unbiased.</t>
  </si>
  <si>
    <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>:P=0.5 i.e.</t>
    </r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</si>
  <si>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:P</t>
    </r>
    <r>
      <rPr>
        <b/>
        <sz val="14"/>
        <color theme="1"/>
        <rFont val="Calibri"/>
        <family val="2"/>
      </rPr>
      <t>≠</t>
    </r>
    <r>
      <rPr>
        <b/>
        <sz val="14"/>
        <color theme="1"/>
        <rFont val="Times New Roman"/>
        <family val="1"/>
      </rPr>
      <t>0.5 i.e.</t>
    </r>
  </si>
  <si>
    <t>Coin is biased.</t>
  </si>
  <si>
    <t>Here, S.E. (p) =</t>
  </si>
  <si>
    <r>
      <t>Z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. =</t>
    </r>
  </si>
  <si>
    <r>
      <t>|Z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.| =</t>
    </r>
  </si>
  <si>
    <t>a =</t>
  </si>
  <si>
    <r>
      <t>Z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. =</t>
    </r>
  </si>
  <si>
    <t>Coin is unbiased.</t>
  </si>
  <si>
    <r>
      <t>Decision:- Since, Z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&lt;Z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, we accept 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and Reject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conclusion that </t>
    </r>
  </si>
  <si>
    <t>Before Overhauled</t>
  </si>
  <si>
    <r>
      <t>n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</si>
  <si>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r>
      <t>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</si>
  <si>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r>
      <t>p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</t>
    </r>
  </si>
  <si>
    <t>After Overhauled</t>
  </si>
  <si>
    <r>
      <t>n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</t>
    </r>
  </si>
  <si>
    <r>
      <t>x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</t>
    </r>
  </si>
  <si>
    <r>
      <t>p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</t>
    </r>
  </si>
  <si>
    <t>Combined Prop.  (P) =</t>
  </si>
  <si>
    <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>:P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= P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i.e.</t>
    </r>
  </si>
  <si>
    <t>There is no significant change in Machine.</t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</si>
  <si>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:P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&gt; P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(OTT) i.e.Machine has been improved.</t>
    </r>
  </si>
  <si>
    <t>for one tailed</t>
  </si>
  <si>
    <t xml:space="preserve">A Coin is tossed 256 times and head observed 140 times, Test whether the coin is Biased </t>
  </si>
  <si>
    <t xml:space="preserve">Before overhauled a machine produced 80 defective articles out of 500 output and after overhauled it </t>
  </si>
  <si>
    <t>is producing 8 articles out of 100 output, Does the machine improved? Test at 2% level of sig..</t>
  </si>
  <si>
    <r>
      <t>Decision:- Since, Z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&gt;Z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, we   RejectH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and accept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conclusion that </t>
    </r>
  </si>
  <si>
    <t>Machine has been improved.</t>
  </si>
  <si>
    <t>per day or not at 6% level of significance?</t>
  </si>
  <si>
    <t>Solution :- Here, we have</t>
  </si>
  <si>
    <t>Sample size(n) =</t>
  </si>
  <si>
    <t>Sample mean (x*) =</t>
  </si>
  <si>
    <t>Sample S.D. (s) =</t>
  </si>
  <si>
    <r>
      <t>Pop. Mean (</t>
    </r>
    <r>
      <rPr>
        <b/>
        <sz val="14"/>
        <color theme="1"/>
        <rFont val="Symbol"/>
        <family val="1"/>
        <charset val="2"/>
      </rPr>
      <t>m) =</t>
    </r>
  </si>
  <si>
    <t>Here, S.E. (x*) =</t>
  </si>
  <si>
    <t>d.f. =</t>
  </si>
  <si>
    <t>No. of Girls :-</t>
  </si>
  <si>
    <t>No. of Families:-</t>
  </si>
  <si>
    <t>Let, x = No. of girls</t>
  </si>
  <si>
    <t>n =</t>
  </si>
  <si>
    <t>p =</t>
  </si>
  <si>
    <t>Calculation table for Chi - Square Statistic</t>
  </si>
  <si>
    <t>x</t>
  </si>
  <si>
    <t>O</t>
  </si>
  <si>
    <t>E</t>
  </si>
  <si>
    <r>
      <t>(O-E)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/E</t>
    </r>
  </si>
  <si>
    <t xml:space="preserve">N = </t>
  </si>
  <si>
    <t xml:space="preserve">Here, </t>
  </si>
  <si>
    <t>O =</t>
  </si>
  <si>
    <t>Observed Frequency</t>
  </si>
  <si>
    <t>E =</t>
  </si>
  <si>
    <t>Expected Frequency</t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</si>
  <si>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:Data does not fit Binomial distribution.</t>
    </r>
  </si>
  <si>
    <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>:Data fits Binomial distribution.</t>
    </r>
  </si>
  <si>
    <t>Chi - square Cal. =</t>
  </si>
  <si>
    <t>Chi - square tab. =</t>
  </si>
  <si>
    <t xml:space="preserve">From the following data test whether the average time spent by student on teaching is 6 hours </t>
  </si>
  <si>
    <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: </t>
    </r>
    <r>
      <rPr>
        <b/>
        <sz val="14"/>
        <color theme="1"/>
        <rFont val="Symbol"/>
        <family val="1"/>
        <charset val="2"/>
      </rPr>
      <t xml:space="preserve">m </t>
    </r>
    <r>
      <rPr>
        <b/>
        <sz val="14"/>
        <color theme="1"/>
        <rFont val="Times New Roman"/>
        <family val="1"/>
      </rPr>
      <t>= 6 i.e.</t>
    </r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</si>
  <si>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: </t>
    </r>
    <r>
      <rPr>
        <b/>
        <sz val="14"/>
        <color theme="1"/>
        <rFont val="Symbol"/>
        <family val="1"/>
        <charset val="2"/>
      </rPr>
      <t xml:space="preserve">m </t>
    </r>
    <r>
      <rPr>
        <b/>
        <sz val="14"/>
        <color theme="1"/>
        <rFont val="Calibri"/>
        <family val="2"/>
      </rPr>
      <t>≠ 6</t>
    </r>
    <r>
      <rPr>
        <b/>
        <sz val="14"/>
        <color theme="1"/>
        <rFont val="Times New Roman"/>
        <family val="1"/>
      </rPr>
      <t xml:space="preserve"> i.e.</t>
    </r>
  </si>
  <si>
    <t>Population average study hours of students is 6 hours.</t>
  </si>
  <si>
    <t>Population average study hours of students is other than 6 hours.</t>
  </si>
  <si>
    <r>
      <t>t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. =</t>
    </r>
  </si>
  <si>
    <r>
      <t>|t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.| =</t>
    </r>
  </si>
  <si>
    <r>
      <t>t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. =</t>
    </r>
  </si>
  <si>
    <r>
      <t>Decision:- Since, t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&lt;t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, we accept 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and Reject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conclusion that </t>
    </r>
  </si>
  <si>
    <t>Following data represents distribution of children of a community of 512 household</t>
  </si>
  <si>
    <t>Test at 4% level of sig., whether given data fits Binomial distribution or not?</t>
  </si>
  <si>
    <r>
      <t>Decision:- Since, Chi - square cal. &gt; Chi - square tab., we accept 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and Reject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</t>
    </r>
  </si>
  <si>
    <t>with the conclusion that Data does not fit Binomial distribution.</t>
  </si>
  <si>
    <r>
      <t>c</t>
    </r>
    <r>
      <rPr>
        <b/>
        <vertAlign val="superscript"/>
        <sz val="14"/>
        <color theme="1"/>
        <rFont val="Symbol"/>
        <family val="1"/>
        <charset val="2"/>
      </rPr>
      <t>2</t>
    </r>
    <r>
      <rPr>
        <b/>
        <vertAlign val="subscript"/>
        <sz val="14"/>
        <color theme="1"/>
        <rFont val="Times New Roman"/>
        <family val="1"/>
      </rPr>
      <t>cal.</t>
    </r>
  </si>
  <si>
    <t>No. of Children</t>
  </si>
  <si>
    <t>Education Level</t>
  </si>
  <si>
    <t>+2</t>
  </si>
  <si>
    <t>Bachelor</t>
  </si>
  <si>
    <t>Master</t>
  </si>
  <si>
    <t xml:space="preserve"> 2 - 3</t>
  </si>
  <si>
    <t>&gt; 3</t>
  </si>
  <si>
    <t>C.T.</t>
  </si>
  <si>
    <t>R.T.</t>
  </si>
  <si>
    <t>Formula</t>
  </si>
  <si>
    <t>r =</t>
  </si>
  <si>
    <t>c =</t>
  </si>
  <si>
    <r>
      <t>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>: There is no association between number of children and education level attained.</t>
    </r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</si>
  <si>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: There is association between number of children and education level attained.</t>
    </r>
  </si>
  <si>
    <r>
      <rPr>
        <b/>
        <sz val="14"/>
        <color theme="1"/>
        <rFont val="Symbol"/>
        <family val="1"/>
        <charset val="2"/>
      </rPr>
      <t>c</t>
    </r>
    <r>
      <rPr>
        <b/>
        <vertAlign val="superscript"/>
        <sz val="14"/>
        <color theme="1"/>
        <rFont val="Symbol"/>
        <family val="1"/>
        <charset val="2"/>
      </rPr>
      <t>2</t>
    </r>
    <r>
      <rPr>
        <b/>
        <sz val="14"/>
        <color theme="1"/>
        <rFont val="Times New Roman"/>
        <family val="1"/>
      </rPr>
      <t xml:space="preserve"> </t>
    </r>
    <r>
      <rPr>
        <b/>
        <vertAlign val="subscript"/>
        <sz val="14"/>
        <color theme="1"/>
        <rFont val="Times New Roman"/>
        <family val="1"/>
      </rPr>
      <t>Cal</t>
    </r>
    <r>
      <rPr>
        <b/>
        <sz val="14"/>
        <color theme="1"/>
        <rFont val="Times New Roman"/>
        <family val="1"/>
      </rPr>
      <t>. =</t>
    </r>
  </si>
  <si>
    <r>
      <rPr>
        <b/>
        <sz val="14"/>
        <color theme="1"/>
        <rFont val="Symbol"/>
        <family val="1"/>
        <charset val="2"/>
      </rPr>
      <t>c</t>
    </r>
    <r>
      <rPr>
        <b/>
        <vertAlign val="superscript"/>
        <sz val="14"/>
        <color theme="1"/>
        <rFont val="Symbol"/>
        <family val="1"/>
        <charset val="2"/>
      </rPr>
      <t>2</t>
    </r>
    <r>
      <rPr>
        <b/>
        <sz val="14"/>
        <color theme="1"/>
        <rFont val="Times New Roman"/>
        <family val="1"/>
      </rPr>
      <t xml:space="preserve"> </t>
    </r>
    <r>
      <rPr>
        <b/>
        <vertAlign val="subscript"/>
        <sz val="14"/>
        <color theme="1"/>
        <rFont val="Times New Roman"/>
        <family val="1"/>
      </rPr>
      <t>tab</t>
    </r>
    <r>
      <rPr>
        <b/>
        <sz val="14"/>
        <color theme="1"/>
        <rFont val="Times New Roman"/>
        <family val="1"/>
      </rPr>
      <t>. =</t>
    </r>
  </si>
  <si>
    <t xml:space="preserve">with the conclusion that there is association between number of children and </t>
  </si>
  <si>
    <t>education level attained.</t>
  </si>
  <si>
    <r>
      <t>Decision:- Since, Chi - square cal. &gt; Chi - square tab., we Reject H</t>
    </r>
    <r>
      <rPr>
        <b/>
        <vertAlign val="subscript"/>
        <sz val="14"/>
        <color theme="1"/>
        <rFont val="Times New Roman"/>
        <family val="1"/>
      </rPr>
      <t>o</t>
    </r>
    <r>
      <rPr>
        <b/>
        <sz val="14"/>
        <color theme="1"/>
        <rFont val="Times New Roman"/>
        <family val="1"/>
      </rPr>
      <t xml:space="preserve"> and accept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</t>
    </r>
  </si>
  <si>
    <t>Analyze the data.</t>
  </si>
  <si>
    <t>A</t>
  </si>
  <si>
    <t>B</t>
  </si>
  <si>
    <t>C</t>
  </si>
  <si>
    <t>A 20</t>
  </si>
  <si>
    <t>A 30</t>
  </si>
  <si>
    <t>C 25</t>
  </si>
  <si>
    <t>B 20</t>
  </si>
  <si>
    <t>B 10</t>
  </si>
  <si>
    <t>A 40</t>
  </si>
  <si>
    <t>C 40</t>
  </si>
  <si>
    <t>Solution:- Calculation for ANOVA table</t>
  </si>
  <si>
    <t>Given design is CRD with three treatments and four replications.</t>
  </si>
  <si>
    <t>Treatments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</si>
  <si>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</si>
  <si>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</si>
  <si>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</si>
  <si>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</si>
  <si>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</si>
  <si>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</si>
  <si>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</si>
  <si>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</si>
  <si>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</si>
  <si>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Error</t>
  </si>
  <si>
    <r>
      <t xml:space="preserve">Solution:- Calculation table for </t>
    </r>
    <r>
      <rPr>
        <b/>
        <sz val="14"/>
        <color theme="1"/>
        <rFont val="Symbol"/>
        <family val="1"/>
        <charset val="2"/>
      </rPr>
      <t>c</t>
    </r>
    <r>
      <rPr>
        <b/>
        <vertAlign val="superscript"/>
        <sz val="14"/>
        <color theme="1"/>
        <rFont val="Symbol"/>
        <family val="1"/>
        <charset val="2"/>
      </rPr>
      <t>2</t>
    </r>
    <r>
      <rPr>
        <b/>
        <sz val="14"/>
        <color theme="1"/>
        <rFont val="Symbol"/>
        <family val="1"/>
        <charset val="2"/>
      </rPr>
      <t xml:space="preserve"> - </t>
    </r>
    <r>
      <rPr>
        <b/>
        <sz val="14"/>
        <color theme="1"/>
        <rFont val="Times New Roman"/>
        <family val="1"/>
      </rPr>
      <t>statistic</t>
    </r>
  </si>
  <si>
    <t>3% level of significance?</t>
  </si>
  <si>
    <t>Test whether there is association between number of children and education level attained at</t>
  </si>
  <si>
    <t>A 10</t>
  </si>
  <si>
    <t>C 20</t>
  </si>
  <si>
    <t>D</t>
  </si>
  <si>
    <t>C 10</t>
  </si>
  <si>
    <t>D 40</t>
  </si>
  <si>
    <t>D 25</t>
  </si>
  <si>
    <t>D 30</t>
  </si>
  <si>
    <t>Given design is RBD with four treatments and four replications.</t>
  </si>
  <si>
    <t>Block</t>
  </si>
  <si>
    <t>I</t>
  </si>
  <si>
    <t>II</t>
  </si>
  <si>
    <t>III</t>
  </si>
  <si>
    <t>IV</t>
  </si>
  <si>
    <t>Anova: Two-Factor Without Replication</t>
  </si>
  <si>
    <t>Rows</t>
  </si>
  <si>
    <t>Columns</t>
  </si>
  <si>
    <t>C 30</t>
  </si>
  <si>
    <t>D35</t>
  </si>
  <si>
    <t>D 20</t>
  </si>
  <si>
    <t>A 25</t>
  </si>
  <si>
    <t>B 35</t>
  </si>
  <si>
    <t>Given, design is 4x4 LSD.</t>
  </si>
  <si>
    <t>For Treatments</t>
  </si>
  <si>
    <t>ANOVA: Two-Factor Without Replication</t>
  </si>
  <si>
    <t>Merged ANOVA table for LSD</t>
  </si>
  <si>
    <t>A 33</t>
  </si>
  <si>
    <t>A 17</t>
  </si>
  <si>
    <t>B 27</t>
  </si>
  <si>
    <t>A 23</t>
  </si>
  <si>
    <t>Blocks</t>
  </si>
  <si>
    <t>A 11</t>
  </si>
  <si>
    <t>B 19</t>
  </si>
  <si>
    <t>D 26</t>
  </si>
  <si>
    <t>C 34</t>
  </si>
  <si>
    <t>ANOVA: 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</si>
</sst>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sz val="14"/>
      <color theme="1"/>
      <name val="Symbol"/>
      <family val="1"/>
      <charset val="2"/>
    </font>
    <font>
      <b/>
      <vertAlign val="superscript"/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4"/>
      <color theme="1"/>
      <name val="Symbol"/>
      <family val="1"/>
      <charset val="2"/>
    </font>
    <font>
      <b/>
      <sz val="14"/>
      <color theme="1"/>
      <name val="Times New Roman"/>
      <family val="1"/>
      <charset val="2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3" borderId="0" xfId="0" applyFont="1" applyFill="1"/>
    <xf numFmtId="2" fontId="1" fillId="0" borderId="0" xfId="0" applyNumberFormat="1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7" fillId="3" borderId="0" xfId="0" applyFont="1" applyFill="1"/>
    <xf numFmtId="0" fontId="8" fillId="0" borderId="0" xfId="0" applyFont="1"/>
    <xf numFmtId="0" fontId="10" fillId="0" borderId="0" xfId="0" applyFont="1"/>
    <xf numFmtId="2" fontId="2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 wrapText="1"/>
    </xf>
    <xf numFmtId="0" fontId="14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0AF0-8D38-4F31-B1E4-C9DC83788BA7}">
  <dimension ref="A1:K19"/>
  <sheetViews>
    <sheetView topLeftCell="A7" zoomScale="160" zoomScaleNormal="160" workbookViewId="0">
      <selection activeCell="A10" sqref="A10:B18"/>
    </sheetView>
  </sheetViews>
  <sheetFormatPr defaultRowHeight="17.399999999999999"/>
  <cols>
    <col min="1" max="2" width="8.88671875" style="1"/>
    <col min="3" max="3" width="11.6640625" style="1" customWidth="1"/>
    <col min="4" max="16384" width="8.88671875" style="1"/>
  </cols>
  <sheetData>
    <row r="1" spans="1:11">
      <c r="A1" s="1" t="s">
        <v>32</v>
      </c>
    </row>
    <row r="2" spans="1:11">
      <c r="A2" s="1" t="s">
        <v>0</v>
      </c>
    </row>
    <row r="3" spans="1:11" ht="14.4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1</v>
      </c>
    </row>
    <row r="5" spans="1:11">
      <c r="B5" s="1" t="s">
        <v>2</v>
      </c>
      <c r="D5" s="3">
        <v>256</v>
      </c>
    </row>
    <row r="6" spans="1:11">
      <c r="B6" s="1" t="s">
        <v>3</v>
      </c>
      <c r="D6" s="3">
        <v>140</v>
      </c>
    </row>
    <row r="7" spans="1:11">
      <c r="B7" s="1" t="s">
        <v>4</v>
      </c>
      <c r="D7" s="3">
        <f>D6/D5</f>
        <v>0.546875</v>
      </c>
      <c r="E7" s="4" t="str">
        <f ca="1">_xlfn.FORMULATEXT(D7)</f>
        <v>=D6/D5</v>
      </c>
    </row>
    <row r="8" spans="1:11">
      <c r="B8" s="1" t="s">
        <v>5</v>
      </c>
      <c r="D8" s="3">
        <v>0.5</v>
      </c>
    </row>
    <row r="9" spans="1:11">
      <c r="C9" s="1" t="s">
        <v>6</v>
      </c>
      <c r="D9" s="3">
        <f>1-D8</f>
        <v>0.5</v>
      </c>
      <c r="E9" s="4" t="str">
        <f ca="1">_xlfn.FORMULATEXT(D9)</f>
        <v>=1-D8</v>
      </c>
    </row>
    <row r="10" spans="1:11">
      <c r="A10" s="1" t="s">
        <v>7</v>
      </c>
    </row>
    <row r="11" spans="1:11" ht="19.8">
      <c r="A11" s="1" t="s">
        <v>9</v>
      </c>
      <c r="C11" s="1" t="s">
        <v>8</v>
      </c>
    </row>
    <row r="12" spans="1:11" ht="19.8">
      <c r="A12" s="1" t="s">
        <v>10</v>
      </c>
      <c r="C12" s="1" t="s">
        <v>11</v>
      </c>
    </row>
    <row r="13" spans="1:11">
      <c r="A13" s="1" t="s">
        <v>12</v>
      </c>
      <c r="C13" s="1">
        <f>SQRT(D8*D9/D5)</f>
        <v>3.125E-2</v>
      </c>
      <c r="E13" s="4" t="str">
        <f ca="1">_xlfn.FORMULATEXT(C13)</f>
        <v>=SQRT(D8*D9/D5)</v>
      </c>
    </row>
    <row r="14" spans="1:11" ht="19.8">
      <c r="B14" s="1" t="s">
        <v>13</v>
      </c>
      <c r="C14" s="1">
        <f>(D7-D8)/C13</f>
        <v>1.5</v>
      </c>
      <c r="E14" s="4" t="str">
        <f ca="1">_xlfn.FORMULATEXT(C14)</f>
        <v>=(D7-D8)/C13</v>
      </c>
    </row>
    <row r="15" spans="1:11" ht="19.8">
      <c r="B15" s="1" t="s">
        <v>14</v>
      </c>
      <c r="C15" s="3">
        <f>ABS(C14)</f>
        <v>1.5</v>
      </c>
      <c r="E15" s="4" t="str">
        <f ca="1">_xlfn.FORMULATEXT(C15)</f>
        <v>=ABS(C14)</v>
      </c>
    </row>
    <row r="16" spans="1:11">
      <c r="B16" s="5" t="s">
        <v>15</v>
      </c>
      <c r="C16" s="3">
        <f>3%</f>
        <v>0.03</v>
      </c>
      <c r="E16" s="4"/>
    </row>
    <row r="17" spans="1:5" ht="19.8">
      <c r="B17" s="1" t="s">
        <v>16</v>
      </c>
      <c r="C17" s="3">
        <f>NORMSINV(1-C16/2)</f>
        <v>2.1700903775845601</v>
      </c>
      <c r="E17" s="4" t="str">
        <f t="shared" ref="E17" ca="1" si="0">_xlfn.FORMULATEXT(C17)</f>
        <v>=NORMSINV(1-C16/2)</v>
      </c>
    </row>
    <row r="18" spans="1:5" ht="19.8">
      <c r="A18" s="1" t="s">
        <v>18</v>
      </c>
    </row>
    <row r="19" spans="1:5">
      <c r="B19" s="1" t="s">
        <v>17</v>
      </c>
    </row>
  </sheetData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C078-FBE7-4AF7-B529-87C2C36BDC81}">
  <dimension ref="A1:M20"/>
  <sheetViews>
    <sheetView topLeftCell="A8" zoomScale="140" zoomScaleNormal="140" workbookViewId="0">
      <selection activeCell="A11" sqref="A11:D20"/>
    </sheetView>
  </sheetViews>
  <sheetFormatPr defaultRowHeight="17.399999999999999"/>
  <cols>
    <col min="1" max="2" width="8.88671875" style="1"/>
    <col min="3" max="3" width="13.109375" style="1" customWidth="1"/>
    <col min="4" max="6" width="8.88671875" style="1"/>
    <col min="7" max="7" width="12.109375" style="1" customWidth="1"/>
    <col min="8" max="16384" width="8.88671875" style="1"/>
  </cols>
  <sheetData>
    <row r="1" spans="1:13">
      <c r="A1" s="1" t="s">
        <v>33</v>
      </c>
    </row>
    <row r="2" spans="1:13">
      <c r="A2" s="1" t="s">
        <v>34</v>
      </c>
    </row>
    <row r="3" spans="1:1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1" t="s">
        <v>1</v>
      </c>
    </row>
    <row r="5" spans="1:13">
      <c r="B5" s="31" t="s">
        <v>19</v>
      </c>
      <c r="C5" s="31"/>
      <c r="F5" s="31" t="s">
        <v>23</v>
      </c>
      <c r="G5" s="31"/>
    </row>
    <row r="6" spans="1:13" ht="19.8">
      <c r="B6" s="7" t="s">
        <v>20</v>
      </c>
      <c r="C6" s="7">
        <v>500</v>
      </c>
      <c r="F6" s="7" t="s">
        <v>24</v>
      </c>
      <c r="G6" s="7">
        <v>100</v>
      </c>
    </row>
    <row r="7" spans="1:13" ht="19.8">
      <c r="B7" s="7" t="s">
        <v>21</v>
      </c>
      <c r="C7" s="7">
        <v>80</v>
      </c>
      <c r="F7" s="7" t="s">
        <v>25</v>
      </c>
      <c r="G7" s="7">
        <v>8</v>
      </c>
    </row>
    <row r="8" spans="1:13" ht="19.8">
      <c r="B8" s="7" t="s">
        <v>22</v>
      </c>
      <c r="C8" s="7">
        <f>C7/C6</f>
        <v>0.16</v>
      </c>
      <c r="F8" s="7" t="s">
        <v>26</v>
      </c>
      <c r="G8" s="7">
        <f>G7/G6</f>
        <v>0.08</v>
      </c>
      <c r="H8" s="4" t="str">
        <f ca="1">_xlfn.FORMULATEXT(G8)</f>
        <v>=G7/G6</v>
      </c>
    </row>
    <row r="9" spans="1:13">
      <c r="B9" s="1" t="s">
        <v>27</v>
      </c>
      <c r="E9" s="8">
        <f>(C7+G7)/(C6+G6)</f>
        <v>0.14666666666666667</v>
      </c>
      <c r="H9" s="4" t="str">
        <f ca="1">_xlfn.FORMULATEXT(E9)</f>
        <v>=(C7+G7)/(C6+G6)</v>
      </c>
    </row>
    <row r="10" spans="1:13">
      <c r="D10" s="1" t="s">
        <v>6</v>
      </c>
      <c r="E10" s="8">
        <f>1-E9</f>
        <v>0.85333333333333328</v>
      </c>
      <c r="H10" s="4" t="str">
        <f ca="1">_xlfn.FORMULATEXT(E10)</f>
        <v>=1-E9</v>
      </c>
    </row>
    <row r="11" spans="1:13">
      <c r="A11" s="1" t="s">
        <v>7</v>
      </c>
    </row>
    <row r="12" spans="1:13" ht="19.8">
      <c r="A12" s="1" t="s">
        <v>28</v>
      </c>
      <c r="C12" s="1" t="s">
        <v>29</v>
      </c>
    </row>
    <row r="13" spans="1:13" ht="19.8">
      <c r="A13" s="1" t="s">
        <v>30</v>
      </c>
    </row>
    <row r="14" spans="1:13">
      <c r="A14" s="1" t="s">
        <v>12</v>
      </c>
      <c r="C14" s="6">
        <f>SQRT(E9*E10*(1/C6+1/G6))</f>
        <v>3.8753924532447893E-2</v>
      </c>
      <c r="E14" s="4" t="str">
        <f ca="1">_xlfn.FORMULATEXT(C14)</f>
        <v>=SQRT(E9*E10*(1/C6+1/G6))</v>
      </c>
    </row>
    <row r="15" spans="1:13" ht="19.8">
      <c r="B15" s="1" t="s">
        <v>13</v>
      </c>
      <c r="C15" s="9">
        <f>(C8-G8)/C14</f>
        <v>2.064307059611926</v>
      </c>
      <c r="E15" s="4" t="str">
        <f ca="1">_xlfn.FORMULATEXT(C15)</f>
        <v>=(C8-G8)/C14</v>
      </c>
    </row>
    <row r="16" spans="1:13">
      <c r="C16" s="5" t="s">
        <v>15</v>
      </c>
      <c r="D16" s="3">
        <f>2%</f>
        <v>0.02</v>
      </c>
      <c r="F16" s="4"/>
    </row>
    <row r="17" spans="2:9" ht="19.8">
      <c r="C17" s="1" t="s">
        <v>16</v>
      </c>
      <c r="D17" s="3">
        <f>NORMSINV(1-D16)</f>
        <v>2.0537489106318221</v>
      </c>
      <c r="F17" s="4" t="str">
        <f t="shared" ref="F17" ca="1" si="0">_xlfn.FORMULATEXT(D17)</f>
        <v>=NORMSINV(1-D16)</v>
      </c>
      <c r="I17" s="1" t="s">
        <v>31</v>
      </c>
    </row>
    <row r="19" spans="2:9" ht="19.8">
      <c r="B19" s="1" t="s">
        <v>35</v>
      </c>
    </row>
    <row r="20" spans="2:9">
      <c r="C20" s="1" t="s">
        <v>36</v>
      </c>
    </row>
  </sheetData>
  <mergeCells count="2">
    <mergeCell ref="B5:C5"/>
    <mergeCell ref="F5:G5"/>
  </mergeCells>
  <printOptions gridLines="1"/>
  <pageMargins left="0.7" right="0.7" top="0.75" bottom="0.75" header="0.3" footer="0.3"/>
  <pageSetup scale="8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1F75-2F75-42C1-BE58-FEA0BF69155C}">
  <dimension ref="A1:L20"/>
  <sheetViews>
    <sheetView topLeftCell="A7" zoomScale="140" zoomScaleNormal="140" workbookViewId="0">
      <selection activeCell="I21" sqref="I21"/>
    </sheetView>
  </sheetViews>
  <sheetFormatPr defaultRowHeight="17.399999999999999"/>
  <cols>
    <col min="1" max="1" width="8.88671875" style="1"/>
    <col min="2" max="2" width="10.109375" style="1" customWidth="1"/>
    <col min="3" max="3" width="13.5546875" style="1" customWidth="1"/>
    <col min="4" max="16384" width="8.88671875" style="1"/>
  </cols>
  <sheetData>
    <row r="1" spans="1:12">
      <c r="A1" s="1" t="s">
        <v>65</v>
      </c>
    </row>
    <row r="2" spans="1:12">
      <c r="A2" s="1" t="s">
        <v>37</v>
      </c>
    </row>
    <row r="3" spans="1:12" s="3" customFormat="1">
      <c r="A3" s="3">
        <v>4</v>
      </c>
      <c r="B3" s="3">
        <v>8</v>
      </c>
      <c r="C3" s="3">
        <v>2</v>
      </c>
      <c r="D3" s="3">
        <v>8</v>
      </c>
      <c r="E3" s="3">
        <v>6</v>
      </c>
      <c r="F3" s="3">
        <v>3</v>
      </c>
      <c r="G3" s="3">
        <v>2</v>
      </c>
      <c r="H3" s="3">
        <v>1</v>
      </c>
      <c r="I3" s="3">
        <v>5</v>
      </c>
      <c r="J3" s="3">
        <v>6</v>
      </c>
      <c r="K3" s="3">
        <v>10</v>
      </c>
      <c r="L3" s="3">
        <v>6</v>
      </c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>
      <c r="A5" s="1" t="s">
        <v>38</v>
      </c>
    </row>
    <row r="6" spans="1:12">
      <c r="B6" s="1" t="s">
        <v>39</v>
      </c>
      <c r="D6" s="3">
        <f>COUNT(A3:L3)</f>
        <v>12</v>
      </c>
      <c r="F6" s="4" t="str">
        <f ca="1">_xlfn.FORMULATEXT(D6)</f>
        <v>=COUNT(A3:L3)</v>
      </c>
    </row>
    <row r="7" spans="1:12">
      <c r="B7" s="1" t="s">
        <v>40</v>
      </c>
      <c r="D7" s="11">
        <f>AVERAGE(A3:L3)</f>
        <v>5.083333333333333</v>
      </c>
      <c r="F7" s="4" t="str">
        <f t="shared" ref="F7:F8" ca="1" si="0">_xlfn.FORMULATEXT(D7)</f>
        <v>=AVERAGE(A3:L3)</v>
      </c>
    </row>
    <row r="8" spans="1:12">
      <c r="B8" s="1" t="s">
        <v>41</v>
      </c>
      <c r="D8" s="11">
        <f>_xlfn.STDEV.S(A3:L3)</f>
        <v>2.7784342658585559</v>
      </c>
      <c r="F8" s="4" t="str">
        <f t="shared" ca="1" si="0"/>
        <v>=STDEV.S(A3:L3)</v>
      </c>
    </row>
    <row r="9" spans="1:12">
      <c r="B9" s="1" t="s">
        <v>42</v>
      </c>
      <c r="D9" s="3">
        <f>6</f>
        <v>6</v>
      </c>
      <c r="F9" s="4"/>
    </row>
    <row r="10" spans="1:12">
      <c r="A10" s="1" t="s">
        <v>7</v>
      </c>
    </row>
    <row r="11" spans="1:12" ht="19.8">
      <c r="A11" s="1" t="s">
        <v>66</v>
      </c>
      <c r="C11" s="1" t="s">
        <v>68</v>
      </c>
    </row>
    <row r="12" spans="1:12" ht="19.8">
      <c r="A12" s="1" t="s">
        <v>67</v>
      </c>
      <c r="C12" s="1" t="s">
        <v>69</v>
      </c>
    </row>
    <row r="13" spans="1:12">
      <c r="A13" s="1" t="s">
        <v>43</v>
      </c>
      <c r="C13" s="9">
        <f>D8/SQRT(D6)</f>
        <v>0.8020648856595588</v>
      </c>
      <c r="E13" s="4" t="str">
        <f ca="1">_xlfn.FORMULATEXT(C13)</f>
        <v>=D8/SQRT(D6)</v>
      </c>
      <c r="F13" s="4"/>
    </row>
    <row r="14" spans="1:12" ht="19.8">
      <c r="B14" s="1" t="s">
        <v>70</v>
      </c>
      <c r="C14" s="9">
        <f>(D7-D9)/C13</f>
        <v>-1.1428834288299108</v>
      </c>
      <c r="E14" s="4" t="str">
        <f t="shared" ref="E14:E18" ca="1" si="1">_xlfn.FORMULATEXT(C14)</f>
        <v>=(D7-D9)/C13</v>
      </c>
      <c r="F14" s="4"/>
    </row>
    <row r="15" spans="1:12" ht="19.8">
      <c r="B15" s="1" t="s">
        <v>71</v>
      </c>
      <c r="C15" s="9">
        <f>ABS(C14)</f>
        <v>1.1428834288299108</v>
      </c>
      <c r="E15" s="4" t="str">
        <f t="shared" ca="1" si="1"/>
        <v>=ABS(C14)</v>
      </c>
      <c r="F15" s="4"/>
    </row>
    <row r="16" spans="1:12">
      <c r="B16" s="5" t="s">
        <v>15</v>
      </c>
      <c r="C16" s="3">
        <f>6%</f>
        <v>0.06</v>
      </c>
      <c r="E16" s="4"/>
      <c r="F16" s="4"/>
    </row>
    <row r="17" spans="1:6">
      <c r="B17" s="1" t="s">
        <v>44</v>
      </c>
      <c r="C17" s="3">
        <f>D6-1</f>
        <v>11</v>
      </c>
      <c r="E17" s="4" t="str">
        <f t="shared" ca="1" si="1"/>
        <v>=D6-1</v>
      </c>
      <c r="F17" s="4"/>
    </row>
    <row r="18" spans="1:6" ht="19.8">
      <c r="B18" s="1" t="s">
        <v>72</v>
      </c>
      <c r="C18" s="9">
        <f>TINV(C16,C17)</f>
        <v>2.0961388390663349</v>
      </c>
      <c r="E18" s="4" t="str">
        <f t="shared" ca="1" si="1"/>
        <v>=TINV(C16,C17)</v>
      </c>
      <c r="F18" s="4"/>
    </row>
    <row r="19" spans="1:6" ht="19.8">
      <c r="A19" s="1" t="s">
        <v>73</v>
      </c>
    </row>
    <row r="20" spans="1:6">
      <c r="B20" s="1" t="s">
        <v>68</v>
      </c>
    </row>
  </sheetData>
  <printOptions gridLines="1"/>
  <pageMargins left="0.7" right="0.7" top="0.75" bottom="0.75" header="0.3" footer="0.3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8B33-5AB0-4608-8AE2-129B63514DED}">
  <dimension ref="A1:M26"/>
  <sheetViews>
    <sheetView topLeftCell="A14" zoomScale="140" zoomScaleNormal="140" workbookViewId="0">
      <selection activeCell="A17" sqref="A17:E26"/>
    </sheetView>
  </sheetViews>
  <sheetFormatPr defaultRowHeight="17.399999999999999"/>
  <cols>
    <col min="1" max="1" width="8.88671875" style="1"/>
    <col min="2" max="2" width="10.44140625" style="1" customWidth="1"/>
    <col min="3" max="3" width="11.21875" style="1" customWidth="1"/>
    <col min="4" max="4" width="10.6640625" style="1" customWidth="1"/>
    <col min="5" max="5" width="8.88671875" style="1"/>
    <col min="6" max="6" width="9.5546875" style="1" customWidth="1"/>
    <col min="7" max="16384" width="8.88671875" style="1"/>
  </cols>
  <sheetData>
    <row r="1" spans="1:13">
      <c r="A1" s="1" t="s">
        <v>74</v>
      </c>
    </row>
    <row r="2" spans="1:13">
      <c r="A2" s="1" t="s">
        <v>75</v>
      </c>
    </row>
    <row r="3" spans="1:13">
      <c r="A3" s="1" t="s">
        <v>45</v>
      </c>
      <c r="C3" s="3">
        <v>0</v>
      </c>
      <c r="D3" s="3">
        <v>1</v>
      </c>
      <c r="E3" s="3">
        <v>2</v>
      </c>
      <c r="F3" s="3">
        <v>3</v>
      </c>
      <c r="G3" s="3">
        <v>4</v>
      </c>
    </row>
    <row r="4" spans="1:13">
      <c r="A4" s="1" t="s">
        <v>46</v>
      </c>
      <c r="C4" s="3">
        <v>20</v>
      </c>
      <c r="D4" s="3">
        <v>137</v>
      </c>
      <c r="E4" s="3">
        <v>200</v>
      </c>
      <c r="F4" s="3">
        <v>135</v>
      </c>
      <c r="G4" s="3">
        <v>20</v>
      </c>
    </row>
    <row r="5" spans="1:1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3">
      <c r="A6" s="1" t="s">
        <v>1</v>
      </c>
    </row>
    <row r="7" spans="1:13">
      <c r="A7" s="1" t="s">
        <v>47</v>
      </c>
    </row>
    <row r="8" spans="1:13">
      <c r="B8" s="3" t="s">
        <v>48</v>
      </c>
      <c r="C8" s="3">
        <v>4</v>
      </c>
      <c r="D8" s="3" t="s">
        <v>49</v>
      </c>
      <c r="E8" s="3">
        <v>0.5</v>
      </c>
      <c r="F8" s="3" t="s">
        <v>55</v>
      </c>
      <c r="G8" s="3">
        <v>512</v>
      </c>
    </row>
    <row r="9" spans="1:13">
      <c r="A9" s="1" t="s">
        <v>50</v>
      </c>
      <c r="G9" s="1" t="s">
        <v>56</v>
      </c>
    </row>
    <row r="10" spans="1:13" ht="20.399999999999999">
      <c r="A10" s="3" t="s">
        <v>51</v>
      </c>
      <c r="B10" s="3" t="s">
        <v>52</v>
      </c>
      <c r="C10" s="3" t="s">
        <v>53</v>
      </c>
      <c r="D10" s="3" t="s">
        <v>54</v>
      </c>
      <c r="G10" s="1" t="s">
        <v>57</v>
      </c>
      <c r="H10" s="1" t="s">
        <v>58</v>
      </c>
      <c r="K10" s="16"/>
    </row>
    <row r="11" spans="1:13">
      <c r="A11" s="3">
        <v>0</v>
      </c>
      <c r="B11" s="3">
        <v>20</v>
      </c>
      <c r="C11" s="3">
        <f>G$8*_xlfn.BINOM.DIST(A11,C$8,E$8,FALSE)</f>
        <v>32</v>
      </c>
      <c r="D11" s="3">
        <f>(B11-C11)^2/C11</f>
        <v>4.5</v>
      </c>
      <c r="G11" s="1" t="s">
        <v>59</v>
      </c>
      <c r="H11" s="1" t="s">
        <v>60</v>
      </c>
    </row>
    <row r="12" spans="1:13">
      <c r="A12" s="3">
        <v>1</v>
      </c>
      <c r="B12" s="3">
        <v>137</v>
      </c>
      <c r="C12" s="3">
        <f t="shared" ref="C12:C15" si="0">G$8*_xlfn.BINOM.DIST(A12,C$8,E$8,FALSE)</f>
        <v>127.99999999999997</v>
      </c>
      <c r="D12" s="3">
        <f t="shared" ref="D12:D15" si="1">(B12-C12)^2/C12</f>
        <v>0.63281250000000411</v>
      </c>
      <c r="G12" s="15" t="str">
        <f ca="1">_xlfn.FORMULATEXT(C11)</f>
        <v>=G$8*BINOM.DIST(A11,C$8,E$8,FALSE)</v>
      </c>
      <c r="H12" s="12"/>
      <c r="I12" s="10"/>
      <c r="J12" s="10"/>
      <c r="K12" s="10"/>
      <c r="L12" s="10"/>
      <c r="M12" s="10"/>
    </row>
    <row r="13" spans="1:13" ht="20.399999999999999">
      <c r="A13" s="3">
        <v>2</v>
      </c>
      <c r="B13" s="3">
        <v>200</v>
      </c>
      <c r="C13" s="3">
        <f t="shared" si="0"/>
        <v>192</v>
      </c>
      <c r="D13" s="3">
        <f t="shared" si="1"/>
        <v>0.33333333333333331</v>
      </c>
      <c r="F13" s="3" t="s">
        <v>54</v>
      </c>
      <c r="G13" s="12" t="str">
        <f ca="1">_xlfn.FORMULATEXT(D11)</f>
        <v>=(B11-C11)^2/C11</v>
      </c>
      <c r="H13" s="10"/>
      <c r="I13" s="10"/>
    </row>
    <row r="14" spans="1:13">
      <c r="A14" s="3">
        <v>3</v>
      </c>
      <c r="B14" s="3">
        <v>135</v>
      </c>
      <c r="C14" s="3">
        <f t="shared" si="0"/>
        <v>128</v>
      </c>
      <c r="D14" s="3">
        <f t="shared" si="1"/>
        <v>0.3828125</v>
      </c>
    </row>
    <row r="15" spans="1:13">
      <c r="A15" s="3">
        <v>4</v>
      </c>
      <c r="B15" s="3">
        <v>20</v>
      </c>
      <c r="C15" s="3">
        <f t="shared" si="0"/>
        <v>32</v>
      </c>
      <c r="D15" s="3">
        <f t="shared" si="1"/>
        <v>4.5</v>
      </c>
    </row>
    <row r="16" spans="1:13">
      <c r="A16" s="3"/>
      <c r="B16" s="13">
        <f t="shared" ref="B16:D16" si="2">SUM(B11:B15)</f>
        <v>512</v>
      </c>
      <c r="C16" s="13">
        <f t="shared" si="2"/>
        <v>512</v>
      </c>
      <c r="D16" s="14">
        <f t="shared" si="2"/>
        <v>10.348958333333337</v>
      </c>
    </row>
    <row r="17" spans="1:8">
      <c r="A17" s="1" t="s">
        <v>7</v>
      </c>
    </row>
    <row r="18" spans="1:8" ht="19.8">
      <c r="A18" s="1" t="s">
        <v>62</v>
      </c>
    </row>
    <row r="19" spans="1:8" ht="19.8">
      <c r="A19" s="1" t="s">
        <v>61</v>
      </c>
    </row>
    <row r="20" spans="1:8" ht="20.399999999999999">
      <c r="A20" s="1" t="s">
        <v>56</v>
      </c>
      <c r="B20" s="1" t="s">
        <v>63</v>
      </c>
      <c r="C20" s="6"/>
      <c r="E20" s="11">
        <f>D16</f>
        <v>10.348958333333337</v>
      </c>
      <c r="G20" s="5" t="s">
        <v>78</v>
      </c>
    </row>
    <row r="21" spans="1:8">
      <c r="C21" s="5" t="s">
        <v>15</v>
      </c>
      <c r="D21" s="3">
        <f>4%</f>
        <v>0.04</v>
      </c>
    </row>
    <row r="22" spans="1:8">
      <c r="C22" s="1" t="s">
        <v>44</v>
      </c>
      <c r="D22" s="3">
        <f>5-1</f>
        <v>4</v>
      </c>
    </row>
    <row r="23" spans="1:8">
      <c r="B23" s="1" t="s">
        <v>64</v>
      </c>
      <c r="D23" s="11">
        <f>CHIINV(D21,D22)</f>
        <v>10.025519286562869</v>
      </c>
      <c r="F23" s="12" t="str">
        <f ca="1">_xlfn.FORMULATEXT(D23)</f>
        <v>=CHIINV(D21,D22)</v>
      </c>
      <c r="G23" s="10"/>
      <c r="H23" s="10"/>
    </row>
    <row r="25" spans="1:8" ht="19.8">
      <c r="B25" s="1" t="s">
        <v>76</v>
      </c>
    </row>
    <row r="26" spans="1:8">
      <c r="B26" s="1" t="s">
        <v>77</v>
      </c>
    </row>
  </sheetData>
  <printOptions gridLines="1"/>
  <pageMargins left="0.7" right="0.7" top="0.75" bottom="0.75" header="0.3" footer="0.3"/>
  <pageSetup scale="8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632A-8281-4FD5-9861-DB7EE75061CE}">
  <dimension ref="A1:K32"/>
  <sheetViews>
    <sheetView topLeftCell="A22" zoomScale="140" zoomScaleNormal="140" workbookViewId="0">
      <selection activeCell="D25" sqref="D25"/>
    </sheetView>
  </sheetViews>
  <sheetFormatPr defaultRowHeight="17.399999999999999"/>
  <cols>
    <col min="1" max="1" width="8.88671875" style="1"/>
    <col min="2" max="2" width="10" style="1" customWidth="1"/>
    <col min="3" max="3" width="9.6640625" style="1" bestFit="1" customWidth="1"/>
    <col min="4" max="4" width="10" style="1" customWidth="1"/>
    <col min="5" max="5" width="8.88671875" style="1"/>
    <col min="6" max="6" width="10.21875" style="1" customWidth="1"/>
    <col min="7" max="16384" width="8.88671875" style="1"/>
  </cols>
  <sheetData>
    <row r="1" spans="1:11">
      <c r="A1" s="1" t="s">
        <v>124</v>
      </c>
    </row>
    <row r="2" spans="1:11">
      <c r="A2" s="1" t="s">
        <v>123</v>
      </c>
    </row>
    <row r="3" spans="1:11">
      <c r="B3" s="32" t="s">
        <v>79</v>
      </c>
      <c r="C3" s="33" t="s">
        <v>80</v>
      </c>
      <c r="D3" s="33"/>
      <c r="E3" s="33"/>
      <c r="F3" s="34" t="s">
        <v>87</v>
      </c>
    </row>
    <row r="4" spans="1:11">
      <c r="B4" s="32"/>
      <c r="C4" s="20" t="s">
        <v>81</v>
      </c>
      <c r="D4" s="7" t="s">
        <v>82</v>
      </c>
      <c r="E4" s="7" t="s">
        <v>83</v>
      </c>
      <c r="F4" s="35"/>
    </row>
    <row r="5" spans="1:11">
      <c r="B5" s="7">
        <v>1</v>
      </c>
      <c r="C5" s="7">
        <v>20</v>
      </c>
      <c r="D5" s="7">
        <v>35</v>
      </c>
      <c r="E5" s="7">
        <v>50</v>
      </c>
      <c r="F5" s="7">
        <f t="shared" ref="F5:F8" si="0">SUM(C5:E5)</f>
        <v>105</v>
      </c>
    </row>
    <row r="6" spans="1:11">
      <c r="B6" s="21" t="s">
        <v>84</v>
      </c>
      <c r="C6" s="7">
        <v>40</v>
      </c>
      <c r="D6" s="7">
        <v>40</v>
      </c>
      <c r="E6" s="7">
        <v>60</v>
      </c>
      <c r="F6" s="7">
        <f t="shared" si="0"/>
        <v>140</v>
      </c>
    </row>
    <row r="7" spans="1:11">
      <c r="B7" s="7" t="s">
        <v>85</v>
      </c>
      <c r="C7" s="7">
        <v>60</v>
      </c>
      <c r="D7" s="7">
        <v>70</v>
      </c>
      <c r="E7" s="7">
        <v>25</v>
      </c>
      <c r="F7" s="7">
        <f t="shared" si="0"/>
        <v>155</v>
      </c>
    </row>
    <row r="8" spans="1:11">
      <c r="B8" s="7" t="s">
        <v>86</v>
      </c>
      <c r="C8" s="7">
        <f t="shared" ref="C8:E8" si="1">SUM(C5:C7)</f>
        <v>120</v>
      </c>
      <c r="D8" s="7">
        <f t="shared" si="1"/>
        <v>145</v>
      </c>
      <c r="E8" s="7">
        <f t="shared" si="1"/>
        <v>135</v>
      </c>
      <c r="F8" s="7">
        <f t="shared" si="0"/>
        <v>400</v>
      </c>
    </row>
    <row r="9" spans="1:11" ht="13.2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9.2">
      <c r="A10" s="1" t="s">
        <v>122</v>
      </c>
    </row>
    <row r="11" spans="1:11" ht="20.399999999999999">
      <c r="B11" s="3" t="s">
        <v>52</v>
      </c>
      <c r="C11" s="3" t="s">
        <v>53</v>
      </c>
      <c r="D11" s="3" t="s">
        <v>54</v>
      </c>
      <c r="F11" s="1" t="s">
        <v>88</v>
      </c>
    </row>
    <row r="12" spans="1:11">
      <c r="B12" s="3">
        <v>20</v>
      </c>
      <c r="C12" s="3">
        <f>F5*C8/F8</f>
        <v>31.5</v>
      </c>
      <c r="D12" s="3">
        <f>(B12-C12)^2/C12</f>
        <v>4.1984126984126986</v>
      </c>
      <c r="F12" s="1" t="s">
        <v>59</v>
      </c>
      <c r="G12" s="4" t="str">
        <f ca="1">_xlfn.FORMULATEXT(C12)</f>
        <v>=F5*C8/F8</v>
      </c>
    </row>
    <row r="13" spans="1:11" ht="20.399999999999999">
      <c r="B13" s="3">
        <v>35</v>
      </c>
      <c r="C13" s="3">
        <f>F5*D8/F8</f>
        <v>38.0625</v>
      </c>
      <c r="D13" s="3">
        <f t="shared" ref="D13:D20" si="2">(B13-C13)^2/C13</f>
        <v>0.24640804597701149</v>
      </c>
      <c r="F13" s="3" t="s">
        <v>54</v>
      </c>
      <c r="G13" s="4" t="str">
        <f ca="1">_xlfn.FORMULATEXT(D12)</f>
        <v>=(B12-C12)^2/C12</v>
      </c>
    </row>
    <row r="14" spans="1:11">
      <c r="B14" s="3">
        <v>50</v>
      </c>
      <c r="C14" s="3">
        <f>F5*E8/F8</f>
        <v>35.4375</v>
      </c>
      <c r="D14" s="3">
        <f t="shared" si="2"/>
        <v>5.9842372134038797</v>
      </c>
      <c r="F14" s="3" t="s">
        <v>89</v>
      </c>
      <c r="G14" s="3">
        <v>3</v>
      </c>
      <c r="H14" s="3" t="s">
        <v>90</v>
      </c>
      <c r="I14" s="3">
        <v>3</v>
      </c>
    </row>
    <row r="15" spans="1:11">
      <c r="B15" s="3">
        <v>40</v>
      </c>
      <c r="C15" s="3">
        <f>F6*C8/F8</f>
        <v>42</v>
      </c>
      <c r="D15" s="3">
        <f t="shared" si="2"/>
        <v>9.5238095238095233E-2</v>
      </c>
      <c r="F15" s="3"/>
      <c r="G15" s="3"/>
      <c r="H15" s="3"/>
      <c r="I15" s="3"/>
    </row>
    <row r="16" spans="1:11">
      <c r="B16" s="3">
        <v>40</v>
      </c>
      <c r="C16" s="3">
        <f>F6*D8/F8</f>
        <v>50.75</v>
      </c>
      <c r="D16" s="3">
        <f t="shared" si="2"/>
        <v>2.2770935960591134</v>
      </c>
      <c r="F16" s="3" t="s">
        <v>44</v>
      </c>
      <c r="G16" s="3">
        <f>(G14-1)*(I14-1)</f>
        <v>4</v>
      </c>
      <c r="H16" s="24" t="str">
        <f ca="1">_xlfn.FORMULATEXT(G16)</f>
        <v>=(G14-1)*(I14-1)</v>
      </c>
      <c r="I16" s="3"/>
    </row>
    <row r="17" spans="1:7">
      <c r="B17" s="3">
        <v>60</v>
      </c>
      <c r="C17" s="3">
        <f>F6*E8/F8</f>
        <v>47.25</v>
      </c>
      <c r="D17" s="3">
        <f t="shared" si="2"/>
        <v>3.4404761904761907</v>
      </c>
      <c r="F17" s="23" t="s">
        <v>15</v>
      </c>
      <c r="G17" s="3">
        <f>3%</f>
        <v>0.03</v>
      </c>
    </row>
    <row r="18" spans="1:7">
      <c r="B18" s="3">
        <v>60</v>
      </c>
      <c r="C18" s="3">
        <f>F7*C8/F8</f>
        <v>46.5</v>
      </c>
      <c r="D18" s="3">
        <f t="shared" si="2"/>
        <v>3.9193548387096775</v>
      </c>
    </row>
    <row r="19" spans="1:7">
      <c r="B19" s="3">
        <v>70</v>
      </c>
      <c r="C19" s="3">
        <f>F7*D8/F8</f>
        <v>56.1875</v>
      </c>
      <c r="D19" s="3">
        <f t="shared" si="2"/>
        <v>3.3955088987764181</v>
      </c>
    </row>
    <row r="20" spans="1:7">
      <c r="B20" s="3">
        <v>25</v>
      </c>
      <c r="C20" s="3">
        <f>F7*E8/F8</f>
        <v>52.3125</v>
      </c>
      <c r="D20" s="3">
        <f t="shared" si="2"/>
        <v>14.259931302270012</v>
      </c>
    </row>
    <row r="21" spans="1:7">
      <c r="B21" s="22">
        <f t="shared" ref="B21:D21" si="3">SUM(B12:B20)</f>
        <v>400</v>
      </c>
      <c r="C21" s="22">
        <f t="shared" si="3"/>
        <v>400</v>
      </c>
      <c r="D21" s="22">
        <f t="shared" si="3"/>
        <v>37.816660879323095</v>
      </c>
    </row>
    <row r="22" spans="1:7">
      <c r="A22" s="1" t="s">
        <v>7</v>
      </c>
    </row>
    <row r="23" spans="1:7" ht="19.8">
      <c r="A23" s="1" t="s">
        <v>91</v>
      </c>
    </row>
    <row r="24" spans="1:7" ht="19.8">
      <c r="A24" s="1" t="s">
        <v>92</v>
      </c>
    </row>
    <row r="25" spans="1:7" ht="20.399999999999999">
      <c r="A25" s="1" t="s">
        <v>56</v>
      </c>
      <c r="B25" s="17" t="s">
        <v>93</v>
      </c>
      <c r="C25" s="6">
        <f>D21</f>
        <v>37.816660879323095</v>
      </c>
      <c r="E25" s="11"/>
    </row>
    <row r="26" spans="1:7">
      <c r="B26" s="5" t="s">
        <v>15</v>
      </c>
      <c r="C26" s="3">
        <f>3%</f>
        <v>0.03</v>
      </c>
    </row>
    <row r="27" spans="1:7">
      <c r="B27" s="1" t="s">
        <v>44</v>
      </c>
      <c r="C27" s="3">
        <f>5-1</f>
        <v>4</v>
      </c>
    </row>
    <row r="28" spans="1:7" ht="20.399999999999999">
      <c r="B28" s="17" t="s">
        <v>94</v>
      </c>
      <c r="C28" s="1">
        <f>CHIINV(C26,C27)</f>
        <v>10.711898289670382</v>
      </c>
      <c r="D28" s="18" t="str">
        <f ca="1">_xlfn.FORMULATEXT(C28)</f>
        <v>=CHIINV(C26,C27)</v>
      </c>
    </row>
    <row r="30" spans="1:7" ht="19.8">
      <c r="B30" s="1" t="s">
        <v>97</v>
      </c>
    </row>
    <row r="31" spans="1:7">
      <c r="B31" s="1" t="s">
        <v>95</v>
      </c>
    </row>
    <row r="32" spans="1:7">
      <c r="B32" s="1" t="s">
        <v>96</v>
      </c>
    </row>
  </sheetData>
  <mergeCells count="3">
    <mergeCell ref="B3:B4"/>
    <mergeCell ref="C3:E3"/>
    <mergeCell ref="F3:F4"/>
  </mergeCells>
  <printOptions gridLines="1"/>
  <pageMargins left="0.7" right="0.7" top="0.75" bottom="0.75" header="0.3" footer="0.3"/>
  <pageSetup scale="90" orientation="portrait" horizontalDpi="300" verticalDpi="300" r:id="rId1"/>
  <ignoredErrors>
    <ignoredError sqref="C4" numberStoredAsText="1"/>
    <ignoredError sqref="F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396-9CE5-4994-80E5-31F933E70EFA}">
  <dimension ref="A1:L16"/>
  <sheetViews>
    <sheetView zoomScale="150" zoomScaleNormal="150" workbookViewId="0">
      <selection sqref="A1:H7"/>
    </sheetView>
  </sheetViews>
  <sheetFormatPr defaultRowHeight="17.399999999999999"/>
  <cols>
    <col min="1" max="1" width="14.44140625" style="1" customWidth="1"/>
    <col min="2" max="16384" width="8.88671875" style="1"/>
  </cols>
  <sheetData>
    <row r="1" spans="1:12">
      <c r="A1" s="1" t="s">
        <v>98</v>
      </c>
    </row>
    <row r="2" spans="1:12">
      <c r="A2" s="3" t="s">
        <v>125</v>
      </c>
      <c r="B2" s="3" t="s">
        <v>105</v>
      </c>
      <c r="C2" s="3" t="s">
        <v>103</v>
      </c>
      <c r="D2" s="3" t="s">
        <v>104</v>
      </c>
    </row>
    <row r="3" spans="1:12">
      <c r="A3" s="3" t="s">
        <v>105</v>
      </c>
      <c r="B3" s="3" t="s">
        <v>106</v>
      </c>
      <c r="C3" s="3" t="s">
        <v>107</v>
      </c>
      <c r="D3" s="3" t="s">
        <v>108</v>
      </c>
    </row>
    <row r="4" spans="1:12">
      <c r="A4" s="3" t="s">
        <v>126</v>
      </c>
      <c r="B4" s="3" t="s">
        <v>102</v>
      </c>
      <c r="C4" s="3" t="s">
        <v>104</v>
      </c>
      <c r="D4" s="3" t="s">
        <v>105</v>
      </c>
    </row>
    <row r="5" spans="1:12" ht="13.2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>
      <c r="A6" s="1" t="s">
        <v>109</v>
      </c>
    </row>
    <row r="7" spans="1:12">
      <c r="A7" s="1" t="s">
        <v>110</v>
      </c>
    </row>
    <row r="8" spans="1:12">
      <c r="A8" s="25" t="s">
        <v>111</v>
      </c>
    </row>
    <row r="9" spans="1:12">
      <c r="A9" s="7" t="s">
        <v>99</v>
      </c>
      <c r="B9" s="7">
        <v>10</v>
      </c>
      <c r="C9" s="7">
        <v>20</v>
      </c>
      <c r="D9" s="7">
        <v>30</v>
      </c>
      <c r="E9" s="7">
        <v>40</v>
      </c>
    </row>
    <row r="10" spans="1:12">
      <c r="A10" s="7" t="s">
        <v>100</v>
      </c>
      <c r="B10" s="7">
        <v>20</v>
      </c>
      <c r="C10" s="7">
        <v>20</v>
      </c>
      <c r="D10" s="7">
        <v>10</v>
      </c>
      <c r="E10" s="7">
        <v>20</v>
      </c>
    </row>
    <row r="11" spans="1:12">
      <c r="A11" s="26" t="s">
        <v>101</v>
      </c>
      <c r="B11" s="26">
        <v>25</v>
      </c>
      <c r="C11" s="26">
        <v>40</v>
      </c>
      <c r="D11" s="26">
        <v>20</v>
      </c>
      <c r="E11" s="26">
        <v>25</v>
      </c>
    </row>
    <row r="12" spans="1:12">
      <c r="A12" s="28" t="s">
        <v>112</v>
      </c>
      <c r="B12" s="30"/>
      <c r="C12" s="30"/>
      <c r="D12" s="30"/>
      <c r="E12" s="30"/>
      <c r="F12" s="30"/>
      <c r="G12" s="30"/>
    </row>
    <row r="13" spans="1:12" ht="28.8">
      <c r="A13" s="19" t="s">
        <v>113</v>
      </c>
      <c r="B13" s="29" t="s">
        <v>114</v>
      </c>
      <c r="C13" s="29" t="s">
        <v>115</v>
      </c>
      <c r="D13" s="29" t="s">
        <v>116</v>
      </c>
      <c r="E13" s="29" t="s">
        <v>117</v>
      </c>
      <c r="F13" s="29" t="s">
        <v>118</v>
      </c>
      <c r="G13" s="29" t="s">
        <v>119</v>
      </c>
    </row>
    <row r="14" spans="1:12">
      <c r="A14" s="27" t="s">
        <v>111</v>
      </c>
      <c r="B14" s="27">
        <v>216.66666666666674</v>
      </c>
      <c r="C14" s="27">
        <v>2</v>
      </c>
      <c r="D14" s="27">
        <v>108.33333333333337</v>
      </c>
      <c r="E14" s="27">
        <v>1.2187500000000004</v>
      </c>
      <c r="F14" s="27">
        <v>0.34009583287361939</v>
      </c>
      <c r="G14" s="27">
        <v>4.2564947290937507</v>
      </c>
    </row>
    <row r="15" spans="1:12">
      <c r="A15" s="27" t="s">
        <v>121</v>
      </c>
      <c r="B15" s="27">
        <v>800</v>
      </c>
      <c r="C15" s="27">
        <v>9</v>
      </c>
      <c r="D15" s="27">
        <v>88.888888888888886</v>
      </c>
      <c r="E15" s="27"/>
      <c r="F15" s="27"/>
      <c r="G15" s="27"/>
    </row>
    <row r="16" spans="1:12">
      <c r="A16" s="27" t="s">
        <v>120</v>
      </c>
      <c r="B16" s="27">
        <v>1016.6666666666667</v>
      </c>
      <c r="C16" s="27">
        <v>11</v>
      </c>
      <c r="D16" s="27"/>
      <c r="E16" s="27"/>
      <c r="F16" s="27"/>
      <c r="G16" s="27"/>
    </row>
  </sheetData>
  <printOptions gridLines="1"/>
  <pageMargins left="0.7" right="0.7" top="0.75" bottom="0.75" header="0.3" footer="0.3"/>
  <pageSetup scale="8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8EF8-3F30-47FC-AFA6-5BF408DD669F}">
  <dimension ref="A1:H42"/>
  <sheetViews>
    <sheetView tabSelected="1" topLeftCell="A33" zoomScale="170" zoomScaleNormal="170" workbookViewId="0">
      <selection activeCell="J41" sqref="J41"/>
    </sheetView>
  </sheetViews>
  <sheetFormatPr defaultRowHeight="15.6"/>
  <cols>
    <col min="1" max="1" width="13" style="41" customWidth="1"/>
    <col min="2" max="16384" width="8.88671875" style="41"/>
  </cols>
  <sheetData>
    <row r="1" spans="1:8">
      <c r="A1" s="51" t="s">
        <v>98</v>
      </c>
    </row>
    <row r="2" spans="1:8">
      <c r="A2" s="41" t="s">
        <v>155</v>
      </c>
      <c r="B2" s="41" t="s">
        <v>156</v>
      </c>
      <c r="C2" s="41" t="s">
        <v>141</v>
      </c>
      <c r="D2" s="41" t="s">
        <v>157</v>
      </c>
    </row>
    <row r="3" spans="1:8">
      <c r="A3" s="41" t="s">
        <v>105</v>
      </c>
      <c r="B3" s="41" t="s">
        <v>125</v>
      </c>
      <c r="C3" s="41" t="s">
        <v>129</v>
      </c>
      <c r="D3" s="41" t="s">
        <v>158</v>
      </c>
    </row>
    <row r="4" spans="1:8">
      <c r="A4" s="41" t="s">
        <v>126</v>
      </c>
      <c r="B4" s="41" t="s">
        <v>143</v>
      </c>
      <c r="C4" s="41" t="s">
        <v>144</v>
      </c>
      <c r="D4" s="41" t="s">
        <v>105</v>
      </c>
    </row>
    <row r="5" spans="1:8">
      <c r="A5" s="41" t="s">
        <v>142</v>
      </c>
      <c r="B5" s="41" t="s">
        <v>128</v>
      </c>
      <c r="C5" s="41" t="s">
        <v>145</v>
      </c>
      <c r="D5" s="41" t="s">
        <v>103</v>
      </c>
    </row>
    <row r="6" spans="1:8">
      <c r="A6" s="46"/>
      <c r="B6" s="46"/>
      <c r="C6" s="46"/>
      <c r="D6" s="46"/>
      <c r="E6" s="46"/>
      <c r="F6" s="46"/>
      <c r="G6" s="46"/>
      <c r="H6" s="46"/>
    </row>
    <row r="7" spans="1:8">
      <c r="A7" s="51" t="s">
        <v>109</v>
      </c>
    </row>
    <row r="8" spans="1:8">
      <c r="A8" s="51" t="s">
        <v>146</v>
      </c>
    </row>
    <row r="9" spans="1:8">
      <c r="A9" s="42" t="s">
        <v>140</v>
      </c>
      <c r="B9" s="43" t="s">
        <v>139</v>
      </c>
      <c r="C9" s="43"/>
      <c r="D9" s="43"/>
      <c r="E9" s="43"/>
    </row>
    <row r="10" spans="1:8">
      <c r="A10" s="42"/>
      <c r="B10" s="39" t="s">
        <v>134</v>
      </c>
      <c r="C10" s="39" t="s">
        <v>135</v>
      </c>
      <c r="D10" s="39" t="s">
        <v>136</v>
      </c>
      <c r="E10" s="39" t="s">
        <v>137</v>
      </c>
    </row>
    <row r="11" spans="1:8">
      <c r="A11" s="39" t="s">
        <v>134</v>
      </c>
      <c r="B11" s="39">
        <v>11</v>
      </c>
      <c r="C11" s="39">
        <v>19</v>
      </c>
      <c r="D11" s="39">
        <v>30</v>
      </c>
      <c r="E11" s="39">
        <v>26</v>
      </c>
    </row>
    <row r="12" spans="1:8">
      <c r="A12" s="39" t="s">
        <v>135</v>
      </c>
      <c r="B12" s="39">
        <v>20</v>
      </c>
      <c r="C12" s="39">
        <v>10</v>
      </c>
      <c r="D12" s="39">
        <v>40</v>
      </c>
      <c r="E12" s="39">
        <v>34</v>
      </c>
    </row>
    <row r="13" spans="1:8">
      <c r="A13" s="39" t="s">
        <v>136</v>
      </c>
      <c r="B13" s="39">
        <v>20</v>
      </c>
      <c r="C13" s="39">
        <v>20</v>
      </c>
      <c r="D13" s="39">
        <v>25</v>
      </c>
      <c r="E13" s="39">
        <v>20</v>
      </c>
    </row>
    <row r="14" spans="1:8">
      <c r="A14" s="39" t="s">
        <v>137</v>
      </c>
      <c r="B14" s="39">
        <v>35</v>
      </c>
      <c r="C14" s="39">
        <v>10</v>
      </c>
      <c r="D14" s="39">
        <v>35</v>
      </c>
      <c r="E14" s="39">
        <v>30</v>
      </c>
    </row>
    <row r="15" spans="1:8">
      <c r="A15" s="51" t="s">
        <v>147</v>
      </c>
    </row>
    <row r="16" spans="1:8">
      <c r="A16" s="39" t="s">
        <v>99</v>
      </c>
      <c r="B16" s="39">
        <v>11</v>
      </c>
      <c r="C16" s="39">
        <v>10</v>
      </c>
      <c r="D16" s="39">
        <v>25</v>
      </c>
      <c r="E16" s="39">
        <v>30</v>
      </c>
    </row>
    <row r="17" spans="1:8">
      <c r="A17" s="39" t="s">
        <v>100</v>
      </c>
      <c r="B17" s="39">
        <v>20</v>
      </c>
      <c r="C17" s="39">
        <v>19</v>
      </c>
      <c r="D17" s="39">
        <v>35</v>
      </c>
      <c r="E17" s="39">
        <v>20</v>
      </c>
    </row>
    <row r="18" spans="1:8">
      <c r="A18" s="39" t="s">
        <v>101</v>
      </c>
      <c r="B18" s="39">
        <v>20</v>
      </c>
      <c r="C18" s="39">
        <v>10</v>
      </c>
      <c r="D18" s="39">
        <v>30</v>
      </c>
      <c r="E18" s="39">
        <v>34</v>
      </c>
    </row>
    <row r="19" spans="1:8">
      <c r="A19" s="39" t="s">
        <v>127</v>
      </c>
      <c r="B19" s="39">
        <v>35</v>
      </c>
      <c r="C19" s="39">
        <v>20</v>
      </c>
      <c r="D19" s="39">
        <v>40</v>
      </c>
      <c r="E19" s="39">
        <v>26</v>
      </c>
    </row>
    <row r="20" spans="1:8">
      <c r="A20" s="40"/>
      <c r="B20" s="40"/>
      <c r="C20" s="40"/>
      <c r="D20" s="40"/>
      <c r="E20" s="40"/>
      <c r="F20" s="40"/>
      <c r="G20" s="40"/>
      <c r="H20" s="40"/>
    </row>
    <row r="21" spans="1:8" ht="18" thickBot="1">
      <c r="A21" s="50" t="s">
        <v>159</v>
      </c>
      <c r="B21" s="47"/>
      <c r="C21" s="47"/>
      <c r="D21" s="47"/>
      <c r="E21" s="47"/>
      <c r="F21" s="47"/>
      <c r="G21" s="47"/>
      <c r="H21" s="70"/>
    </row>
    <row r="22" spans="1:8" ht="31.2">
      <c r="A22" s="45" t="s">
        <v>113</v>
      </c>
      <c r="B22" s="44" t="s">
        <v>114</v>
      </c>
      <c r="C22" s="44" t="s">
        <v>115</v>
      </c>
      <c r="D22" s="44" t="s">
        <v>116</v>
      </c>
      <c r="E22" s="44" t="s">
        <v>117</v>
      </c>
      <c r="F22" s="44" t="s">
        <v>118</v>
      </c>
      <c r="G22" s="44" t="s">
        <v>119</v>
      </c>
    </row>
    <row r="23" spans="1:8">
      <c r="A23" s="73" t="s">
        <v>111</v>
      </c>
      <c r="B23" s="73">
        <v>258.1875</v>
      </c>
      <c r="C23" s="73">
        <v>3</v>
      </c>
      <c r="D23" s="73">
        <v>86.0625</v>
      </c>
      <c r="E23" s="73">
        <v>0.96812749003984067</v>
      </c>
      <c r="F23" s="73">
        <v>0.43958216077314594</v>
      </c>
      <c r="G23" s="48">
        <v>3.4902948194976045</v>
      </c>
    </row>
    <row r="24" spans="1:8">
      <c r="A24" s="48" t="s">
        <v>121</v>
      </c>
      <c r="B24" s="48">
        <v>1066.75</v>
      </c>
      <c r="C24" s="48">
        <v>12</v>
      </c>
      <c r="D24" s="48">
        <v>88.895833333333329</v>
      </c>
      <c r="E24" s="48"/>
      <c r="F24" s="48"/>
      <c r="G24" s="48"/>
    </row>
    <row r="25" spans="1:8" ht="16.2" thickBot="1">
      <c r="A25" s="74" t="s">
        <v>120</v>
      </c>
      <c r="B25" s="74">
        <v>1324.9375</v>
      </c>
      <c r="C25" s="74">
        <v>15</v>
      </c>
      <c r="D25" s="74"/>
      <c r="E25" s="74"/>
      <c r="F25" s="74"/>
      <c r="G25" s="49"/>
    </row>
    <row r="26" spans="1:8">
      <c r="A26" s="48"/>
      <c r="B26" s="48"/>
      <c r="C26" s="48"/>
      <c r="D26" s="48"/>
      <c r="E26" s="48"/>
      <c r="F26" s="48"/>
      <c r="G26" s="48"/>
    </row>
    <row r="27" spans="1:8" ht="16.2" thickBot="1">
      <c r="A27" s="50" t="s">
        <v>138</v>
      </c>
      <c r="B27" s="47"/>
      <c r="C27" s="47"/>
      <c r="D27" s="47"/>
      <c r="E27" s="47"/>
      <c r="F27" s="47"/>
      <c r="G27" s="47"/>
    </row>
    <row r="28" spans="1:8" ht="31.2">
      <c r="A28" s="45" t="s">
        <v>113</v>
      </c>
      <c r="B28" s="44" t="s">
        <v>114</v>
      </c>
      <c r="C28" s="44" t="s">
        <v>115</v>
      </c>
      <c r="D28" s="44" t="s">
        <v>116</v>
      </c>
      <c r="E28" s="44" t="s">
        <v>117</v>
      </c>
      <c r="F28" s="44" t="s">
        <v>118</v>
      </c>
      <c r="G28" s="44" t="s">
        <v>119</v>
      </c>
    </row>
    <row r="29" spans="1:8">
      <c r="A29" s="48" t="s">
        <v>139</v>
      </c>
      <c r="B29" s="48">
        <v>120.1875</v>
      </c>
      <c r="C29" s="48">
        <v>3</v>
      </c>
      <c r="D29" s="48">
        <v>40.0625</v>
      </c>
      <c r="E29" s="48">
        <v>0.72175653696984865</v>
      </c>
      <c r="F29" s="48">
        <v>0.56385933845657543</v>
      </c>
      <c r="G29" s="48">
        <v>3.8625483576247648</v>
      </c>
    </row>
    <row r="30" spans="1:8">
      <c r="A30" s="48" t="s">
        <v>140</v>
      </c>
      <c r="B30" s="48">
        <v>705.1875</v>
      </c>
      <c r="C30" s="48">
        <v>3</v>
      </c>
      <c r="D30" s="48">
        <v>235.0625</v>
      </c>
      <c r="E30" s="48">
        <v>4.2348304766670841</v>
      </c>
      <c r="F30" s="48">
        <v>3.9989138847103436E-2</v>
      </c>
      <c r="G30" s="48">
        <v>3.8625483576247648</v>
      </c>
    </row>
    <row r="31" spans="1:8">
      <c r="A31" s="48" t="s">
        <v>121</v>
      </c>
      <c r="B31" s="48">
        <v>499.5625</v>
      </c>
      <c r="C31" s="48">
        <v>9</v>
      </c>
      <c r="D31" s="48">
        <v>55.506944444444443</v>
      </c>
      <c r="E31" s="48"/>
      <c r="F31" s="48"/>
      <c r="G31" s="48"/>
    </row>
    <row r="32" spans="1:8">
      <c r="A32" s="48"/>
      <c r="B32" s="48"/>
      <c r="C32" s="48"/>
      <c r="D32" s="48"/>
      <c r="E32" s="48"/>
      <c r="F32" s="48"/>
      <c r="G32" s="48"/>
    </row>
    <row r="33" spans="1:7" ht="16.2" thickBot="1">
      <c r="A33" s="49" t="s">
        <v>120</v>
      </c>
      <c r="B33" s="49">
        <v>1324.9375</v>
      </c>
      <c r="C33" s="49">
        <v>15</v>
      </c>
      <c r="D33" s="49"/>
      <c r="E33" s="49"/>
      <c r="F33" s="49"/>
      <c r="G33" s="49"/>
    </row>
    <row r="35" spans="1:7">
      <c r="A35" s="50" t="s">
        <v>149</v>
      </c>
      <c r="B35" s="47"/>
      <c r="C35" s="47"/>
      <c r="D35" s="47"/>
      <c r="E35" s="47"/>
      <c r="F35" s="71"/>
      <c r="G35" s="71"/>
    </row>
    <row r="36" spans="1:7" ht="31.2">
      <c r="A36" s="38" t="s">
        <v>113</v>
      </c>
      <c r="B36" s="36" t="s">
        <v>114</v>
      </c>
      <c r="C36" s="36" t="s">
        <v>115</v>
      </c>
      <c r="D36" s="36" t="s">
        <v>116</v>
      </c>
      <c r="E36" s="36" t="s">
        <v>117</v>
      </c>
      <c r="F36" s="72"/>
      <c r="G36" s="72" t="s">
        <v>88</v>
      </c>
    </row>
    <row r="37" spans="1:7">
      <c r="A37" s="37" t="s">
        <v>139</v>
      </c>
      <c r="B37" s="37">
        <v>120.1875</v>
      </c>
      <c r="C37" s="37">
        <v>3</v>
      </c>
      <c r="D37" s="37">
        <v>40.0625</v>
      </c>
      <c r="E37" s="37">
        <f>D37/D$40</f>
        <v>0.99585706887623004</v>
      </c>
      <c r="F37" s="48"/>
      <c r="G37" s="75" t="str">
        <f ca="1">_xlfn.FORMULATEXT(E37)</f>
        <v>=D37/D$40</v>
      </c>
    </row>
    <row r="38" spans="1:7">
      <c r="A38" s="37" t="s">
        <v>140</v>
      </c>
      <c r="B38" s="37">
        <v>705.1875</v>
      </c>
      <c r="C38" s="37">
        <v>3</v>
      </c>
      <c r="D38" s="37">
        <v>235.0625</v>
      </c>
      <c r="E38" s="37">
        <f t="shared" ref="E38:E39" si="0">D38/D$40</f>
        <v>5.843086483687209</v>
      </c>
      <c r="F38" s="48"/>
      <c r="G38" s="48"/>
    </row>
    <row r="39" spans="1:7">
      <c r="A39" s="37" t="s">
        <v>111</v>
      </c>
      <c r="B39" s="37">
        <v>258.1875</v>
      </c>
      <c r="C39" s="37">
        <v>3</v>
      </c>
      <c r="D39" s="37">
        <v>86.0625</v>
      </c>
      <c r="E39" s="37">
        <f t="shared" si="0"/>
        <v>2.1393060590367687</v>
      </c>
      <c r="F39" s="48"/>
      <c r="G39" s="48"/>
    </row>
    <row r="40" spans="1:7">
      <c r="A40" s="37" t="s">
        <v>121</v>
      </c>
      <c r="B40" s="37">
        <f>B41-B37-B38-B39</f>
        <v>241.375</v>
      </c>
      <c r="C40" s="37">
        <f>C41-C37-C38-C39</f>
        <v>6</v>
      </c>
      <c r="D40" s="37">
        <f>B40/C40</f>
        <v>40.229166666666664</v>
      </c>
      <c r="E40" s="37"/>
      <c r="F40" s="48"/>
      <c r="G40" s="48"/>
    </row>
    <row r="41" spans="1:7">
      <c r="A41" s="37" t="s">
        <v>120</v>
      </c>
      <c r="B41" s="37">
        <v>1324.9375</v>
      </c>
      <c r="C41" s="37">
        <v>15</v>
      </c>
      <c r="D41" s="37"/>
      <c r="E41" s="37"/>
      <c r="F41" s="48"/>
      <c r="G41" s="48"/>
    </row>
    <row r="42" spans="1:7">
      <c r="F42" s="40"/>
      <c r="G42" s="40"/>
    </row>
  </sheetData>
  <mergeCells count="2">
    <mergeCell ref="B9:E9"/>
    <mergeCell ref="A9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AFA0-39FE-4C0B-B8D0-C1327F1EB955}">
  <dimension ref="A1:H21"/>
  <sheetViews>
    <sheetView topLeftCell="A11" zoomScale="130" zoomScaleNormal="130" workbookViewId="0">
      <selection activeCell="E25" sqref="E25"/>
    </sheetView>
  </sheetViews>
  <sheetFormatPr defaultColWidth="15.33203125" defaultRowHeight="16.8"/>
  <cols>
    <col min="1" max="2" width="15.33203125" style="60"/>
    <col min="3" max="3" width="9.6640625" style="60" customWidth="1"/>
    <col min="4" max="4" width="10.44140625" style="60" customWidth="1"/>
    <col min="5" max="5" width="11.21875" style="60" customWidth="1"/>
    <col min="6" max="6" width="7.44140625" style="60" customWidth="1"/>
    <col min="7" max="7" width="6.5546875" style="60" customWidth="1"/>
    <col min="8" max="16384" width="15.33203125" style="60"/>
  </cols>
  <sheetData>
    <row r="1" spans="1:8">
      <c r="A1" s="60" t="s">
        <v>98</v>
      </c>
    </row>
    <row r="2" spans="1:8">
      <c r="A2" s="52" t="s">
        <v>150</v>
      </c>
      <c r="B2" s="52" t="s">
        <v>105</v>
      </c>
      <c r="C2" s="52" t="s">
        <v>103</v>
      </c>
      <c r="D2" s="52" t="s">
        <v>104</v>
      </c>
    </row>
    <row r="3" spans="1:8">
      <c r="A3" s="52" t="s">
        <v>105</v>
      </c>
      <c r="B3" s="52" t="s">
        <v>128</v>
      </c>
      <c r="C3" s="52" t="s">
        <v>152</v>
      </c>
      <c r="D3" s="52" t="s">
        <v>129</v>
      </c>
    </row>
    <row r="4" spans="1:8">
      <c r="A4" s="52" t="s">
        <v>126</v>
      </c>
      <c r="B4" s="52" t="s">
        <v>153</v>
      </c>
      <c r="C4" s="52" t="s">
        <v>104</v>
      </c>
      <c r="D4" s="52" t="s">
        <v>105</v>
      </c>
    </row>
    <row r="5" spans="1:8">
      <c r="A5" s="52" t="s">
        <v>130</v>
      </c>
      <c r="B5" s="52" t="s">
        <v>131</v>
      </c>
      <c r="C5" s="52" t="s">
        <v>129</v>
      </c>
      <c r="D5" s="52" t="s">
        <v>151</v>
      </c>
    </row>
    <row r="6" spans="1:8">
      <c r="A6" s="61"/>
      <c r="B6" s="61"/>
      <c r="C6" s="61"/>
      <c r="D6" s="61"/>
      <c r="E6" s="61"/>
      <c r="F6" s="61"/>
      <c r="G6" s="61"/>
      <c r="H6" s="61"/>
    </row>
    <row r="7" spans="1:8">
      <c r="A7" s="60" t="s">
        <v>109</v>
      </c>
    </row>
    <row r="8" spans="1:8">
      <c r="A8" s="60" t="s">
        <v>132</v>
      </c>
    </row>
    <row r="9" spans="1:8">
      <c r="A9" s="53" t="s">
        <v>111</v>
      </c>
      <c r="B9" s="54" t="s">
        <v>133</v>
      </c>
      <c r="C9" s="54"/>
      <c r="D9" s="54"/>
      <c r="E9" s="54"/>
    </row>
    <row r="10" spans="1:8">
      <c r="A10" s="53"/>
      <c r="B10" s="55" t="s">
        <v>134</v>
      </c>
      <c r="C10" s="55" t="s">
        <v>135</v>
      </c>
      <c r="D10" s="55" t="s">
        <v>136</v>
      </c>
      <c r="E10" s="55" t="s">
        <v>137</v>
      </c>
    </row>
    <row r="11" spans="1:8">
      <c r="A11" s="55" t="s">
        <v>99</v>
      </c>
      <c r="B11" s="55">
        <v>33</v>
      </c>
      <c r="C11" s="55">
        <v>23</v>
      </c>
      <c r="D11" s="55">
        <v>30</v>
      </c>
      <c r="E11" s="55">
        <v>17</v>
      </c>
    </row>
    <row r="12" spans="1:8">
      <c r="A12" s="55" t="s">
        <v>100</v>
      </c>
      <c r="B12" s="55">
        <v>20</v>
      </c>
      <c r="C12" s="55">
        <v>20</v>
      </c>
      <c r="D12" s="55">
        <v>27</v>
      </c>
      <c r="E12" s="55">
        <v>20</v>
      </c>
    </row>
    <row r="13" spans="1:8">
      <c r="A13" s="55" t="s">
        <v>101</v>
      </c>
      <c r="B13" s="55">
        <v>20</v>
      </c>
      <c r="C13" s="55">
        <v>10</v>
      </c>
      <c r="D13" s="55">
        <v>25</v>
      </c>
      <c r="E13" s="56">
        <v>25</v>
      </c>
      <c r="F13" s="62"/>
      <c r="G13" s="63"/>
    </row>
    <row r="14" spans="1:8">
      <c r="A14" s="57" t="s">
        <v>127</v>
      </c>
      <c r="B14" s="57">
        <v>25</v>
      </c>
      <c r="C14" s="57">
        <v>30</v>
      </c>
      <c r="D14" s="57">
        <v>40</v>
      </c>
      <c r="E14" s="58">
        <v>40</v>
      </c>
      <c r="F14" s="62"/>
      <c r="G14" s="63"/>
    </row>
    <row r="15" spans="1:8">
      <c r="A15" s="59"/>
      <c r="B15" s="59"/>
      <c r="C15" s="59"/>
      <c r="D15" s="59"/>
      <c r="E15" s="59"/>
      <c r="F15" s="62"/>
      <c r="G15" s="63"/>
    </row>
    <row r="16" spans="1:8">
      <c r="A16" s="65" t="s">
        <v>148</v>
      </c>
      <c r="B16" s="64"/>
      <c r="C16" s="64"/>
      <c r="D16" s="64"/>
      <c r="E16" s="64"/>
      <c r="F16" s="64"/>
      <c r="G16" s="64"/>
    </row>
    <row r="17" spans="1:7" ht="33.6">
      <c r="A17" s="66" t="s">
        <v>113</v>
      </c>
      <c r="B17" s="67" t="s">
        <v>114</v>
      </c>
      <c r="C17" s="67" t="s">
        <v>115</v>
      </c>
      <c r="D17" s="67" t="s">
        <v>116</v>
      </c>
      <c r="E17" s="67" t="s">
        <v>117</v>
      </c>
      <c r="F17" s="67" t="s">
        <v>118</v>
      </c>
      <c r="G17" s="67" t="s">
        <v>119</v>
      </c>
    </row>
    <row r="18" spans="1:7">
      <c r="A18" s="68" t="s">
        <v>111</v>
      </c>
      <c r="B18" s="68">
        <v>449.1875</v>
      </c>
      <c r="C18" s="68">
        <v>3</v>
      </c>
      <c r="D18" s="68">
        <v>149.72916666666666</v>
      </c>
      <c r="E18" s="69">
        <v>4.2568608094768008</v>
      </c>
      <c r="F18" s="68">
        <v>3.9476853917474082E-2</v>
      </c>
      <c r="G18" s="68">
        <v>3.8625483576247648</v>
      </c>
    </row>
    <row r="19" spans="1:7">
      <c r="A19" s="68" t="s">
        <v>154</v>
      </c>
      <c r="B19" s="68">
        <v>193.6875</v>
      </c>
      <c r="C19" s="68">
        <v>3</v>
      </c>
      <c r="D19" s="68">
        <v>64.5625</v>
      </c>
      <c r="E19" s="69">
        <v>1.8355380059230009</v>
      </c>
      <c r="F19" s="68">
        <v>0.21093410756793768</v>
      </c>
      <c r="G19" s="68">
        <v>3.8625483576247648</v>
      </c>
    </row>
    <row r="20" spans="1:7">
      <c r="A20" s="68" t="s">
        <v>121</v>
      </c>
      <c r="B20" s="68">
        <v>316.5625</v>
      </c>
      <c r="C20" s="68">
        <v>9</v>
      </c>
      <c r="D20" s="68">
        <v>35.173611111111114</v>
      </c>
      <c r="E20" s="68"/>
      <c r="F20" s="68"/>
      <c r="G20" s="68"/>
    </row>
    <row r="21" spans="1:7">
      <c r="A21" s="68" t="s">
        <v>120</v>
      </c>
      <c r="B21" s="68">
        <v>959.4375</v>
      </c>
      <c r="C21" s="68">
        <v>15</v>
      </c>
      <c r="D21" s="68"/>
      <c r="E21" s="68"/>
      <c r="F21" s="68"/>
      <c r="G21" s="68"/>
    </row>
  </sheetData>
  <mergeCells count="2">
    <mergeCell ref="B9:E9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Murari Karki</dc:creator>
  <cp:lastModifiedBy>Murari Karki</cp:lastModifiedBy>
  <dcterms:created xsi:type="dcterms:W3CDTF">2024-03-11T04:33:41Z</dcterms:created>
  <dcterms:modified xsi:type="dcterms:W3CDTF">2024-03-15T06:06:12Z</dcterms:modified>
</cp:coreProperties>
</file>