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CF model" sheetId="1" r:id="rId4"/>
    <sheet state="visible" name="FINAL FCFF" sheetId="2" r:id="rId5"/>
    <sheet state="visible" name="cash flows" sheetId="3" r:id="rId6"/>
    <sheet state="visible" name="income stat" sheetId="4" r:id="rId7"/>
    <sheet state="visible" name="balance sheet" sheetId="5" r:id="rId8"/>
  </sheets>
  <definedNames/>
  <calcPr/>
</workbook>
</file>

<file path=xl/sharedStrings.xml><?xml version="1.0" encoding="utf-8"?>
<sst xmlns="http://schemas.openxmlformats.org/spreadsheetml/2006/main" count="854" uniqueCount="555">
  <si>
    <t>Assumptions</t>
  </si>
  <si>
    <t>notes:</t>
  </si>
  <si>
    <t>Sales growth</t>
  </si>
  <si>
    <t>cagr base on 5 year average, add in 1% due to hikes in interest rate</t>
  </si>
  <si>
    <t>- free cash flow changes can be declines</t>
  </si>
  <si>
    <t>Current assets/Sales</t>
  </si>
  <si>
    <t>inititially at 46%, which we expect to decrease based on japanese yen changes, we predict this to drop by 3%</t>
  </si>
  <si>
    <t xml:space="preserve"> </t>
  </si>
  <si>
    <t>- chagne in interest rates in japan have led to the currency becoming slighly stronger, leading to less cheap exports, which is unideal for toyota because it exports a ton</t>
  </si>
  <si>
    <t>Current liabilities/Sales</t>
  </si>
  <si>
    <t>based on changes to yen, we expect this to increase by about the same amount that current assets drops: 3% increase on 64%</t>
  </si>
  <si>
    <t>Net fixed assets/Sales</t>
  </si>
  <si>
    <t>even with the predicted changes to the car market (shift to ev), toyota is capped out in terms of its PPE size so we expect this percentage to be mostly constant from the first year value</t>
  </si>
  <si>
    <t>Costs of goods sold/Sales</t>
  </si>
  <si>
    <t>as toyota shifts to making hybrids, we predict the cogs to become less costly over time, we project a constant drop of 1.5% over time</t>
  </si>
  <si>
    <t>Depreciation rate</t>
  </si>
  <si>
    <t>based on 4 year average of depreciation expense over revenue ( only 4 years because depreciation expense not listed in 2018), adding on a small amount which is tied to the increase in interest rates in japan because the new interest rate contributes to inflation</t>
  </si>
  <si>
    <t>Interest rate on debt</t>
  </si>
  <si>
    <t>based on initial year interest payment plus change in interest rate on japanese yen</t>
  </si>
  <si>
    <t>Interest paid on cash and marketable securities</t>
  </si>
  <si>
    <t>Tax rate</t>
  </si>
  <si>
    <t>calculated from finding average of income payment over pretax income over past 5 years, and we project a slight decrease based on the increase in interest rates</t>
  </si>
  <si>
    <t>Dividend payout ratio</t>
  </si>
  <si>
    <t>based on earnings reports we expect dividend payout to increase at the rate that company grows, at a cap of around 42% which is based on their previous projected cap of dpr, which they instituted prior to the pandemic, and then had to transition away from due to the volatility of the car market during and after the pandemic</t>
  </si>
  <si>
    <t>cash and marketable change</t>
  </si>
  <si>
    <t>non current percentage</t>
  </si>
  <si>
    <t>stock per sales</t>
  </si>
  <si>
    <t>Year</t>
  </si>
  <si>
    <t>FY 2023</t>
  </si>
  <si>
    <t>FY 2024</t>
  </si>
  <si>
    <t>FY 2025</t>
  </si>
  <si>
    <t>FY 2026</t>
  </si>
  <si>
    <t>FY 2027</t>
  </si>
  <si>
    <t>FY 2028</t>
  </si>
  <si>
    <t>FY 2029</t>
  </si>
  <si>
    <t>FY 2030</t>
  </si>
  <si>
    <t>Income statement</t>
  </si>
  <si>
    <t>Sales</t>
  </si>
  <si>
    <t>Costs of goods sold</t>
  </si>
  <si>
    <t>Interest payments on debt</t>
  </si>
  <si>
    <t>Interest earned on cash and marketable securities</t>
  </si>
  <si>
    <t>Depreciation</t>
  </si>
  <si>
    <t>Profit before tax</t>
  </si>
  <si>
    <t>Taxes</t>
  </si>
  <si>
    <t>Profit after tax</t>
  </si>
  <si>
    <t>Dividends</t>
  </si>
  <si>
    <t>Retained earnings</t>
  </si>
  <si>
    <t>Balance sheet</t>
  </si>
  <si>
    <t xml:space="preserve">Cash and marketable securities </t>
  </si>
  <si>
    <t>Current assets</t>
  </si>
  <si>
    <t>Noncurrent assets</t>
  </si>
  <si>
    <t>Fixed assets</t>
  </si>
  <si>
    <t xml:space="preserve">     At cost</t>
  </si>
  <si>
    <t xml:space="preserve">     Accumulated Depreciation</t>
  </si>
  <si>
    <t xml:space="preserve">     Net fixed assets</t>
  </si>
  <si>
    <t>Total assets</t>
  </si>
  <si>
    <t>Current liabilities</t>
  </si>
  <si>
    <t>Long term debt - varies from year 1 on per target D/E ratio</t>
  </si>
  <si>
    <t>Stock = PLUG</t>
  </si>
  <si>
    <t>Accumulated retained earnings</t>
  </si>
  <si>
    <t>Total liabilities and equity</t>
  </si>
  <si>
    <t>total equity</t>
  </si>
  <si>
    <t>ROE</t>
  </si>
  <si>
    <t>net profit margin</t>
  </si>
  <si>
    <t>total asset turnover</t>
  </si>
  <si>
    <t>Re</t>
  </si>
  <si>
    <t>equity multiplier</t>
  </si>
  <si>
    <t>check ROE</t>
  </si>
  <si>
    <t>&lt;-----------------------</t>
  </si>
  <si>
    <t>Risk free rate</t>
  </si>
  <si>
    <t>g = ROE *(1-DPR)</t>
  </si>
  <si>
    <t>beta</t>
  </si>
  <si>
    <t>SHO</t>
  </si>
  <si>
    <t>mrp</t>
  </si>
  <si>
    <t>why do these numbers go so high</t>
  </si>
  <si>
    <t>debt-to-equity ratio</t>
  </si>
  <si>
    <t>target debt-to-equity ratio</t>
  </si>
  <si>
    <t xml:space="preserve">FCFF valuation ---- </t>
  </si>
  <si>
    <t>net income</t>
  </si>
  <si>
    <t>add back dep</t>
  </si>
  <si>
    <t>add back net interest after tax</t>
  </si>
  <si>
    <t>net interest</t>
  </si>
  <si>
    <t>increase in current asssets (subtract)</t>
  </si>
  <si>
    <t>add in increase in current liabilities</t>
  </si>
  <si>
    <t>capex</t>
  </si>
  <si>
    <t>FCFF</t>
  </si>
  <si>
    <t>FCFF6</t>
  </si>
  <si>
    <t>FCFF redo</t>
  </si>
  <si>
    <t>enterprise value</t>
  </si>
  <si>
    <t>less interest at t0</t>
  </si>
  <si>
    <t>per share</t>
  </si>
  <si>
    <t>Residual Income</t>
  </si>
  <si>
    <t>Terminal Value</t>
  </si>
  <si>
    <t>Total Cash Flows</t>
  </si>
  <si>
    <t>Value</t>
  </si>
  <si>
    <t>Per Share</t>
  </si>
  <si>
    <t>(ROE - Re) * Book Value of Equityt-1</t>
  </si>
  <si>
    <t>NI - (Equity * Re)</t>
  </si>
  <si>
    <t>Toyota Motor Corp (7203 JP) - Standardized</t>
  </si>
  <si>
    <t>In Billions of JPY except Per Share</t>
  </si>
  <si>
    <t>FY 2015</t>
  </si>
  <si>
    <t>FY 2016</t>
  </si>
  <si>
    <t>FY 2017</t>
  </si>
  <si>
    <t>FY 2018</t>
  </si>
  <si>
    <t>FY 2019</t>
  </si>
  <si>
    <t>FY 2020</t>
  </si>
  <si>
    <t>FY 2021</t>
  </si>
  <si>
    <t>FY 2022</t>
  </si>
  <si>
    <t>Last 12M</t>
  </si>
  <si>
    <t>12 Months Ending</t>
  </si>
  <si>
    <t>03/31/2015</t>
  </si>
  <si>
    <t>03/31/2016</t>
  </si>
  <si>
    <t>03/31/2017</t>
  </si>
  <si>
    <t>03/31/2018</t>
  </si>
  <si>
    <t>03/31/2019</t>
  </si>
  <si>
    <t>03/31/2020</t>
  </si>
  <si>
    <t>03/31/2021</t>
  </si>
  <si>
    <t>03/31/2022</t>
  </si>
  <si>
    <t>03/31/2023</t>
  </si>
  <si>
    <t>12/31/2023</t>
  </si>
  <si>
    <t>non-freecash flow items grouped below</t>
  </si>
  <si>
    <t>Cash from Operating Activities</t>
  </si>
  <si>
    <t xml:space="preserve">  + Net Income</t>
  </si>
  <si>
    <t>CF_NET_INC</t>
  </si>
  <si>
    <t xml:space="preserve">  + Depreciation &amp; Amortization</t>
  </si>
  <si>
    <t>CF_DEPR_AMORT</t>
  </si>
  <si>
    <t xml:space="preserve">  + Non-Cash Items</t>
  </si>
  <si>
    <t>NON_CASH_ITEMS_DETAILED</t>
  </si>
  <si>
    <t xml:space="preserve">    + Deferred Income Taxes</t>
  </si>
  <si>
    <t>CF_DEF_INC_TAX</t>
  </si>
  <si>
    <t>—</t>
  </si>
  <si>
    <t xml:space="preserve">    + Other Non-Cash Adj</t>
  </si>
  <si>
    <t>OTHER_NON_CASH_ADJ_LESS_DETAILED</t>
  </si>
  <si>
    <t xml:space="preserve">  + Chg in Non-Cash Work Cap</t>
  </si>
  <si>
    <t>CF_CHNG_NON_CASH_WORK_CAP</t>
  </si>
  <si>
    <t xml:space="preserve">    + (Inc) Dec in Accts Receiv</t>
  </si>
  <si>
    <t>CF_ACCT_RCV_UNBILLED_REV</t>
  </si>
  <si>
    <t xml:space="preserve">    + (Inc) Dec in Inventories</t>
  </si>
  <si>
    <t>CF_CHANGE_IN_INVENTORIES</t>
  </si>
  <si>
    <t xml:space="preserve">    + Inc (Dec) in Accts Payable</t>
  </si>
  <si>
    <t>CF_CHANGE_IN_ACCOUNTS_PAYABLE</t>
  </si>
  <si>
    <t xml:space="preserve">    + Inc (Dec) in Other</t>
  </si>
  <si>
    <t>INC_DEC_IN_OT_OP_AST_LIAB_DETAIL</t>
  </si>
  <si>
    <t xml:space="preserve">  + Net Cash From Disc Ops</t>
  </si>
  <si>
    <t>CF_NET_CASH_DISCONT_OPS_OPER</t>
  </si>
  <si>
    <t>CF_CASH_FROM_OPER</t>
  </si>
  <si>
    <t>Cash from Investing Activities</t>
  </si>
  <si>
    <t xml:space="preserve">  + Change in Fixed &amp; Intang</t>
  </si>
  <si>
    <t>FIXED_INTANG_ASST_CHANGE</t>
  </si>
  <si>
    <t xml:space="preserve">    + Disp in Fixed &amp; Intang</t>
  </si>
  <si>
    <t>DISPOSAL_OF_FIXED_INTANG</t>
  </si>
  <si>
    <t xml:space="preserve">    + Disp of Fixed Prod Assets</t>
  </si>
  <si>
    <t>CF_DISPOSAL_OF_FIXED_PROD_ASSETS</t>
  </si>
  <si>
    <t xml:space="preserve">    + Disp of Intangible Assets</t>
  </si>
  <si>
    <t>CF_DISPOSAL_OF_INTANGIBLE_ASSETS</t>
  </si>
  <si>
    <t xml:space="preserve">    + Acq of Fixed &amp; Intang</t>
  </si>
  <si>
    <t>ACQUIS_OF_FIXED_INTANG</t>
  </si>
  <si>
    <t xml:space="preserve">    + Acq of Fixed Prod Assets</t>
  </si>
  <si>
    <t>CF_PURCHASE_OF_FIXED_PROD_ASSETS</t>
  </si>
  <si>
    <t xml:space="preserve">    + Acq of Intangible Assets</t>
  </si>
  <si>
    <t>CF_ACQUISITION_OF_INTANG_ASSETS</t>
  </si>
  <si>
    <t xml:space="preserve">  + Net Change in LT Investment</t>
  </si>
  <si>
    <t>NET_CHG_IN_LT_INVEST_DETAILED</t>
  </si>
  <si>
    <t xml:space="preserve">    + Dec in LT Investment</t>
  </si>
  <si>
    <t>CF_DECR_INVEST</t>
  </si>
  <si>
    <t xml:space="preserve">    + Inc in LT Investment</t>
  </si>
  <si>
    <t>CF_INCR_INVEST</t>
  </si>
  <si>
    <t xml:space="preserve">  + Net Cash From Acq &amp; Div</t>
  </si>
  <si>
    <t>CF_NT_CSH_RCVD_PD_FOR_ACQUIS_DIV</t>
  </si>
  <si>
    <t xml:space="preserve">    + Cash from Divestitures</t>
  </si>
  <si>
    <t>CF_CASH_FOR_DIVESTITURES</t>
  </si>
  <si>
    <t xml:space="preserve">    + Cash for Acq of Subs</t>
  </si>
  <si>
    <t>CF_CASH_FOR_ACQUIS_SUBSIDIARIES</t>
  </si>
  <si>
    <t xml:space="preserve">    + Cash for JVs</t>
  </si>
  <si>
    <t>CF_CASH_FOR_JOINT_VENTURES_ASSOC</t>
  </si>
  <si>
    <t xml:space="preserve">  + Other Investing Activities</t>
  </si>
  <si>
    <t>OTHER_INVESTING_ACT_DETAILED</t>
  </si>
  <si>
    <t>CF_NET_CASH_DISCONTINUED_OPS_INV</t>
  </si>
  <si>
    <t>CF_CASH_FROM_INV_ACT</t>
  </si>
  <si>
    <t>Cash from Financing Activities</t>
  </si>
  <si>
    <t xml:space="preserve">  + Dividends Paid</t>
  </si>
  <si>
    <t>CF_DVD_PAID</t>
  </si>
  <si>
    <t xml:space="preserve">  + Cash From (Repayment) Debt</t>
  </si>
  <si>
    <t>PROC_FR_REPAYMNTS_BOR_DETAILED</t>
  </si>
  <si>
    <t xml:space="preserve">    + Cash From (Repay) ST Debt</t>
  </si>
  <si>
    <t>CF_NET_CHG_ST_DEBT_CPTL_LEAS</t>
  </si>
  <si>
    <t xml:space="preserve">    + Cash From LT Debt</t>
  </si>
  <si>
    <t>CF_LT_DEBT_CAP_LEAS_PROCEEDS</t>
  </si>
  <si>
    <t xml:space="preserve">    + Repayments of LT Debt</t>
  </si>
  <si>
    <t>CF_LT_DEBT_CAP_LEAS_PAYMENT</t>
  </si>
  <si>
    <t xml:space="preserve">  + Cash (Repurchase) of Equity</t>
  </si>
  <si>
    <t>NET_CAP_STOCK</t>
  </si>
  <si>
    <t xml:space="preserve">    + Increase in Capital Stock</t>
  </si>
  <si>
    <t>CF_INCR_CAP_STOCK</t>
  </si>
  <si>
    <t xml:space="preserve">    + Decrease in Capital Stock</t>
  </si>
  <si>
    <t>CF_DECR_CAP_STOCK</t>
  </si>
  <si>
    <t xml:space="preserve">  + Other Financing Activities</t>
  </si>
  <si>
    <t>OTHER_FIN_AND_DEC_CAP</t>
  </si>
  <si>
    <t>CF_NET_CASH_DISCONTINUED_OPS_FIN</t>
  </si>
  <si>
    <t>CFF_ACTIVITIES_DETAILED</t>
  </si>
  <si>
    <t xml:space="preserve">  Effect of Foreign Exchange Rates</t>
  </si>
  <si>
    <t>CF_EFFECT_FOREIGN_EXCHANGES</t>
  </si>
  <si>
    <t>Net Changes in Cash</t>
  </si>
  <si>
    <t>CF_NET_CHNG_CASH</t>
  </si>
  <si>
    <t>Cash Paid for Taxes</t>
  </si>
  <si>
    <t>CF_CASH_PAID_FOR_TAX</t>
  </si>
  <si>
    <t>Cash Paid for Interest</t>
  </si>
  <si>
    <t>CF_ACT_CASH_PAID_FOR_INT_DEBT</t>
  </si>
  <si>
    <t>Reference Items</t>
  </si>
  <si>
    <t>EBITDA</t>
  </si>
  <si>
    <t>Trailing 12M EBITDA Margin</t>
  </si>
  <si>
    <t>EBITDA_MARGIN</t>
  </si>
  <si>
    <t>Interest Received</t>
  </si>
  <si>
    <t>CF_INTEREST_RECEIVED</t>
  </si>
  <si>
    <t>Free Cash Flow</t>
  </si>
  <si>
    <t>CF_FREE_CASH_FLOW</t>
  </si>
  <si>
    <t>Free Cash Flow to Firm</t>
  </si>
  <si>
    <t>CF_FREE_CASH_FLOW_FIRM</t>
  </si>
  <si>
    <t>Free Cash Flow to Equity</t>
  </si>
  <si>
    <t>FREE_CASH_FLOW_EQUITY</t>
  </si>
  <si>
    <t>Free Cash Flow per Basic Share</t>
  </si>
  <si>
    <t>FREE_CASH_FLOW_PER_SH</t>
  </si>
  <si>
    <t>Price to Free Cash Flow</t>
  </si>
  <si>
    <t>PX_TO_FREE_CASH_FLOW</t>
  </si>
  <si>
    <t>Cash Flow to Net Income</t>
  </si>
  <si>
    <t>CASH_FLOW_TO_NET_INC</t>
  </si>
  <si>
    <t>Source: Bloomberg</t>
  </si>
  <si>
    <t>Right click to show data transparency (not supported for all values)</t>
  </si>
  <si>
    <t>YOY changes</t>
  </si>
  <si>
    <t>past 9 months</t>
  </si>
  <si>
    <t>arithmetic mean</t>
  </si>
  <si>
    <t>5 year average</t>
  </si>
  <si>
    <t>3 year average</t>
  </si>
  <si>
    <t>Free cash flow % change</t>
  </si>
  <si>
    <t>n/a</t>
  </si>
  <si>
    <t>FCFF % change</t>
  </si>
  <si>
    <t>FCFE % change</t>
  </si>
  <si>
    <t>questions for professor:</t>
  </si>
  <si>
    <t xml:space="preserve">- are we supposed to use the above data to project growth in each aspect which makes up the FCF model or can we just project out the changes in each form of FCF using the yearly percent changes </t>
  </si>
  <si>
    <t xml:space="preserve">- are we supposed to recreate the model process we performed for the midterm? if  </t>
  </si>
  <si>
    <t>- is there supposed to be a "plug" variable? are we supposed to have a target D/E? (if so, how do we decide on one because the current D/E ratio is over 100% and has been year over year)</t>
  </si>
  <si>
    <t>Toyota Motor Corp (7203 JP) - BBG Adjusted</t>
  </si>
  <si>
    <t>FY 2024 Est</t>
  </si>
  <si>
    <t>FY 2025 Est</t>
  </si>
  <si>
    <t>03/31/2024</t>
  </si>
  <si>
    <t>03/31/2025</t>
  </si>
  <si>
    <t>averages (3 year + most recent)</t>
  </si>
  <si>
    <t>Revenue</t>
  </si>
  <si>
    <t>SALES_REV_TURN</t>
  </si>
  <si>
    <t xml:space="preserve">    + Sales &amp; Services Revenue</t>
  </si>
  <si>
    <t>IS_SALES_AND_SERVICES_REVENUES</t>
  </si>
  <si>
    <t>sales % change</t>
  </si>
  <si>
    <t xml:space="preserve">    + Financing Revenue</t>
  </si>
  <si>
    <t>IS_ADJUSTED_FIN_SUBSIDIARY_REV</t>
  </si>
  <si>
    <t xml:space="preserve">  - Cost of Revenue</t>
  </si>
  <si>
    <t>IS_COGS_TO_FE_AND_PP_AND_G</t>
  </si>
  <si>
    <t xml:space="preserve">    + Cost of Goods &amp; Services</t>
  </si>
  <si>
    <t>IS_COG_AND_SERVICES_SOLD</t>
  </si>
  <si>
    <t xml:space="preserve">    + Cost of Financing Revenue</t>
  </si>
  <si>
    <t>IS_COST_OF_FINANCING_REVENUE</t>
  </si>
  <si>
    <t>Gross Profit</t>
  </si>
  <si>
    <t>GROSS_PROFIT</t>
  </si>
  <si>
    <t xml:space="preserve">  + Other Operating Income</t>
  </si>
  <si>
    <t>IS_OTHER_OPER_INC</t>
  </si>
  <si>
    <t xml:space="preserve">  - Operating Expenses</t>
  </si>
  <si>
    <t>IS_OPERATING_EXPN</t>
  </si>
  <si>
    <t xml:space="preserve">    + Selling, General &amp; Admin</t>
  </si>
  <si>
    <t>IS_SGA_EXPENSE</t>
  </si>
  <si>
    <t xml:space="preserve">    + Selling &amp; Marketing</t>
  </si>
  <si>
    <t>IS_SELLING_EXPENSES</t>
  </si>
  <si>
    <t xml:space="preserve">    + General &amp; Administrative</t>
  </si>
  <si>
    <t>IS_GENERAL_AND_ADMINISTRATIVE</t>
  </si>
  <si>
    <t xml:space="preserve">    + Research &amp; Development</t>
  </si>
  <si>
    <t>IS_OPERATING_EXPENSES_RD</t>
  </si>
  <si>
    <t xml:space="preserve">    + Other Operating Expense</t>
  </si>
  <si>
    <t>IS_OTHER_OPERATING_EXPENSES</t>
  </si>
  <si>
    <t>Operating Income (Loss)</t>
  </si>
  <si>
    <t>IS_OPER_INC</t>
  </si>
  <si>
    <t xml:space="preserve">  - Non-Operating (Income) Loss</t>
  </si>
  <si>
    <t>IS_NONOP_INCOME_LOSS</t>
  </si>
  <si>
    <t xml:space="preserve">    + Interest Expense, Net</t>
  </si>
  <si>
    <t>IS_NET_INTEREST_EXPENSE</t>
  </si>
  <si>
    <t xml:space="preserve">    + Interest Expense</t>
  </si>
  <si>
    <t>IS_INT_EXPENSE</t>
  </si>
  <si>
    <t xml:space="preserve">    - Interest Income</t>
  </si>
  <si>
    <t>IS_INT_INC</t>
  </si>
  <si>
    <t xml:space="preserve">    + Other Investment (Inc) Loss</t>
  </si>
  <si>
    <t>IS_OTHER_INVESTMENT_INCOME_LOSS</t>
  </si>
  <si>
    <t xml:space="preserve">    + Foreign Exch (Gain) Loss</t>
  </si>
  <si>
    <t>IS_FOREIGN_EXCH_LOSS</t>
  </si>
  <si>
    <t xml:space="preserve">    + (Income) Loss from Affiliates</t>
  </si>
  <si>
    <t>INCOME_LOSS_FROM_AFFILIATES</t>
  </si>
  <si>
    <t xml:space="preserve">    + Other Non-Op (Income) Loss</t>
  </si>
  <si>
    <t>IS_OTHER_NON_OPERATING_INC_LOSS</t>
  </si>
  <si>
    <t>Pretax Income (Loss), Adjusted</t>
  </si>
  <si>
    <t>PRETAX_INC</t>
  </si>
  <si>
    <t xml:space="preserve">  - Abnormal Losses (Gains)</t>
  </si>
  <si>
    <t>IS_ABNORMAL_ITEM</t>
  </si>
  <si>
    <t xml:space="preserve">    + Disposal of Assets</t>
  </si>
  <si>
    <t>IS_GAIN_LOSS_DISPOSAL_ASSETS</t>
  </si>
  <si>
    <t xml:space="preserve">    + Asset Write-Down</t>
  </si>
  <si>
    <t>IS_IMPAIRMENT_ASSETS</t>
  </si>
  <si>
    <t xml:space="preserve">    + Restructuring</t>
  </si>
  <si>
    <t>IS_RESTRUCTURING_EXPENSES</t>
  </si>
  <si>
    <t xml:space="preserve">    + Unrealized Investments</t>
  </si>
  <si>
    <t>IS_UNREALIZED_INVESTMENTS</t>
  </si>
  <si>
    <t>Pretax Income (Loss), GAAP</t>
  </si>
  <si>
    <t xml:space="preserve">  - Income Tax Expense (Benefit)</t>
  </si>
  <si>
    <t>IS_INC_TAX_EXP</t>
  </si>
  <si>
    <t xml:space="preserve">    + Current Income Tax</t>
  </si>
  <si>
    <t>IS_CURRENT_INCOME_TAX_BENEFIT</t>
  </si>
  <si>
    <t xml:space="preserve">    + Deferred Income Tax</t>
  </si>
  <si>
    <t>IS_DEFERRED_INCOME_TAX_BENEFIT</t>
  </si>
  <si>
    <t xml:space="preserve">  - (Income) Loss from Affiliates</t>
  </si>
  <si>
    <t>IS_SH_PRO_EQY_MT_INV_NET_OF_TAX</t>
  </si>
  <si>
    <t>Income (Loss) from Cont Ops</t>
  </si>
  <si>
    <t>IS_INC_BEF_XO_ITEM</t>
  </si>
  <si>
    <t xml:space="preserve">  - Net Extraordinary Losses (Gains)</t>
  </si>
  <si>
    <t>XO_GL_NET_OF_TAX</t>
  </si>
  <si>
    <t xml:space="preserve">    + Discontinued Operations</t>
  </si>
  <si>
    <t>IS_DISCONTINUED_OPERATIONS</t>
  </si>
  <si>
    <t xml:space="preserve">    + XO &amp; Accounting Changes</t>
  </si>
  <si>
    <t>EXTRAORD_ITEMS_ACCOUNTING_CHANGS</t>
  </si>
  <si>
    <t>Income (Loss) Incl. MI</t>
  </si>
  <si>
    <t>NI_INCLUDING_MINORITY_INT_RATIO</t>
  </si>
  <si>
    <t xml:space="preserve">  - Minority Interest</t>
  </si>
  <si>
    <t>MIN_NONCONTROL_INTEREST_CREDITS</t>
  </si>
  <si>
    <t>Net Income, GAAP</t>
  </si>
  <si>
    <t>NET_INCOME</t>
  </si>
  <si>
    <t xml:space="preserve">  - Preferred Dividends</t>
  </si>
  <si>
    <t>IS_TOT_CASH_PFD_DVD</t>
  </si>
  <si>
    <t xml:space="preserve">  - Other Adjustments</t>
  </si>
  <si>
    <t>OTHER_ADJUSTMENTS</t>
  </si>
  <si>
    <t>Net Income Avail to Common, GAAP</t>
  </si>
  <si>
    <t>EARN_FOR_COMMON</t>
  </si>
  <si>
    <t>Net Income Avail to Common, Adj</t>
  </si>
  <si>
    <t xml:space="preserve">  Net Abnormal Losses (Gains)</t>
  </si>
  <si>
    <t>IS_NET_ABNORMAL_ITEMS</t>
  </si>
  <si>
    <t xml:space="preserve">  Net Extraordinary Losses (Gains)</t>
  </si>
  <si>
    <t>Basic Weighted Avg Shares</t>
  </si>
  <si>
    <t>IS_AVG_NUM_SH_FOR_EPS</t>
  </si>
  <si>
    <t>Basic EPS, GAAP</t>
  </si>
  <si>
    <t>IS_EPS</t>
  </si>
  <si>
    <t>Basic EPS from Cont Ops, GAAP</t>
  </si>
  <si>
    <t>IS_EARN_BEF_XO_ITEMS_PER_SH</t>
  </si>
  <si>
    <t>Basic EPS from Cont Ops, Adjusted</t>
  </si>
  <si>
    <t>IS_BASIC_EPS_CONT_OPS</t>
  </si>
  <si>
    <t>Diluted Weighted Avg Shares</t>
  </si>
  <si>
    <t>IS_SH_FOR_DILUTED_EPS</t>
  </si>
  <si>
    <t>Diluted EPS, GAAP</t>
  </si>
  <si>
    <t>IS_DILUTED_EPS</t>
  </si>
  <si>
    <t>Diluted EPS from Cont Ops, GAAP</t>
  </si>
  <si>
    <t>IS_DIL_EPS_BEF_XO</t>
  </si>
  <si>
    <t>Diluted EPS from Cont Ops, Adjusted</t>
  </si>
  <si>
    <t>IS_DIL_EPS_CONT_OPS</t>
  </si>
  <si>
    <t>Accounting Standard</t>
  </si>
  <si>
    <t>ACCOUNTING_STANDARD</t>
  </si>
  <si>
    <t>US GAAP</t>
  </si>
  <si>
    <t>IAS/IFRS</t>
  </si>
  <si>
    <t>EBITDA Margin (T12M)</t>
  </si>
  <si>
    <t>EBITA</t>
  </si>
  <si>
    <t>EBIT</t>
  </si>
  <si>
    <t>Gross Margin</t>
  </si>
  <si>
    <t>GROSS_MARGIN</t>
  </si>
  <si>
    <t>Operating Margin</t>
  </si>
  <si>
    <t>OPER_MARGIN</t>
  </si>
  <si>
    <t>Profit Margin</t>
  </si>
  <si>
    <t>PROF_MARGIN</t>
  </si>
  <si>
    <t>Current Profit</t>
  </si>
  <si>
    <t>CUR_PROFIT_JAPAN</t>
  </si>
  <si>
    <t>Sales per Employee</t>
  </si>
  <si>
    <t>ACTUAL_SALES_PER_EMPL</t>
  </si>
  <si>
    <t>Dividends per Share</t>
  </si>
  <si>
    <t>EQY_DPS</t>
  </si>
  <si>
    <t>Total Cash Common Dividends</t>
  </si>
  <si>
    <t>IS_TOT_CASH_COM_DVD</t>
  </si>
  <si>
    <t>Personnel Expenses</t>
  </si>
  <si>
    <t>IS_PERSONNEL_EXP</t>
  </si>
  <si>
    <t>Depreciation Expense</t>
  </si>
  <si>
    <t>IS_DEPR_EXP</t>
  </si>
  <si>
    <t>dep / ni</t>
  </si>
  <si>
    <t>Rental Expense</t>
  </si>
  <si>
    <t>BS_CURR_RENTAL_EXPENSE</t>
  </si>
  <si>
    <t>FY 2014</t>
  </si>
  <si>
    <t>03/31/2014</t>
  </si>
  <si>
    <t>average</t>
  </si>
  <si>
    <t>Total Assets</t>
  </si>
  <si>
    <t xml:space="preserve">  + Cash, Cash Equivalents &amp; STI</t>
  </si>
  <si>
    <t>CASH_CASH_EQTY_STI_DETAILED</t>
  </si>
  <si>
    <t xml:space="preserve">    + Cash &amp; Cash Equivalents</t>
  </si>
  <si>
    <t>BS_CASH_NEAR_CASH_ITEM</t>
  </si>
  <si>
    <t xml:space="preserve">    + ST Investments</t>
  </si>
  <si>
    <t>BS_MKT_SEC_OTHER_ST_INVEST</t>
  </si>
  <si>
    <t xml:space="preserve">  + Accounts &amp; Notes Receiv</t>
  </si>
  <si>
    <t>BS_ACCT_NOTE_RCV</t>
  </si>
  <si>
    <t xml:space="preserve">  + Inventories</t>
  </si>
  <si>
    <t>BS_INVENTORIES</t>
  </si>
  <si>
    <t xml:space="preserve">    + Raw Materials</t>
  </si>
  <si>
    <t>INVTRY_RAW_MATERIALS</t>
  </si>
  <si>
    <t xml:space="preserve">    + Work In Process</t>
  </si>
  <si>
    <t>INVTRY_IN_PROGRESS</t>
  </si>
  <si>
    <t xml:space="preserve">    + Finished Goods</t>
  </si>
  <si>
    <t>INVTRY_FINISHED_GOODS</t>
  </si>
  <si>
    <t xml:space="preserve">    + Other Inventory</t>
  </si>
  <si>
    <t>BS_OTHER_INV</t>
  </si>
  <si>
    <t xml:space="preserve">  + Other ST Assets</t>
  </si>
  <si>
    <t>OTHER_CURRENT_ASSETS_DETAILED</t>
  </si>
  <si>
    <t xml:space="preserve">    + Prepaid Expenses</t>
  </si>
  <si>
    <t>BS_PREPAY</t>
  </si>
  <si>
    <t xml:space="preserve">    + Derivative &amp; Hedging Assets</t>
  </si>
  <si>
    <t>BS_DERIV_HEDGING_ASST_ST</t>
  </si>
  <si>
    <t xml:space="preserve">    + Deferred Tax Assets</t>
  </si>
  <si>
    <t>BS_DEFERRED_TAX_ASSETS_ST</t>
  </si>
  <si>
    <t xml:space="preserve">    + Taxes Receivable</t>
  </si>
  <si>
    <t>BS_TAXES_RECEIVABLE_SHORT_TERM</t>
  </si>
  <si>
    <t xml:space="preserve">    + Misc ST Assets</t>
  </si>
  <si>
    <t>BS_OTHER_CUR_ASSET_LESS_PREPAY</t>
  </si>
  <si>
    <t>Total Current Assets</t>
  </si>
  <si>
    <t>BS_CUR_ASSET_REPORT</t>
  </si>
  <si>
    <t xml:space="preserve">  + Property, Plant &amp; Equip, Net</t>
  </si>
  <si>
    <t>BS_NET_FIX_ASSET</t>
  </si>
  <si>
    <t xml:space="preserve">    + Property, Plant &amp; Equip</t>
  </si>
  <si>
    <t>BS_GROSS_FIX_ASSET</t>
  </si>
  <si>
    <t xml:space="preserve">    - Accumulated Depreciation</t>
  </si>
  <si>
    <t>BS_ACCUM_DEPR</t>
  </si>
  <si>
    <t xml:space="preserve">  + LT Investments &amp; Receivables</t>
  </si>
  <si>
    <t>BS_LT_INVEST</t>
  </si>
  <si>
    <t xml:space="preserve">    + LT Investments</t>
  </si>
  <si>
    <t>BS_LONG_TERM_INVESTMENTS</t>
  </si>
  <si>
    <t xml:space="preserve">    + LT Receivables</t>
  </si>
  <si>
    <t>BS_LT_RECEIVABLES</t>
  </si>
  <si>
    <t xml:space="preserve">  + Other LT Assets</t>
  </si>
  <si>
    <t>BS_OTHER_ASSETS_DEF_CHRG_OTHER</t>
  </si>
  <si>
    <t xml:space="preserve">    + Total Intangible Assets</t>
  </si>
  <si>
    <t>BS_DISCLOSED_INTANGIBLES</t>
  </si>
  <si>
    <t xml:space="preserve">    + Goodwill</t>
  </si>
  <si>
    <t>BS_GOODWILL</t>
  </si>
  <si>
    <t xml:space="preserve">    + Other Intangible Assets</t>
  </si>
  <si>
    <t>OTHER_INTANGIBLE_ASSETS_DETAILED</t>
  </si>
  <si>
    <t>BS_DEFERRED_TAX_ASSETS_LT</t>
  </si>
  <si>
    <t>BS_DERIV_HEDGING_ASST_LT</t>
  </si>
  <si>
    <t xml:space="preserve">    + Prepaid Pension Costs</t>
  </si>
  <si>
    <t>BS_PREPAID_PENSION_COSTS_LT</t>
  </si>
  <si>
    <t xml:space="preserve">    + Investments in Affiliates</t>
  </si>
  <si>
    <t>BS_INVEST_IN_ASSOC_CO</t>
  </si>
  <si>
    <t xml:space="preserve">    + Misc LT Assets</t>
  </si>
  <si>
    <t>OTHER_NONCURRENT_ASSETS_DETAILED</t>
  </si>
  <si>
    <t>Total Noncurrent Assets</t>
  </si>
  <si>
    <t>BS_TOT_NON_CUR_ASSET</t>
  </si>
  <si>
    <t>BS_TOT_ASSET</t>
  </si>
  <si>
    <t>Liabilities &amp; Shareholders' Equity</t>
  </si>
  <si>
    <t xml:space="preserve">  + Payables &amp; Accruals</t>
  </si>
  <si>
    <t>ACCT_PAYABLE_ACCRUALS_DETAILED</t>
  </si>
  <si>
    <t xml:space="preserve">    + Accounts Payable</t>
  </si>
  <si>
    <t>BS_ACCT_PAYABLE</t>
  </si>
  <si>
    <t xml:space="preserve">    + Accrued Taxes</t>
  </si>
  <si>
    <t>BS_TAXES_PAYABLE</t>
  </si>
  <si>
    <t xml:space="preserve">    + Other Payables &amp; Accruals</t>
  </si>
  <si>
    <t>BS_ACCRUAL</t>
  </si>
  <si>
    <t xml:space="preserve">  + ST Debt</t>
  </si>
  <si>
    <t>BS_ST_BORROW</t>
  </si>
  <si>
    <t xml:space="preserve">    + ST Borrowings</t>
  </si>
  <si>
    <t>SHORT_TERM_DEBT_DETAILED</t>
  </si>
  <si>
    <t xml:space="preserve">    + ST Lease Liabilities</t>
  </si>
  <si>
    <t>ST_CAPITALIZED_LEASE_LIABILITIES</t>
  </si>
  <si>
    <t xml:space="preserve">      + ST Finance Leases</t>
  </si>
  <si>
    <t>ST_CAPITAL_LEASE_OBLIGATIONS</t>
  </si>
  <si>
    <t xml:space="preserve">    + Current Portion of LT Debt</t>
  </si>
  <si>
    <t>BS_CURR_PORTION_LT_DEBT</t>
  </si>
  <si>
    <t xml:space="preserve">  + Other ST Liabilities</t>
  </si>
  <si>
    <t>OTHER_CURRENT_LIABS_SUB_DETAILED</t>
  </si>
  <si>
    <t xml:space="preserve">    + Deferred Revenue</t>
  </si>
  <si>
    <t>ST_DEFERRED_REVENUE</t>
  </si>
  <si>
    <t xml:space="preserve">    + Derivatives &amp; Hedging</t>
  </si>
  <si>
    <t>BS_DERIV_HEDGING_LIAB_ST</t>
  </si>
  <si>
    <t xml:space="preserve">    + Misc ST Liabilities</t>
  </si>
  <si>
    <t>OTHER_CURRENT_LIABS_DETAILED</t>
  </si>
  <si>
    <t>Total Current Liabilities</t>
  </si>
  <si>
    <t>BS_CUR_LIAB</t>
  </si>
  <si>
    <t xml:space="preserve">  + LT Debt</t>
  </si>
  <si>
    <t>BS_LT_BORROW</t>
  </si>
  <si>
    <t xml:space="preserve">    + LT Borrowings</t>
  </si>
  <si>
    <t>LONG_TERM_BORROWINGS_DETAILED</t>
  </si>
  <si>
    <t xml:space="preserve">    + LT Lease Liabilities</t>
  </si>
  <si>
    <t>LT_CAPITALIZED_LEASE_LIABILITIES</t>
  </si>
  <si>
    <t xml:space="preserve">      + LT Finance Leases</t>
  </si>
  <si>
    <t>LT_CAPITAL_LEASE_OBLIGATIONS</t>
  </si>
  <si>
    <t xml:space="preserve">  + Other LT Liabilities</t>
  </si>
  <si>
    <t>OTHER_NONCUR_LIABS_SUB_DETAILED</t>
  </si>
  <si>
    <t xml:space="preserve">    + Accrued Liabilities</t>
  </si>
  <si>
    <t>BS_ACCRUED_LIABILITIES</t>
  </si>
  <si>
    <t xml:space="preserve">    + Pension Liabilities</t>
  </si>
  <si>
    <t>PENSION_LIABILITIES</t>
  </si>
  <si>
    <t>LT_DEFERRED_REVENUE</t>
  </si>
  <si>
    <t xml:space="preserve">    + Deferred Tax Liabilities</t>
  </si>
  <si>
    <t>BS_DEFERRED_TAX_LIABILITIES_LT</t>
  </si>
  <si>
    <t>BS_DERIV_HEDGING_LIAB_LT</t>
  </si>
  <si>
    <t xml:space="preserve">    + Misc LT Liabilities</t>
  </si>
  <si>
    <t>OTHER_NONCURRENT_LIABS_DETAILED</t>
  </si>
  <si>
    <t>Total Noncurrent Liabilities</t>
  </si>
  <si>
    <t>NON_CUR_LIAB</t>
  </si>
  <si>
    <t>Total Liabilities</t>
  </si>
  <si>
    <t>BS_TOT_LIAB2</t>
  </si>
  <si>
    <t xml:space="preserve">  + Preferred Equity and Hybrid Capital</t>
  </si>
  <si>
    <t>PFD_EQTY_HYBRID_CAPITAL</t>
  </si>
  <si>
    <t xml:space="preserve">  + Share Capital &amp; APIC</t>
  </si>
  <si>
    <t>BS_SH_CAP_AND_APIC</t>
  </si>
  <si>
    <t xml:space="preserve">    + Common Stock</t>
  </si>
  <si>
    <t>BS_COMMON_STOCK</t>
  </si>
  <si>
    <t xml:space="preserve">    + Additional Paid in Capital</t>
  </si>
  <si>
    <t>BS_ADD_PAID_IN_CAP</t>
  </si>
  <si>
    <t xml:space="preserve">  - Treasury Stock</t>
  </si>
  <si>
    <t>BS_AMT_OF_TSY_STOCK</t>
  </si>
  <si>
    <t xml:space="preserve">  + Retained Earnings</t>
  </si>
  <si>
    <t>BS_PURE_RETAINED_EARNINGS</t>
  </si>
  <si>
    <t xml:space="preserve">  + Other Equity</t>
  </si>
  <si>
    <t>OTHER_EQUITY_RATIO</t>
  </si>
  <si>
    <t>Equity Before Minority Interest</t>
  </si>
  <si>
    <t>EQTY_BEF_MINORITY_INT_DETAILED</t>
  </si>
  <si>
    <t xml:space="preserve">  + Minority/Non Controlling Interest</t>
  </si>
  <si>
    <t>MINORITY_NONCONTROLLING_INTEREST</t>
  </si>
  <si>
    <t>Total Equity</t>
  </si>
  <si>
    <t>TOTAL_EQUITY</t>
  </si>
  <si>
    <t>Total Liabilities &amp; Equity</t>
  </si>
  <si>
    <t>TOT_LIAB_AND_EQY</t>
  </si>
  <si>
    <t>Shares Outstanding</t>
  </si>
  <si>
    <t>BS_SH_OUT</t>
  </si>
  <si>
    <t>Number of Treasury Shares</t>
  </si>
  <si>
    <t>BS_NUM_OF_TSY_SH</t>
  </si>
  <si>
    <t>Pension Obligations</t>
  </si>
  <si>
    <t>BS_PENSION_RSRV</t>
  </si>
  <si>
    <t>Future Minimum Operating Lease Obligations</t>
  </si>
  <si>
    <t>BS_FUTURE_MIN_OPER_LEASE_OBLIG</t>
  </si>
  <si>
    <t>Capital Leases - Total</t>
  </si>
  <si>
    <t>BS_TOTAL_CAPITAL_LEASES</t>
  </si>
  <si>
    <t>Percent Of Foreign Ownership</t>
  </si>
  <si>
    <t>BS_PERCENT_OF_FOREIGN_OWNERSHIP</t>
  </si>
  <si>
    <t>Number Of Shareholders</t>
  </si>
  <si>
    <t>BS_NUM_OF_SHAREHOLDERS</t>
  </si>
  <si>
    <t>Options Granted During Period</t>
  </si>
  <si>
    <t>BS_OPTIONS_GRANTED</t>
  </si>
  <si>
    <t>Options Outstanding at Period End</t>
  </si>
  <si>
    <t>BS_OPTIONS_OUTSTANDING</t>
  </si>
  <si>
    <t>Net Debt</t>
  </si>
  <si>
    <t>NET_DEBT</t>
  </si>
  <si>
    <t>Net Debt to Equity</t>
  </si>
  <si>
    <t>NET_DEBT_TO_SHRHLDR_EQTY</t>
  </si>
  <si>
    <t>Tangible Common Equity Ratio</t>
  </si>
  <si>
    <t>TCE_RATIO</t>
  </si>
  <si>
    <t>Current Ratio</t>
  </si>
  <si>
    <t>CUR_RATIO</t>
  </si>
  <si>
    <t>Cash Conversion Cycle</t>
  </si>
  <si>
    <t>CASH_CONVERSION_CYCLE</t>
  </si>
  <si>
    <t>Number of Employees</t>
  </si>
  <si>
    <t>NUM_OF_EMPLOYEES</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</si>
</sst>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_(* #,##0_);_(* \(#,##0\);_(* &quot;-&quot;??_);_(@_)"/>
    <numFmt numFmtId="166" formatCode="_(* #,##0.00_);_(* \(#,##0.00\);_(* &quot;-&quot;??_);_(@_)"/>
    <numFmt numFmtId="167" formatCode="0.0000%"/>
    <numFmt numFmtId="168" formatCode="0.000%"/>
    <numFmt numFmtId="169" formatCode="_(&quot;$&quot;* #,##0.00_);_(&quot;$&quot;* \(#,##0.00\);_(&quot;$&quot;* &quot;-&quot;??_);_(@_)"/>
    <numFmt numFmtId="170" formatCode="&quot;$&quot;#,##0.00_);[Red]\(&quot;$&quot;#,##0.00\)"/>
    <numFmt numFmtId="171" formatCode="&quot;$&quot;#,##0.00"/>
    <numFmt numFmtId="172" formatCode="&quot;$&quot;#,##0.0000"/>
    <numFmt numFmtId="173" formatCode="#,##0.0"/>
  </numFmts>
  <fonts count="14">
    <font>
      <sz val="10.0"/>
      <color rgb="FF000000"/>
      <name val="Arial"/>
      <scheme val="minor"/>
    </font>
    <font>
      <b/>
      <sz val="11.0"/>
      <color theme="1"/>
      <name val="Calibri"/>
    </font>
    <font>
      <sz val="11.0"/>
      <color theme="1"/>
      <name val="Calibri"/>
    </font>
    <font>
      <color theme="1"/>
      <name val="Arial"/>
      <scheme val="minor"/>
    </font>
    <font>
      <sz val="11.0"/>
      <color rgb="FF000000"/>
      <name val="Arial"/>
    </font>
    <font>
      <b/>
      <sz val="11.0"/>
      <color rgb="FFFFFFFF"/>
      <name val="Calibri"/>
    </font>
    <font>
      <b/>
      <sz val="16.0"/>
      <color rgb="FFFFFFFF"/>
      <name val="Arial"/>
    </font>
    <font>
      <sz val="10.0"/>
      <color theme="1"/>
      <name val="Calibri"/>
    </font>
    <font>
      <b/>
      <sz val="10.0"/>
      <color rgb="FFFFFFFF"/>
      <name val="Arial"/>
    </font>
    <font>
      <b/>
      <sz val="10.0"/>
      <color rgb="FF000000"/>
      <name val="Arial"/>
    </font>
    <font>
      <sz val="10.0"/>
      <color rgb="FF333333"/>
      <name val="Arial"/>
    </font>
    <font>
      <sz val="10.0"/>
      <color rgb="FF000000"/>
      <name val="Arial"/>
    </font>
    <font>
      <i/>
      <sz val="10.0"/>
      <color rgb="FF333333"/>
      <name val="Arial"/>
    </font>
    <font>
      <i/>
      <sz val="10.0"/>
      <color rgb="FF000000"/>
      <name val="Arial"/>
    </font>
  </fonts>
  <fills count="15">
    <fill>
      <patternFill patternType="none"/>
    </fill>
    <fill>
      <patternFill patternType="lightGray"/>
    </fill>
    <fill>
      <patternFill patternType="solid">
        <fgColor rgb="FFFFFFFF"/>
        <bgColor rgb="FFFFFFFF"/>
      </patternFill>
    </fill>
    <fill>
      <patternFill patternType="solid">
        <fgColor rgb="FFDADADA"/>
        <bgColor rgb="FFDADADA"/>
      </patternFill>
    </fill>
    <fill>
      <patternFill patternType="solid">
        <fgColor rgb="FF00FF00"/>
        <bgColor rgb="FF00FF00"/>
      </patternFill>
    </fill>
    <fill>
      <patternFill patternType="solid">
        <fgColor rgb="FFF7CAAC"/>
        <bgColor rgb="FFF7CAAC"/>
      </patternFill>
    </fill>
    <fill>
      <patternFill patternType="solid">
        <fgColor rgb="FFFF0000"/>
        <bgColor rgb="FFFF0000"/>
      </patternFill>
    </fill>
    <fill>
      <patternFill patternType="solid">
        <fgColor rgb="FFFFFF00"/>
        <bgColor rgb="FFFFFF00"/>
      </patternFill>
    </fill>
    <fill>
      <patternFill patternType="solid">
        <fgColor rgb="FFADB9CA"/>
        <bgColor rgb="FFADB9CA"/>
      </patternFill>
    </fill>
    <fill>
      <patternFill patternType="solid">
        <fgColor theme="9"/>
        <bgColor theme="9"/>
      </patternFill>
    </fill>
    <fill>
      <patternFill patternType="solid">
        <fgColor rgb="FF4F81BD"/>
        <bgColor rgb="FF4F81BD"/>
      </patternFill>
    </fill>
    <fill>
      <patternFill patternType="solid">
        <fgColor rgb="FFD8D8D8"/>
        <bgColor rgb="FFD8D8D8"/>
      </patternFill>
    </fill>
    <fill>
      <patternFill patternType="solid">
        <fgColor rgb="FFC9DAF8"/>
        <bgColor rgb="FFC9DAF8"/>
      </patternFill>
    </fill>
    <fill>
      <patternFill patternType="solid">
        <fgColor rgb="FFF2F2F2"/>
        <bgColor rgb="FFF2F2F2"/>
      </patternFill>
    </fill>
    <fill>
      <patternFill patternType="solid">
        <fgColor rgb="FFCFE2F3"/>
        <bgColor rgb="FFCFE2F3"/>
      </patternFill>
    </fill>
  </fills>
  <borders count="3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top/>
      <bottom/>
    </border>
    <border>
      <left/>
      <right/>
      <top/>
      <bottom/>
    </border>
    <border>
      <left/>
      <right style="thin">
        <color rgb="FF000000"/>
      </right>
      <top/>
      <bottom/>
    </border>
    <border>
      <right/>
      <top/>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right/>
      <top/>
      <bottom/>
    </border>
    <border>
      <left/>
      <right style="medium">
        <color rgb="FF000000"/>
      </right>
      <top/>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bottom/>
    </border>
    <border>
      <left/>
      <right/>
      <bottom/>
    </border>
    <border>
      <left style="medium">
        <color rgb="FF000000"/>
      </left>
      <right/>
      <top/>
      <bottom style="medium">
        <color rgb="FF000000"/>
      </bottom>
    </border>
    <border>
      <left/>
      <right/>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rder>
    <border>
      <left style="thin">
        <color rgb="FF000000"/>
      </left>
      <right style="thin">
        <color rgb="FF000000"/>
      </right>
      <top/>
    </border>
    <border>
      <left style="thin">
        <color rgb="FF000000"/>
      </left>
      <right style="thin">
        <color rgb="FF000000"/>
      </right>
      <top/>
      <bottom/>
    </border>
    <border>
      <left/>
      <right/>
      <top style="thin">
        <color rgb="FF000000"/>
      </top>
      <bottom/>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1" fillId="2" fontId="1" numFmtId="0" xfId="0" applyBorder="1" applyFill="1" applyFont="1"/>
    <xf borderId="2" fillId="2" fontId="2" numFmtId="0" xfId="0" applyBorder="1" applyFont="1"/>
    <xf borderId="3" fillId="2" fontId="2" numFmtId="0" xfId="0" applyBorder="1" applyFont="1"/>
    <xf borderId="0" fillId="2" fontId="2" numFmtId="0" xfId="0" applyFont="1"/>
    <xf borderId="0" fillId="2" fontId="2" numFmtId="0" xfId="0" applyAlignment="1" applyFont="1">
      <alignment readingOrder="0"/>
    </xf>
    <xf borderId="4" fillId="2" fontId="2" numFmtId="0" xfId="0" applyBorder="1" applyFont="1"/>
    <xf borderId="5" fillId="2" fontId="2" numFmtId="10" xfId="0" applyBorder="1" applyFont="1" applyNumberFormat="1"/>
    <xf borderId="5" fillId="2" fontId="2" numFmtId="0" xfId="0" applyAlignment="1" applyBorder="1" applyFont="1">
      <alignment readingOrder="0"/>
    </xf>
    <xf borderId="5" fillId="2" fontId="2" numFmtId="0" xfId="0" applyBorder="1" applyFont="1"/>
    <xf borderId="5" fillId="2" fontId="2" numFmtId="164" xfId="0" applyBorder="1" applyFont="1" applyNumberFormat="1"/>
    <xf borderId="6" fillId="2" fontId="2" numFmtId="0" xfId="0" applyBorder="1" applyFont="1"/>
    <xf borderId="7" fillId="2" fontId="2" numFmtId="0" xfId="0" applyBorder="1" applyFont="1"/>
    <xf borderId="8" fillId="2" fontId="2" numFmtId="0" xfId="0" applyBorder="1" applyFont="1"/>
    <xf borderId="0" fillId="2" fontId="2" numFmtId="10" xfId="0" applyFont="1" applyNumberFormat="1"/>
    <xf borderId="9" fillId="2" fontId="2" numFmtId="0" xfId="0" applyBorder="1" applyFont="1"/>
    <xf borderId="0" fillId="2" fontId="2" numFmtId="9" xfId="0" applyFont="1" applyNumberFormat="1"/>
    <xf borderId="5" fillId="2" fontId="2" numFmtId="9" xfId="0" applyBorder="1" applyFont="1" applyNumberFormat="1"/>
    <xf borderId="5" fillId="2" fontId="2" numFmtId="10" xfId="0" applyAlignment="1" applyBorder="1" applyFont="1" applyNumberFormat="1">
      <alignment readingOrder="0"/>
    </xf>
    <xf borderId="0" fillId="0" fontId="3" numFmtId="0" xfId="0" applyAlignment="1" applyFont="1">
      <alignment readingOrder="0"/>
    </xf>
    <xf borderId="0" fillId="2" fontId="2" numFmtId="9" xfId="0" applyAlignment="1" applyFont="1" applyNumberFormat="1">
      <alignment readingOrder="0"/>
    </xf>
    <xf borderId="5" fillId="2" fontId="2" numFmtId="9" xfId="0" applyAlignment="1" applyBorder="1" applyFont="1" applyNumberFormat="1">
      <alignment readingOrder="0"/>
    </xf>
    <xf borderId="8" fillId="2" fontId="2" numFmtId="0" xfId="0" applyAlignment="1" applyBorder="1" applyFont="1">
      <alignment readingOrder="0"/>
    </xf>
    <xf borderId="4" fillId="2" fontId="2" numFmtId="0" xfId="0" applyAlignment="1" applyBorder="1" applyFont="1">
      <alignment readingOrder="0"/>
    </xf>
    <xf borderId="6" fillId="2" fontId="1" numFmtId="0" xfId="0" applyBorder="1" applyFont="1"/>
    <xf borderId="6" fillId="2" fontId="2" numFmtId="0" xfId="0" applyAlignment="1" applyBorder="1" applyFont="1">
      <alignment horizontal="center"/>
    </xf>
    <xf borderId="10" fillId="2" fontId="2" numFmtId="0" xfId="0" applyBorder="1" applyFont="1"/>
    <xf borderId="11" fillId="2" fontId="2" numFmtId="0" xfId="0" applyBorder="1" applyFont="1"/>
    <xf borderId="12" fillId="2" fontId="2" numFmtId="0" xfId="0" applyBorder="1" applyFont="1"/>
    <xf borderId="0" fillId="0" fontId="2" numFmtId="0" xfId="0" applyFont="1"/>
    <xf borderId="13" fillId="0" fontId="1" numFmtId="0" xfId="0" applyBorder="1" applyFont="1"/>
    <xf borderId="14" fillId="0" fontId="1" numFmtId="0" xfId="0" applyAlignment="1" applyBorder="1" applyFont="1">
      <alignment horizontal="center" readingOrder="0"/>
    </xf>
    <xf borderId="14" fillId="0" fontId="1" numFmtId="0" xfId="0" applyAlignment="1" applyBorder="1" applyFont="1">
      <alignment readingOrder="0"/>
    </xf>
    <xf borderId="15" fillId="0" fontId="1" numFmtId="0" xfId="0" applyAlignment="1" applyBorder="1" applyFont="1">
      <alignment readingOrder="0"/>
    </xf>
    <xf borderId="16" fillId="0" fontId="1" numFmtId="0" xfId="0" applyBorder="1" applyFont="1"/>
    <xf borderId="17" fillId="0" fontId="2" numFmtId="0" xfId="0" applyBorder="1" applyFont="1"/>
    <xf borderId="16" fillId="0" fontId="2" numFmtId="0" xfId="0" applyBorder="1" applyFont="1"/>
    <xf borderId="0" fillId="0" fontId="2" numFmtId="165" xfId="0" applyAlignment="1" applyFont="1" applyNumberFormat="1">
      <alignment readingOrder="0"/>
    </xf>
    <xf borderId="0" fillId="0" fontId="2" numFmtId="166" xfId="0" applyFont="1" applyNumberFormat="1"/>
    <xf borderId="17" fillId="0" fontId="2" numFmtId="166" xfId="0" applyBorder="1" applyFont="1" applyNumberFormat="1"/>
    <xf borderId="0" fillId="0" fontId="2" numFmtId="165" xfId="0" applyFont="1" applyNumberFormat="1"/>
    <xf borderId="17" fillId="0" fontId="2" numFmtId="165" xfId="0" applyBorder="1" applyFont="1" applyNumberFormat="1"/>
    <xf borderId="17" fillId="0" fontId="3" numFmtId="0" xfId="0" applyBorder="1" applyFont="1"/>
    <xf borderId="16" fillId="0" fontId="2" numFmtId="0" xfId="0" applyAlignment="1" applyBorder="1" applyFont="1">
      <alignment readingOrder="0"/>
    </xf>
    <xf borderId="17" fillId="0" fontId="2" numFmtId="165" xfId="0" applyAlignment="1" applyBorder="1" applyFont="1" applyNumberFormat="1">
      <alignment readingOrder="0"/>
    </xf>
    <xf borderId="7" fillId="0" fontId="2" numFmtId="0" xfId="0" applyBorder="1" applyFont="1"/>
    <xf borderId="5" fillId="0" fontId="2" numFmtId="0" xfId="0" applyBorder="1" applyFont="1"/>
    <xf borderId="0" fillId="0" fontId="2" numFmtId="1" xfId="0" applyFont="1" applyNumberFormat="1"/>
    <xf borderId="17" fillId="0" fontId="2" numFmtId="1" xfId="0" applyBorder="1" applyFont="1" applyNumberFormat="1"/>
    <xf borderId="0" fillId="0" fontId="2" numFmtId="10" xfId="0" applyFont="1" applyNumberFormat="1"/>
    <xf borderId="18" fillId="3" fontId="2" numFmtId="0" xfId="0" applyBorder="1" applyFill="1" applyFont="1"/>
    <xf borderId="5" fillId="3" fontId="2" numFmtId="165" xfId="0" applyBorder="1" applyFont="1" applyNumberFormat="1"/>
    <xf borderId="19" fillId="3" fontId="2" numFmtId="165" xfId="0" applyBorder="1" applyFont="1" applyNumberFormat="1"/>
    <xf borderId="18" fillId="3" fontId="1" numFmtId="0" xfId="0" applyBorder="1" applyFont="1"/>
    <xf borderId="5" fillId="3" fontId="2" numFmtId="10" xfId="0" applyBorder="1" applyFont="1" applyNumberFormat="1"/>
    <xf borderId="19" fillId="3" fontId="2" numFmtId="10" xfId="0" applyBorder="1" applyFont="1" applyNumberFormat="1"/>
    <xf borderId="5" fillId="3" fontId="2" numFmtId="9" xfId="0" applyBorder="1" applyFont="1" applyNumberFormat="1"/>
    <xf borderId="19" fillId="3" fontId="2" numFmtId="9" xfId="0" applyBorder="1" applyFont="1" applyNumberFormat="1"/>
    <xf borderId="0" fillId="0" fontId="2" numFmtId="9" xfId="0" applyFont="1" applyNumberFormat="1"/>
    <xf borderId="0" fillId="0" fontId="2" numFmtId="167" xfId="0" applyFont="1" applyNumberFormat="1"/>
    <xf borderId="20" fillId="4" fontId="2" numFmtId="0" xfId="0" applyBorder="1" applyFill="1" applyFont="1"/>
    <xf borderId="21" fillId="4" fontId="2" numFmtId="10" xfId="0" applyBorder="1" applyFont="1" applyNumberFormat="1"/>
    <xf borderId="22" fillId="0" fontId="2" numFmtId="10" xfId="0" applyAlignment="1" applyBorder="1" applyFont="1" applyNumberFormat="1">
      <alignment readingOrder="0"/>
    </xf>
    <xf borderId="7" fillId="5" fontId="2" numFmtId="10" xfId="0" applyBorder="1" applyFill="1" applyFont="1" applyNumberFormat="1"/>
    <xf quotePrefix="1" borderId="23" fillId="5" fontId="2" numFmtId="0" xfId="0" applyBorder="1" applyFont="1"/>
    <xf borderId="23" fillId="5" fontId="2" numFmtId="0" xfId="0" applyBorder="1" applyFont="1"/>
    <xf borderId="23" fillId="5" fontId="2" numFmtId="10" xfId="0" applyAlignment="1" applyBorder="1" applyFont="1" applyNumberFormat="1">
      <alignment readingOrder="0"/>
    </xf>
    <xf borderId="24" fillId="6" fontId="2" numFmtId="0" xfId="0" applyBorder="1" applyFill="1" applyFont="1"/>
    <xf borderId="25" fillId="6" fontId="2" numFmtId="167" xfId="0" applyBorder="1" applyFont="1" applyNumberFormat="1"/>
    <xf borderId="7" fillId="6" fontId="2" numFmtId="168" xfId="0" applyBorder="1" applyFont="1" applyNumberFormat="1"/>
    <xf borderId="5" fillId="5" fontId="2" numFmtId="0" xfId="0" applyBorder="1" applyFont="1"/>
    <xf borderId="23" fillId="3" fontId="2" numFmtId="0" xfId="0" applyBorder="1" applyFont="1"/>
    <xf borderId="5" fillId="3" fontId="2" numFmtId="0" xfId="0" applyAlignment="1" applyBorder="1" applyFont="1">
      <alignment readingOrder="0"/>
    </xf>
    <xf borderId="5" fillId="5" fontId="2" numFmtId="9" xfId="0" applyBorder="1" applyFont="1" applyNumberFormat="1"/>
    <xf borderId="0" fillId="0" fontId="2" numFmtId="0" xfId="0" applyAlignment="1" applyFont="1">
      <alignment readingOrder="0"/>
    </xf>
    <xf borderId="5" fillId="3" fontId="2" numFmtId="0" xfId="0" applyBorder="1" applyFont="1"/>
    <xf borderId="0" fillId="7" fontId="2" numFmtId="0" xfId="0" applyFill="1" applyFont="1"/>
    <xf borderId="0" fillId="7" fontId="2" numFmtId="166" xfId="0" applyFont="1" applyNumberFormat="1"/>
    <xf borderId="5" fillId="8" fontId="2" numFmtId="0" xfId="0" applyBorder="1" applyFill="1" applyFont="1"/>
    <xf borderId="5" fillId="8" fontId="1" numFmtId="166" xfId="0" applyAlignment="1" applyBorder="1" applyFont="1" applyNumberFormat="1">
      <alignment readingOrder="0"/>
    </xf>
    <xf borderId="13" fillId="0" fontId="2" numFmtId="0" xfId="0" applyBorder="1" applyFont="1"/>
    <xf borderId="14" fillId="0" fontId="2" numFmtId="0" xfId="0" applyBorder="1" applyFont="1"/>
    <xf borderId="0" fillId="0" fontId="2" numFmtId="0" xfId="0" applyAlignment="1" applyFont="1">
      <alignment horizontal="center"/>
    </xf>
    <xf borderId="0" fillId="0" fontId="2" numFmtId="169" xfId="0" applyFont="1" applyNumberFormat="1"/>
    <xf borderId="0" fillId="0" fontId="2" numFmtId="169" xfId="0" applyAlignment="1" applyFont="1" applyNumberFormat="1">
      <alignment shrinkToFit="0" wrapText="1"/>
    </xf>
    <xf borderId="5" fillId="9" fontId="2" numFmtId="169" xfId="0" applyBorder="1" applyFill="1" applyFont="1" applyNumberFormat="1"/>
    <xf borderId="0" fillId="0" fontId="2" numFmtId="170" xfId="0" applyFont="1" applyNumberFormat="1"/>
    <xf borderId="17" fillId="0" fontId="2" numFmtId="169" xfId="0" applyBorder="1" applyFont="1" applyNumberFormat="1"/>
    <xf borderId="26" fillId="0" fontId="2" numFmtId="0" xfId="0" applyBorder="1" applyFont="1"/>
    <xf borderId="27" fillId="0" fontId="2" numFmtId="170" xfId="0" applyBorder="1" applyFont="1" applyNumberFormat="1"/>
    <xf borderId="27" fillId="0" fontId="2" numFmtId="169" xfId="0" applyBorder="1" applyFont="1" applyNumberFormat="1"/>
    <xf borderId="28" fillId="0" fontId="2" numFmtId="169" xfId="0" applyBorder="1" applyFont="1" applyNumberFormat="1"/>
    <xf borderId="0" fillId="0" fontId="2" numFmtId="171" xfId="0" applyFont="1" applyNumberFormat="1"/>
    <xf borderId="0" fillId="0" fontId="2" numFmtId="171" xfId="0" applyFont="1" applyNumberFormat="1"/>
    <xf borderId="0" fillId="0" fontId="2" numFmtId="172" xfId="0" applyFont="1" applyNumberFormat="1"/>
    <xf borderId="0" fillId="0" fontId="4" numFmtId="0" xfId="0" applyAlignment="1" applyFont="1">
      <alignment readingOrder="0" shrinkToFit="0" vertical="bottom" wrapText="0"/>
    </xf>
    <xf borderId="5" fillId="10" fontId="5" numFmtId="0" xfId="0" applyBorder="1" applyFill="1" applyFont="1"/>
    <xf borderId="29" fillId="10" fontId="6" numFmtId="0" xfId="0" applyAlignment="1" applyBorder="1" applyFont="1">
      <alignment horizontal="left" readingOrder="1" vertical="center"/>
    </xf>
    <xf borderId="5" fillId="2" fontId="7" numFmtId="0" xfId="0" applyAlignment="1" applyBorder="1" applyFont="1">
      <alignment horizontal="center"/>
    </xf>
    <xf borderId="30" fillId="10" fontId="8" numFmtId="0" xfId="0" applyAlignment="1" applyBorder="1" applyFont="1">
      <alignment horizontal="left"/>
    </xf>
    <xf borderId="30" fillId="10" fontId="8" numFmtId="0" xfId="0" applyAlignment="1" applyBorder="1" applyFont="1">
      <alignment horizontal="right"/>
    </xf>
    <xf borderId="31" fillId="10" fontId="8" numFmtId="0" xfId="0" applyAlignment="1" applyBorder="1" applyFont="1">
      <alignment horizontal="left"/>
    </xf>
    <xf borderId="31" fillId="10" fontId="8" numFmtId="0" xfId="0" applyAlignment="1" applyBorder="1" applyFont="1">
      <alignment horizontal="right"/>
    </xf>
    <xf borderId="32" fillId="2" fontId="9" numFmtId="0" xfId="0" applyAlignment="1" applyBorder="1" applyFont="1">
      <alignment readingOrder="0"/>
    </xf>
    <xf borderId="33" fillId="2" fontId="9" numFmtId="3" xfId="0" applyAlignment="1" applyBorder="1" applyFont="1" applyNumberFormat="1">
      <alignment horizontal="right"/>
    </xf>
    <xf borderId="33" fillId="11" fontId="9" numFmtId="3" xfId="0" applyAlignment="1" applyBorder="1" applyFill="1" applyFont="1" applyNumberFormat="1">
      <alignment horizontal="right"/>
    </xf>
    <xf borderId="4" fillId="2" fontId="9" numFmtId="0" xfId="0" applyBorder="1" applyFont="1"/>
    <xf borderId="34" fillId="2" fontId="9" numFmtId="3" xfId="0" applyAlignment="1" applyBorder="1" applyFont="1" applyNumberFormat="1">
      <alignment horizontal="right"/>
    </xf>
    <xf borderId="34" fillId="11" fontId="9" numFmtId="3" xfId="0" applyAlignment="1" applyBorder="1" applyFont="1" applyNumberFormat="1">
      <alignment horizontal="right"/>
    </xf>
    <xf borderId="4" fillId="2" fontId="10" numFmtId="0" xfId="0" applyBorder="1" applyFont="1"/>
    <xf borderId="34" fillId="2" fontId="11" numFmtId="173" xfId="0" applyAlignment="1" applyBorder="1" applyFont="1" applyNumberFormat="1">
      <alignment horizontal="right"/>
    </xf>
    <xf borderId="34" fillId="11" fontId="11" numFmtId="173" xfId="0" applyAlignment="1" applyBorder="1" applyFont="1" applyNumberFormat="1">
      <alignment horizontal="right"/>
    </xf>
    <xf borderId="34" fillId="2" fontId="9" numFmtId="173" xfId="0" applyAlignment="1" applyBorder="1" applyFont="1" applyNumberFormat="1">
      <alignment horizontal="right"/>
    </xf>
    <xf borderId="34" fillId="11" fontId="9" numFmtId="173" xfId="0" applyAlignment="1" applyBorder="1" applyFont="1" applyNumberFormat="1">
      <alignment horizontal="right"/>
    </xf>
    <xf borderId="4" fillId="2" fontId="12" numFmtId="0" xfId="0" applyBorder="1" applyFont="1"/>
    <xf borderId="34" fillId="2" fontId="13" numFmtId="173" xfId="0" applyAlignment="1" applyBorder="1" applyFont="1" applyNumberFormat="1">
      <alignment horizontal="right"/>
    </xf>
    <xf borderId="34" fillId="11" fontId="13" numFmtId="173" xfId="0" applyAlignment="1" applyBorder="1" applyFont="1" applyNumberFormat="1">
      <alignment horizontal="right"/>
    </xf>
    <xf borderId="34" fillId="2" fontId="11" numFmtId="4" xfId="0" applyAlignment="1" applyBorder="1" applyFont="1" applyNumberFormat="1">
      <alignment horizontal="right"/>
    </xf>
    <xf borderId="34" fillId="11" fontId="11" numFmtId="4" xfId="0" applyAlignment="1" applyBorder="1" applyFont="1" applyNumberFormat="1">
      <alignment horizontal="right"/>
    </xf>
    <xf borderId="4" fillId="12" fontId="10" numFmtId="0" xfId="0" applyBorder="1" applyFill="1" applyFont="1"/>
    <xf borderId="34" fillId="12" fontId="11" numFmtId="173" xfId="0" applyAlignment="1" applyBorder="1" applyFont="1" applyNumberFormat="1">
      <alignment horizontal="right"/>
    </xf>
    <xf borderId="0" fillId="12" fontId="3" numFmtId="171" xfId="0" applyFont="1" applyNumberFormat="1"/>
    <xf borderId="0" fillId="12" fontId="3" numFmtId="0" xfId="0" applyFont="1"/>
    <xf borderId="35" fillId="13" fontId="13" numFmtId="0" xfId="0" applyBorder="1" applyFill="1" applyFont="1"/>
    <xf borderId="0" fillId="14" fontId="3" numFmtId="0" xfId="0" applyAlignment="1" applyFill="1" applyFont="1">
      <alignment readingOrder="0"/>
    </xf>
    <xf borderId="0" fillId="0" fontId="3" numFmtId="10" xfId="0" applyFont="1" applyNumberFormat="1"/>
    <xf borderId="0" fillId="14" fontId="3" numFmtId="10" xfId="0" applyFont="1" applyNumberFormat="1"/>
    <xf borderId="0" fillId="0" fontId="3" numFmtId="173" xfId="0" applyFont="1" applyNumberFormat="1"/>
    <xf borderId="4" fillId="2" fontId="10" numFmtId="0" xfId="0" applyAlignment="1" applyBorder="1" applyFont="1">
      <alignment readingOrder="0"/>
    </xf>
    <xf borderId="34" fillId="2" fontId="11" numFmtId="10" xfId="0" applyAlignment="1" applyBorder="1" applyFont="1" applyNumberFormat="1">
      <alignment horizontal="right"/>
    </xf>
    <xf borderId="0" fillId="0" fontId="3" numFmtId="0" xfId="0" applyFont="1"/>
    <xf borderId="34" fillId="2" fontId="9" numFmtId="4" xfId="0" applyAlignment="1" applyBorder="1" applyFont="1" applyNumberFormat="1">
      <alignment horizontal="right"/>
    </xf>
    <xf borderId="34" fillId="11" fontId="9" numFmtId="4" xfId="0" applyAlignment="1" applyBorder="1" applyFont="1" applyNumberFormat="1">
      <alignment horizontal="right"/>
    </xf>
    <xf borderId="34" fillId="2" fontId="11" numFmtId="3" xfId="0" applyAlignment="1" applyBorder="1" applyFont="1" applyNumberFormat="1">
      <alignment horizontal="right"/>
    </xf>
    <xf borderId="34" fillId="11" fontId="11" numFmtId="3" xfId="0" applyAlignment="1" applyBorder="1" applyFont="1" applyNumberFormat="1">
      <alignment horizontal="right"/>
    </xf>
    <xf borderId="34" fillId="14" fontId="11" numFmtId="10" xfId="0" applyAlignment="1" applyBorder="1" applyFont="1" applyNumberFormat="1">
      <alignment horizontal="right"/>
    </xf>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45.25"/>
    <col customWidth="1" min="2" max="2" width="10.0"/>
    <col customWidth="1" min="3" max="3" width="19.5"/>
    <col customWidth="1" min="4" max="4" width="15.0"/>
    <col customWidth="1" min="5" max="5" width="20.5"/>
    <col customWidth="1" min="6" max="6" width="24.63"/>
    <col customWidth="1" min="7" max="7" width="22.75"/>
    <col customWidth="1" min="8" max="8" width="10.88"/>
    <col customWidth="1" min="9" max="9" width="18.75"/>
    <col customWidth="1" min="10" max="10" width="16.38"/>
    <col customWidth="1" min="11" max="11" width="15.63"/>
    <col customWidth="1" min="12" max="12" width="12.63"/>
    <col customWidth="1" min="13" max="13" width="20.5"/>
    <col customWidth="1" min="14" max="14" width="20.75"/>
    <col customWidth="1" min="15" max="16" width="10.88"/>
    <col customWidth="1" min="17" max="17" width="55.0"/>
    <col customWidth="1" min="18" max="26" width="10.88"/>
  </cols>
  <sheetData>
    <row r="1">
      <c r="A1" s="1" t="s">
        <v>0</v>
      </c>
      <c r="B1" s="2"/>
      <c r="C1" s="2"/>
      <c r="D1" s="2"/>
      <c r="E1" s="2"/>
      <c r="F1" s="2"/>
      <c r="G1" s="3"/>
      <c r="H1" s="4"/>
      <c r="I1" s="5" t="s">
        <v>1</v>
      </c>
      <c r="J1" s="4"/>
      <c r="K1" s="4"/>
      <c r="L1" s="4"/>
      <c r="M1" s="4"/>
      <c r="N1" s="4"/>
      <c r="O1" s="4"/>
      <c r="P1" s="4"/>
      <c r="Q1" s="4"/>
      <c r="R1" s="4"/>
      <c r="S1" s="4"/>
      <c r="T1" s="4"/>
      <c r="U1" s="4"/>
      <c r="V1" s="4"/>
      <c r="W1" s="4"/>
      <c r="X1" s="4"/>
      <c r="Y1" s="4"/>
      <c r="Z1" s="4"/>
    </row>
    <row r="2">
      <c r="A2" s="6" t="s">
        <v>2</v>
      </c>
      <c r="B2" s="7">
        <f>4.81% + 1%</f>
        <v>0.0581</v>
      </c>
      <c r="C2" s="8" t="s">
        <v>3</v>
      </c>
      <c r="D2" s="7"/>
      <c r="E2" s="9"/>
      <c r="F2" s="10"/>
      <c r="G2" s="11"/>
      <c r="H2" s="12"/>
      <c r="I2" s="8" t="s">
        <v>4</v>
      </c>
      <c r="J2" s="9"/>
      <c r="K2" s="9"/>
      <c r="L2" s="9"/>
      <c r="M2" s="9"/>
      <c r="N2" s="9"/>
      <c r="O2" s="9"/>
      <c r="P2" s="9"/>
      <c r="Q2" s="9"/>
      <c r="R2" s="9"/>
      <c r="S2" s="9"/>
      <c r="T2" s="9"/>
      <c r="U2" s="9"/>
      <c r="V2" s="9"/>
      <c r="W2" s="9"/>
      <c r="X2" s="9"/>
      <c r="Y2" s="9"/>
      <c r="Z2" s="9"/>
    </row>
    <row r="3">
      <c r="A3" s="13" t="s">
        <v>5</v>
      </c>
      <c r="B3" s="14">
        <f>43%</f>
        <v>0.43</v>
      </c>
      <c r="C3" s="5" t="s">
        <v>6</v>
      </c>
      <c r="D3" s="4"/>
      <c r="E3" s="4"/>
      <c r="F3" s="4"/>
      <c r="G3" s="15"/>
      <c r="H3" s="4" t="s">
        <v>7</v>
      </c>
      <c r="I3" s="5" t="s">
        <v>8</v>
      </c>
      <c r="J3" s="4"/>
      <c r="K3" s="4"/>
      <c r="L3" s="4"/>
      <c r="M3" s="4"/>
      <c r="N3" s="4"/>
      <c r="O3" s="4"/>
      <c r="P3" s="4"/>
      <c r="Q3" s="4"/>
      <c r="R3" s="4"/>
      <c r="S3" s="4"/>
      <c r="T3" s="4"/>
      <c r="U3" s="4"/>
      <c r="V3" s="4"/>
      <c r="W3" s="4"/>
      <c r="X3" s="4"/>
      <c r="Y3" s="4"/>
      <c r="Z3" s="4"/>
    </row>
    <row r="4">
      <c r="A4" s="13" t="s">
        <v>9</v>
      </c>
      <c r="B4" s="16">
        <f>67%</f>
        <v>0.67</v>
      </c>
      <c r="C4" s="5" t="s">
        <v>10</v>
      </c>
      <c r="D4" s="4"/>
      <c r="E4" s="4"/>
      <c r="F4" s="4"/>
      <c r="G4" s="15"/>
      <c r="H4" s="4" t="s">
        <v>7</v>
      </c>
      <c r="I4" s="4" t="s">
        <v>7</v>
      </c>
      <c r="J4" s="4"/>
      <c r="K4" s="4"/>
      <c r="L4" s="4"/>
      <c r="M4" s="4"/>
      <c r="N4" s="4"/>
      <c r="O4" s="4"/>
      <c r="P4" s="4"/>
      <c r="Q4" s="4"/>
      <c r="R4" s="4"/>
      <c r="S4" s="4"/>
      <c r="T4" s="4"/>
      <c r="U4" s="4"/>
      <c r="V4" s="4"/>
      <c r="W4" s="4"/>
      <c r="X4" s="4"/>
      <c r="Y4" s="4"/>
      <c r="Z4" s="4"/>
    </row>
    <row r="5">
      <c r="A5" s="13" t="s">
        <v>11</v>
      </c>
      <c r="B5" s="16">
        <f>B41/B23</f>
        <v>0.3532646289</v>
      </c>
      <c r="C5" s="5" t="s">
        <v>12</v>
      </c>
      <c r="D5" s="4"/>
      <c r="E5" s="4"/>
      <c r="F5" s="4"/>
      <c r="G5" s="15"/>
      <c r="H5" s="4" t="s">
        <v>7</v>
      </c>
      <c r="I5" s="4" t="s">
        <v>7</v>
      </c>
      <c r="J5" s="4"/>
      <c r="K5" s="4"/>
      <c r="L5" s="4"/>
      <c r="M5" s="4"/>
      <c r="N5" s="4"/>
      <c r="O5" s="4"/>
      <c r="P5" s="4"/>
      <c r="Q5" s="4"/>
      <c r="R5" s="4"/>
      <c r="S5" s="4"/>
      <c r="T5" s="4"/>
      <c r="U5" s="4"/>
      <c r="V5" s="4"/>
      <c r="W5" s="4"/>
      <c r="X5" s="4"/>
      <c r="Y5" s="4"/>
      <c r="Z5" s="4"/>
    </row>
    <row r="6">
      <c r="A6" s="6" t="s">
        <v>13</v>
      </c>
      <c r="B6" s="17">
        <f>B24/B23</f>
        <v>-0.8300869617</v>
      </c>
      <c r="C6" s="8" t="s">
        <v>14</v>
      </c>
      <c r="D6" s="10"/>
      <c r="E6" s="9"/>
      <c r="F6" s="10"/>
      <c r="G6" s="11"/>
      <c r="H6" s="12"/>
      <c r="I6" s="9"/>
      <c r="J6" s="9"/>
      <c r="K6" s="9"/>
      <c r="L6" s="9"/>
      <c r="M6" s="9"/>
      <c r="N6" s="9"/>
      <c r="O6" s="9"/>
      <c r="P6" s="9"/>
      <c r="Q6" s="9"/>
      <c r="R6" s="9"/>
      <c r="S6" s="9"/>
      <c r="T6" s="9"/>
      <c r="U6" s="9"/>
      <c r="V6" s="9"/>
      <c r="W6" s="9"/>
      <c r="X6" s="9"/>
      <c r="Y6" s="9"/>
      <c r="Z6" s="9"/>
    </row>
    <row r="7">
      <c r="A7" s="13" t="s">
        <v>15</v>
      </c>
      <c r="B7" s="14">
        <f>'income stat'!J81 + 1%</f>
        <v>0.06663461634</v>
      </c>
      <c r="C7" s="5" t="s">
        <v>16</v>
      </c>
      <c r="D7" s="4"/>
      <c r="E7" s="4"/>
      <c r="F7" s="4"/>
      <c r="G7" s="15"/>
      <c r="H7" s="4"/>
      <c r="I7" s="4"/>
      <c r="J7" s="4"/>
      <c r="K7" s="4"/>
      <c r="L7" s="4"/>
      <c r="M7" s="4"/>
      <c r="N7" s="4"/>
      <c r="O7" s="4"/>
      <c r="P7" s="4"/>
      <c r="Q7" s="4"/>
      <c r="R7" s="4"/>
      <c r="S7" s="4"/>
      <c r="T7" s="4"/>
      <c r="U7" s="4"/>
      <c r="V7" s="4"/>
      <c r="W7" s="4"/>
      <c r="X7" s="4"/>
      <c r="Y7" s="4"/>
      <c r="Z7" s="4"/>
    </row>
    <row r="8">
      <c r="A8" s="6" t="s">
        <v>17</v>
      </c>
      <c r="B8" s="18">
        <f>(B25/B45)-1%</f>
        <v>-0.01250482701</v>
      </c>
      <c r="C8" s="19" t="s">
        <v>18</v>
      </c>
      <c r="D8" s="7"/>
      <c r="E8" s="9"/>
      <c r="F8" s="7"/>
      <c r="G8" s="11"/>
      <c r="H8" s="12"/>
      <c r="I8" s="9"/>
      <c r="J8" s="9"/>
      <c r="K8" s="9"/>
      <c r="L8" s="9"/>
      <c r="M8" s="9"/>
      <c r="N8" s="9"/>
      <c r="O8" s="9"/>
      <c r="P8" s="9"/>
      <c r="Q8" s="9"/>
      <c r="R8" s="9"/>
      <c r="S8" s="9"/>
      <c r="T8" s="9"/>
      <c r="U8" s="9"/>
      <c r="V8" s="9"/>
      <c r="W8" s="9"/>
      <c r="X8" s="9"/>
      <c r="Y8" s="9"/>
      <c r="Z8" s="9"/>
    </row>
    <row r="9">
      <c r="A9" s="6" t="s">
        <v>19</v>
      </c>
      <c r="B9" s="18">
        <f>(B26/B35) + 1%</f>
        <v>0.03535745234</v>
      </c>
      <c r="C9" s="19" t="s">
        <v>18</v>
      </c>
      <c r="D9" s="7"/>
      <c r="E9" s="9"/>
      <c r="F9" s="7"/>
      <c r="G9" s="11"/>
      <c r="H9" s="12"/>
      <c r="I9" s="9"/>
      <c r="J9" s="9"/>
      <c r="K9" s="9"/>
      <c r="L9" s="9"/>
      <c r="M9" s="9"/>
      <c r="N9" s="9"/>
      <c r="O9" s="9"/>
      <c r="P9" s="9"/>
      <c r="Q9" s="9"/>
      <c r="R9" s="9"/>
      <c r="S9" s="9"/>
      <c r="T9" s="9"/>
      <c r="U9" s="9"/>
      <c r="V9" s="9"/>
      <c r="W9" s="9"/>
      <c r="X9" s="9"/>
      <c r="Y9" s="9"/>
      <c r="Z9" s="9"/>
    </row>
    <row r="10">
      <c r="A10" s="13" t="s">
        <v>20</v>
      </c>
      <c r="B10" s="20">
        <v>0.25</v>
      </c>
      <c r="C10" s="5" t="s">
        <v>21</v>
      </c>
      <c r="D10" s="4"/>
      <c r="E10" s="4"/>
      <c r="F10" s="4"/>
      <c r="G10" s="15"/>
      <c r="H10" s="4"/>
      <c r="I10" s="4"/>
      <c r="J10" s="4"/>
      <c r="K10" s="4"/>
      <c r="L10" s="4"/>
      <c r="M10" s="4"/>
      <c r="N10" s="4"/>
      <c r="O10" s="4"/>
      <c r="P10" s="4"/>
      <c r="Q10" s="4"/>
      <c r="R10" s="4"/>
      <c r="S10" s="4"/>
      <c r="T10" s="4"/>
      <c r="U10" s="4"/>
      <c r="V10" s="4"/>
      <c r="W10" s="4"/>
      <c r="X10" s="4"/>
      <c r="Y10" s="4"/>
      <c r="Z10" s="4"/>
    </row>
    <row r="11">
      <c r="A11" s="6" t="s">
        <v>22</v>
      </c>
      <c r="B11" s="21">
        <f>(B31/B30)*(1.1447)</f>
        <v>-0.2519627502</v>
      </c>
      <c r="C11" s="18">
        <f t="shared" ref="C11:F11" si="1">B11*(1.1455)</f>
        <v>-0.2886233304</v>
      </c>
      <c r="D11" s="18">
        <f t="shared" si="1"/>
        <v>-0.3306180249</v>
      </c>
      <c r="E11" s="18">
        <f t="shared" si="1"/>
        <v>-0.3787229475</v>
      </c>
      <c r="F11" s="18">
        <f t="shared" si="1"/>
        <v>-0.4338271364</v>
      </c>
      <c r="G11" s="18">
        <f>-47%</f>
        <v>-0.47</v>
      </c>
      <c r="H11" s="18">
        <f t="shared" ref="H11:J11" si="2">G11</f>
        <v>-0.47</v>
      </c>
      <c r="I11" s="18">
        <f t="shared" si="2"/>
        <v>-0.47</v>
      </c>
      <c r="J11" s="18">
        <f t="shared" si="2"/>
        <v>-0.47</v>
      </c>
      <c r="K11" s="8" t="s">
        <v>23</v>
      </c>
      <c r="L11" s="9"/>
      <c r="M11" s="9"/>
      <c r="N11" s="9"/>
      <c r="O11" s="9"/>
      <c r="P11" s="9"/>
      <c r="Q11" s="9"/>
      <c r="R11" s="9"/>
      <c r="S11" s="9"/>
      <c r="T11" s="9"/>
      <c r="U11" s="9"/>
      <c r="V11" s="9"/>
      <c r="W11" s="9"/>
      <c r="X11" s="9"/>
      <c r="Y11" s="9"/>
      <c r="Z11" s="9"/>
    </row>
    <row r="12">
      <c r="A12" s="22" t="s">
        <v>24</v>
      </c>
      <c r="B12" s="14">
        <f>B35/B23</f>
        <v>0.248477296</v>
      </c>
      <c r="C12" s="4"/>
      <c r="D12" s="4"/>
      <c r="E12" s="4"/>
      <c r="F12" s="4"/>
      <c r="G12" s="15"/>
      <c r="H12" s="4"/>
      <c r="I12" s="4"/>
      <c r="J12" s="4"/>
      <c r="K12" s="4"/>
      <c r="L12" s="4"/>
      <c r="M12" s="4"/>
      <c r="N12" s="4"/>
      <c r="O12" s="4"/>
      <c r="P12" s="4"/>
      <c r="Q12" s="4"/>
      <c r="R12" s="4"/>
      <c r="S12" s="4"/>
      <c r="T12" s="4"/>
      <c r="U12" s="4"/>
      <c r="V12" s="4"/>
      <c r="W12" s="4"/>
      <c r="X12" s="4"/>
      <c r="Y12" s="4"/>
      <c r="Z12" s="4"/>
    </row>
    <row r="13">
      <c r="A13" s="23" t="s">
        <v>25</v>
      </c>
      <c r="B13" s="14">
        <f>B37/B42 - 1%</f>
        <v>0.4572534572</v>
      </c>
      <c r="C13" s="4"/>
      <c r="D13" s="4"/>
      <c r="E13" s="4"/>
      <c r="F13" s="4"/>
      <c r="G13" s="24"/>
      <c r="H13" s="12"/>
      <c r="I13" s="9"/>
      <c r="J13" s="9"/>
      <c r="K13" s="9"/>
      <c r="L13" s="9"/>
      <c r="M13" s="9"/>
      <c r="N13" s="9"/>
      <c r="O13" s="9"/>
      <c r="P13" s="9"/>
      <c r="Q13" s="9"/>
      <c r="R13" s="4"/>
      <c r="S13" s="4"/>
      <c r="T13" s="4"/>
      <c r="U13" s="4"/>
      <c r="V13" s="4"/>
      <c r="W13" s="4"/>
      <c r="X13" s="4"/>
      <c r="Y13" s="4"/>
      <c r="Z13" s="4"/>
    </row>
    <row r="14">
      <c r="A14" s="23" t="s">
        <v>26</v>
      </c>
      <c r="B14" s="14">
        <f>B46/B23 - 1%</f>
        <v>0.0147858256</v>
      </c>
      <c r="C14" s="4"/>
      <c r="D14" s="4"/>
      <c r="E14" s="4"/>
      <c r="F14" s="4"/>
      <c r="G14" s="25"/>
      <c r="H14" s="12"/>
      <c r="I14" s="9"/>
      <c r="J14" s="9"/>
      <c r="K14" s="9"/>
      <c r="L14" s="9"/>
      <c r="M14" s="9"/>
      <c r="N14" s="9"/>
      <c r="O14" s="9"/>
      <c r="P14" s="9"/>
      <c r="Q14" s="9"/>
      <c r="R14" s="4"/>
      <c r="S14" s="4"/>
      <c r="T14" s="4"/>
      <c r="U14" s="4"/>
      <c r="V14" s="4"/>
      <c r="W14" s="4"/>
      <c r="X14" s="4"/>
      <c r="Y14" s="4"/>
      <c r="Z14" s="4"/>
    </row>
    <row r="15">
      <c r="A15" s="6"/>
      <c r="B15" s="4"/>
      <c r="C15" s="4"/>
      <c r="D15" s="4"/>
      <c r="E15" s="4"/>
      <c r="F15" s="4"/>
      <c r="G15" s="25"/>
      <c r="H15" s="12"/>
      <c r="I15" s="9"/>
      <c r="J15" s="9"/>
      <c r="K15" s="9"/>
      <c r="L15" s="9"/>
      <c r="M15" s="9"/>
      <c r="N15" s="9"/>
      <c r="O15" s="9"/>
      <c r="P15" s="9"/>
      <c r="Q15" s="9"/>
      <c r="R15" s="4"/>
      <c r="S15" s="4"/>
      <c r="T15" s="4"/>
      <c r="U15" s="4"/>
      <c r="V15" s="4"/>
      <c r="W15" s="4"/>
      <c r="X15" s="4"/>
      <c r="Y15" s="4"/>
      <c r="Z15" s="4"/>
    </row>
    <row r="16">
      <c r="A16" s="6"/>
      <c r="B16" s="14"/>
      <c r="C16" s="4"/>
      <c r="D16" s="4"/>
      <c r="E16" s="4"/>
      <c r="F16" s="4"/>
      <c r="G16" s="25"/>
      <c r="H16" s="12"/>
      <c r="I16" s="9"/>
      <c r="J16" s="9"/>
      <c r="K16" s="9"/>
      <c r="L16" s="9"/>
      <c r="M16" s="9"/>
      <c r="N16" s="9"/>
      <c r="O16" s="9"/>
      <c r="P16" s="9"/>
      <c r="Q16" s="9"/>
      <c r="R16" s="4"/>
      <c r="S16" s="4"/>
      <c r="T16" s="4"/>
      <c r="U16" s="4"/>
      <c r="V16" s="4"/>
      <c r="W16" s="4"/>
      <c r="X16" s="4"/>
      <c r="Y16" s="4"/>
      <c r="Z16" s="4"/>
    </row>
    <row r="17">
      <c r="A17" s="6"/>
      <c r="B17" s="4"/>
      <c r="C17" s="4"/>
      <c r="D17" s="4"/>
      <c r="E17" s="4"/>
      <c r="F17" s="4"/>
      <c r="G17" s="25"/>
      <c r="H17" s="12"/>
      <c r="I17" s="9"/>
      <c r="J17" s="9"/>
      <c r="K17" s="9"/>
      <c r="L17" s="9"/>
      <c r="M17" s="9"/>
      <c r="N17" s="9"/>
      <c r="O17" s="9"/>
      <c r="P17" s="9"/>
      <c r="Q17" s="9"/>
      <c r="R17" s="4"/>
      <c r="S17" s="4"/>
      <c r="T17" s="4"/>
      <c r="U17" s="4"/>
      <c r="V17" s="4"/>
      <c r="W17" s="4"/>
      <c r="X17" s="4"/>
      <c r="Y17" s="4"/>
      <c r="Z17" s="4"/>
    </row>
    <row r="18">
      <c r="A18" s="6"/>
      <c r="B18" s="4"/>
      <c r="C18" s="4"/>
      <c r="D18" s="4"/>
      <c r="E18" s="4"/>
      <c r="F18" s="4"/>
      <c r="G18" s="25"/>
      <c r="H18" s="12"/>
      <c r="I18" s="9"/>
      <c r="J18" s="9"/>
      <c r="K18" s="9"/>
      <c r="L18" s="9"/>
      <c r="M18" s="9"/>
      <c r="N18" s="9"/>
      <c r="O18" s="9"/>
      <c r="P18" s="9"/>
      <c r="Q18" s="9"/>
      <c r="R18" s="4"/>
      <c r="S18" s="4"/>
      <c r="T18" s="4"/>
      <c r="U18" s="4"/>
      <c r="V18" s="4"/>
      <c r="W18" s="4"/>
      <c r="X18" s="4"/>
      <c r="Y18" s="4"/>
      <c r="Z18" s="4"/>
    </row>
    <row r="19">
      <c r="A19" s="26"/>
      <c r="B19" s="27"/>
      <c r="C19" s="27"/>
      <c r="D19" s="27"/>
      <c r="E19" s="27"/>
      <c r="F19" s="27"/>
      <c r="G19" s="28"/>
      <c r="H19" s="4"/>
      <c r="I19" s="4"/>
      <c r="J19" s="4"/>
      <c r="K19" s="4"/>
      <c r="L19" s="4"/>
      <c r="M19" s="4"/>
      <c r="N19" s="4"/>
      <c r="O19" s="4"/>
      <c r="P19" s="4"/>
      <c r="Q19" s="4"/>
      <c r="R19" s="4"/>
      <c r="S19" s="4"/>
      <c r="T19" s="4"/>
      <c r="U19" s="4"/>
      <c r="V19" s="4"/>
      <c r="W19" s="4"/>
      <c r="X19" s="4"/>
      <c r="Y19" s="4"/>
      <c r="Z19" s="4"/>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c r="A21" s="30" t="s">
        <v>27</v>
      </c>
      <c r="B21" s="31" t="s">
        <v>28</v>
      </c>
      <c r="C21" s="31" t="s">
        <v>29</v>
      </c>
      <c r="D21" s="31" t="s">
        <v>30</v>
      </c>
      <c r="E21" s="31" t="s">
        <v>31</v>
      </c>
      <c r="F21" s="31" t="s">
        <v>32</v>
      </c>
      <c r="G21" s="31" t="s">
        <v>33</v>
      </c>
      <c r="H21" s="32" t="s">
        <v>34</v>
      </c>
      <c r="I21" s="33" t="s">
        <v>35</v>
      </c>
      <c r="J21" s="29"/>
      <c r="K21" s="29"/>
      <c r="L21" s="29"/>
      <c r="M21" s="29"/>
      <c r="N21" s="29"/>
      <c r="O21" s="29"/>
      <c r="P21" s="29"/>
      <c r="Q21" s="29"/>
      <c r="R21" s="29"/>
      <c r="S21" s="29"/>
      <c r="T21" s="29"/>
      <c r="U21" s="29"/>
      <c r="V21" s="29"/>
      <c r="W21" s="29"/>
      <c r="X21" s="29"/>
      <c r="Y21" s="29"/>
      <c r="Z21" s="29"/>
    </row>
    <row r="22">
      <c r="A22" s="34" t="s">
        <v>36</v>
      </c>
      <c r="B22" s="29"/>
      <c r="C22" s="29"/>
      <c r="D22" s="29"/>
      <c r="E22" s="29"/>
      <c r="F22" s="29"/>
      <c r="G22" s="29"/>
      <c r="H22" s="29"/>
      <c r="I22" s="35"/>
      <c r="J22" s="29"/>
      <c r="K22" s="29"/>
      <c r="L22" s="29"/>
      <c r="M22" s="29"/>
      <c r="N22" s="29"/>
      <c r="O22" s="29"/>
      <c r="P22" s="29"/>
      <c r="Q22" s="29"/>
      <c r="R22" s="29"/>
      <c r="S22" s="29"/>
      <c r="T22" s="29"/>
      <c r="U22" s="29"/>
      <c r="V22" s="29"/>
      <c r="W22" s="29"/>
      <c r="X22" s="29"/>
      <c r="Y22" s="29"/>
      <c r="Z22" s="29"/>
    </row>
    <row r="23">
      <c r="A23" s="36" t="s">
        <v>37</v>
      </c>
      <c r="B23" s="37">
        <v>37154.3</v>
      </c>
      <c r="C23" s="38">
        <f t="shared" ref="C23:I23" si="3">B23*(1+$B$2)</f>
        <v>39312.96483</v>
      </c>
      <c r="D23" s="38">
        <f t="shared" si="3"/>
        <v>41597.04809</v>
      </c>
      <c r="E23" s="38">
        <f t="shared" si="3"/>
        <v>44013.83658</v>
      </c>
      <c r="F23" s="38">
        <f t="shared" si="3"/>
        <v>46571.04049</v>
      </c>
      <c r="G23" s="38">
        <f t="shared" si="3"/>
        <v>49276.81794</v>
      </c>
      <c r="H23" s="38">
        <f t="shared" si="3"/>
        <v>52139.80106</v>
      </c>
      <c r="I23" s="39">
        <f t="shared" si="3"/>
        <v>55169.1235</v>
      </c>
      <c r="J23" s="29"/>
      <c r="K23" s="29"/>
      <c r="L23" s="29"/>
      <c r="M23" s="29"/>
      <c r="N23" s="29"/>
      <c r="O23" s="29"/>
      <c r="P23" s="29"/>
      <c r="Q23" s="29"/>
      <c r="R23" s="29"/>
      <c r="S23" s="29"/>
      <c r="T23" s="29"/>
      <c r="U23" s="29"/>
      <c r="V23" s="29"/>
      <c r="W23" s="29"/>
      <c r="X23" s="29"/>
      <c r="Y23" s="29"/>
      <c r="Z23" s="29"/>
    </row>
    <row r="24">
      <c r="A24" s="36" t="s">
        <v>38</v>
      </c>
      <c r="B24" s="37">
        <v>-30841.3</v>
      </c>
      <c r="C24" s="38">
        <f>($B$6+1.5%)*C23</f>
        <v>-32043.48506</v>
      </c>
      <c r="D24" s="38">
        <f>($B$6+3%)*D23</f>
        <v>-33281.25582</v>
      </c>
      <c r="E24" s="38">
        <f>($B$6+4.5%)*E23</f>
        <v>-34554.68923</v>
      </c>
      <c r="F24" s="38">
        <f>($B$6+6%)*F23</f>
        <v>-35863.75107</v>
      </c>
      <c r="G24" s="38">
        <f>($B$6+7.5%)*G23</f>
        <v>-37208.28274</v>
      </c>
      <c r="H24" s="38">
        <f>($B$6+9%)*H23</f>
        <v>-38587.98695</v>
      </c>
      <c r="I24" s="39">
        <f>($B$6+10.5%)*I23</f>
        <v>-40002.41214</v>
      </c>
      <c r="J24" s="29"/>
      <c r="K24" s="29"/>
      <c r="L24" s="29"/>
      <c r="M24" s="29"/>
      <c r="N24" s="29"/>
      <c r="O24" s="29"/>
      <c r="P24" s="29"/>
      <c r="Q24" s="29"/>
      <c r="R24" s="29"/>
      <c r="S24" s="29"/>
      <c r="T24" s="29"/>
      <c r="U24" s="29"/>
      <c r="V24" s="29"/>
      <c r="W24" s="29"/>
      <c r="X24" s="29"/>
      <c r="Y24" s="29"/>
      <c r="Z24" s="29"/>
    </row>
    <row r="25">
      <c r="A25" s="36" t="s">
        <v>39</v>
      </c>
      <c r="B25" s="37">
        <v>-52.8</v>
      </c>
      <c r="C25" s="40">
        <f t="shared" ref="C25:I25" si="4">$B$8*C45</f>
        <v>-398.6949919</v>
      </c>
      <c r="D25" s="40">
        <f t="shared" si="4"/>
        <v>-443.2199273</v>
      </c>
      <c r="E25" s="40">
        <f t="shared" si="4"/>
        <v>-494.715384</v>
      </c>
      <c r="F25" s="40">
        <f t="shared" si="4"/>
        <v>-553.880582</v>
      </c>
      <c r="G25" s="40">
        <f t="shared" si="4"/>
        <v>-621.4726069</v>
      </c>
      <c r="H25" s="40">
        <f t="shared" si="4"/>
        <v>-698.3107452</v>
      </c>
      <c r="I25" s="40">
        <f t="shared" si="4"/>
        <v>-785.2811271</v>
      </c>
      <c r="J25" s="29"/>
      <c r="K25" s="29"/>
      <c r="L25" s="29"/>
      <c r="M25" s="29"/>
      <c r="N25" s="29"/>
      <c r="O25" s="29"/>
      <c r="P25" s="29"/>
      <c r="Q25" s="29"/>
      <c r="R25" s="29"/>
      <c r="S25" s="29"/>
      <c r="T25" s="29"/>
      <c r="U25" s="29"/>
      <c r="V25" s="29"/>
      <c r="W25" s="29"/>
      <c r="X25" s="29"/>
      <c r="Y25" s="29"/>
      <c r="Z25" s="29"/>
    </row>
    <row r="26">
      <c r="A26" s="36" t="s">
        <v>40</v>
      </c>
      <c r="B26" s="37">
        <v>234.1</v>
      </c>
      <c r="C26" s="40">
        <f t="shared" ref="C26:I26" si="5">$B$9*AVERAGE(B35:C35)</f>
        <v>483.4142806</v>
      </c>
      <c r="D26" s="40">
        <f t="shared" si="5"/>
        <v>691.7930354</v>
      </c>
      <c r="E26" s="40">
        <f t="shared" si="5"/>
        <v>804.2746083</v>
      </c>
      <c r="F26" s="40">
        <f t="shared" si="5"/>
        <v>937.1972693</v>
      </c>
      <c r="G26" s="40">
        <f t="shared" si="5"/>
        <v>1092.678174</v>
      </c>
      <c r="H26" s="40">
        <f t="shared" si="5"/>
        <v>1273.011893</v>
      </c>
      <c r="I26" s="41">
        <f t="shared" si="5"/>
        <v>1480.683798</v>
      </c>
      <c r="J26" s="29"/>
      <c r="K26" s="29"/>
      <c r="L26" s="29"/>
      <c r="M26" s="29"/>
      <c r="N26" s="29"/>
      <c r="O26" s="29"/>
      <c r="P26" s="29"/>
      <c r="Q26" s="29"/>
      <c r="R26" s="29"/>
      <c r="S26" s="29"/>
      <c r="T26" s="29"/>
      <c r="U26" s="29"/>
      <c r="V26" s="29"/>
      <c r="W26" s="29"/>
      <c r="X26" s="29"/>
      <c r="Y26" s="29"/>
      <c r="Z26" s="29"/>
    </row>
    <row r="27">
      <c r="A27" s="36" t="s">
        <v>41</v>
      </c>
      <c r="B27" s="40">
        <f>-2011.1</f>
        <v>-2011.1</v>
      </c>
      <c r="C27" s="40">
        <f t="shared" ref="C27:I27" si="6">-$B$7*AVERAGE(B39:C39)</f>
        <v>-2080.464127</v>
      </c>
      <c r="D27" s="40">
        <f t="shared" si="6"/>
        <v>-2277.962203</v>
      </c>
      <c r="E27" s="40">
        <f t="shared" si="6"/>
        <v>-2492.220288</v>
      </c>
      <c r="F27" s="40">
        <f t="shared" si="6"/>
        <v>-2724.572819</v>
      </c>
      <c r="G27" s="40">
        <f t="shared" si="6"/>
        <v>-2976.460273</v>
      </c>
      <c r="H27" s="40">
        <f t="shared" si="6"/>
        <v>-3249.433645</v>
      </c>
      <c r="I27" s="41">
        <f t="shared" si="6"/>
        <v>-3545.162721</v>
      </c>
      <c r="J27" s="29"/>
      <c r="K27" s="29"/>
      <c r="L27" s="29"/>
      <c r="M27" s="29"/>
      <c r="N27" s="29"/>
      <c r="O27" s="29"/>
      <c r="P27" s="29"/>
      <c r="Q27" s="29"/>
      <c r="R27" s="29"/>
      <c r="S27" s="29"/>
      <c r="T27" s="29"/>
      <c r="U27" s="29"/>
      <c r="V27" s="29"/>
      <c r="W27" s="29"/>
      <c r="X27" s="29"/>
      <c r="Y27" s="29"/>
      <c r="Z27" s="29"/>
    </row>
    <row r="28">
      <c r="A28" s="36" t="s">
        <v>42</v>
      </c>
      <c r="B28" s="40">
        <f t="shared" ref="B28:I28" si="7">SUM(B23:B27)</f>
        <v>4483.2</v>
      </c>
      <c r="C28" s="40">
        <f t="shared" si="7"/>
        <v>5273.734934</v>
      </c>
      <c r="D28" s="40">
        <f t="shared" si="7"/>
        <v>6286.403173</v>
      </c>
      <c r="E28" s="40">
        <f t="shared" si="7"/>
        <v>7276.486284</v>
      </c>
      <c r="F28" s="40">
        <f t="shared" si="7"/>
        <v>8366.033284</v>
      </c>
      <c r="G28" s="40">
        <f t="shared" si="7"/>
        <v>9563.280494</v>
      </c>
      <c r="H28" s="40">
        <f t="shared" si="7"/>
        <v>10877.08161</v>
      </c>
      <c r="I28" s="41">
        <f t="shared" si="7"/>
        <v>12316.95131</v>
      </c>
      <c r="J28" s="29"/>
      <c r="K28" s="29"/>
      <c r="L28" s="29"/>
      <c r="M28" s="29"/>
      <c r="N28" s="29"/>
      <c r="O28" s="29"/>
      <c r="P28" s="29"/>
      <c r="Q28" s="29"/>
      <c r="R28" s="29"/>
      <c r="S28" s="29"/>
      <c r="T28" s="29"/>
      <c r="U28" s="29"/>
      <c r="V28" s="29"/>
      <c r="W28" s="29"/>
      <c r="X28" s="29"/>
      <c r="Y28" s="29"/>
      <c r="Z28" s="29"/>
    </row>
    <row r="29">
      <c r="A29" s="36" t="s">
        <v>43</v>
      </c>
      <c r="B29" s="37">
        <v>-1175.8</v>
      </c>
      <c r="C29" s="40">
        <f t="shared" ref="C29:I29" si="8">-$B$10*C28</f>
        <v>-1318.433733</v>
      </c>
      <c r="D29" s="40">
        <f t="shared" si="8"/>
        <v>-1571.600793</v>
      </c>
      <c r="E29" s="40">
        <f t="shared" si="8"/>
        <v>-1819.121571</v>
      </c>
      <c r="F29" s="40">
        <f t="shared" si="8"/>
        <v>-2091.508321</v>
      </c>
      <c r="G29" s="40">
        <f t="shared" si="8"/>
        <v>-2390.820123</v>
      </c>
      <c r="H29" s="40">
        <f t="shared" si="8"/>
        <v>-2719.270404</v>
      </c>
      <c r="I29" s="41">
        <f t="shared" si="8"/>
        <v>-3079.237828</v>
      </c>
      <c r="J29" s="29"/>
      <c r="K29" s="29"/>
      <c r="L29" s="29"/>
      <c r="M29" s="29"/>
      <c r="N29" s="29"/>
      <c r="O29" s="29"/>
      <c r="P29" s="29"/>
      <c r="Q29" s="29"/>
      <c r="R29" s="29"/>
      <c r="S29" s="29"/>
      <c r="T29" s="29"/>
      <c r="U29" s="29"/>
      <c r="V29" s="29"/>
      <c r="W29" s="29"/>
      <c r="X29" s="29"/>
      <c r="Y29" s="29"/>
      <c r="Z29" s="29"/>
    </row>
    <row r="30">
      <c r="A30" s="36" t="s">
        <v>44</v>
      </c>
      <c r="B30" s="40">
        <f t="shared" ref="B30:I30" si="9">SUM(B28:B29)</f>
        <v>3307.4</v>
      </c>
      <c r="C30" s="40">
        <f t="shared" si="9"/>
        <v>3955.3012</v>
      </c>
      <c r="D30" s="40">
        <f t="shared" si="9"/>
        <v>4714.80238</v>
      </c>
      <c r="E30" s="40">
        <f t="shared" si="9"/>
        <v>5457.364713</v>
      </c>
      <c r="F30" s="40">
        <f t="shared" si="9"/>
        <v>6274.524963</v>
      </c>
      <c r="G30" s="40">
        <f t="shared" si="9"/>
        <v>7172.46037</v>
      </c>
      <c r="H30" s="40">
        <f t="shared" si="9"/>
        <v>8157.811211</v>
      </c>
      <c r="I30" s="41">
        <f t="shared" si="9"/>
        <v>9237.713485</v>
      </c>
      <c r="J30" s="29"/>
      <c r="K30" s="29"/>
      <c r="L30" s="29"/>
      <c r="M30" s="29"/>
      <c r="N30" s="29"/>
      <c r="O30" s="29"/>
      <c r="P30" s="29"/>
      <c r="Q30" s="29"/>
      <c r="R30" s="29"/>
      <c r="S30" s="29"/>
      <c r="T30" s="29"/>
      <c r="U30" s="29"/>
      <c r="V30" s="29"/>
      <c r="W30" s="29"/>
      <c r="X30" s="29"/>
      <c r="Y30" s="29"/>
      <c r="Z30" s="29"/>
    </row>
    <row r="31">
      <c r="A31" s="36" t="s">
        <v>45</v>
      </c>
      <c r="B31" s="40">
        <f>-728</f>
        <v>-728</v>
      </c>
      <c r="C31" s="38">
        <f t="shared" ref="C31:I31" si="10">$B$11*C30</f>
        <v>-996.5885683</v>
      </c>
      <c r="D31" s="38">
        <f t="shared" si="10"/>
        <v>-1187.954574</v>
      </c>
      <c r="E31" s="38">
        <f t="shared" si="10"/>
        <v>-1375.052622</v>
      </c>
      <c r="F31" s="38">
        <f t="shared" si="10"/>
        <v>-1580.946566</v>
      </c>
      <c r="G31" s="38">
        <f t="shared" si="10"/>
        <v>-1807.192841</v>
      </c>
      <c r="H31" s="38">
        <f t="shared" si="10"/>
        <v>-2055.464548</v>
      </c>
      <c r="I31" s="39">
        <f t="shared" si="10"/>
        <v>-2327.559695</v>
      </c>
      <c r="J31" s="29"/>
      <c r="K31" s="29"/>
      <c r="L31" s="29"/>
      <c r="M31" s="29"/>
      <c r="N31" s="29"/>
      <c r="O31" s="29"/>
      <c r="P31" s="29"/>
      <c r="Q31" s="29"/>
      <c r="R31" s="29"/>
      <c r="S31" s="29"/>
      <c r="T31" s="29"/>
      <c r="U31" s="29"/>
      <c r="V31" s="29"/>
      <c r="W31" s="29"/>
      <c r="X31" s="29"/>
      <c r="Y31" s="29"/>
      <c r="Z31" s="29"/>
    </row>
    <row r="32">
      <c r="A32" s="36" t="s">
        <v>46</v>
      </c>
      <c r="B32" s="37">
        <v>28343.3</v>
      </c>
      <c r="C32" s="40">
        <f t="shared" ref="C32:I32" si="11">SUM(C30:C31)</f>
        <v>2958.712632</v>
      </c>
      <c r="D32" s="40">
        <f t="shared" si="11"/>
        <v>3526.847806</v>
      </c>
      <c r="E32" s="40">
        <f t="shared" si="11"/>
        <v>4082.312091</v>
      </c>
      <c r="F32" s="40">
        <f t="shared" si="11"/>
        <v>4693.578397</v>
      </c>
      <c r="G32" s="40">
        <f t="shared" si="11"/>
        <v>5365.26753</v>
      </c>
      <c r="H32" s="40">
        <f t="shared" si="11"/>
        <v>6102.346662</v>
      </c>
      <c r="I32" s="41">
        <f t="shared" si="11"/>
        <v>6910.15379</v>
      </c>
      <c r="J32" s="29"/>
      <c r="K32" s="29"/>
      <c r="L32" s="29"/>
      <c r="M32" s="29"/>
      <c r="N32" s="29"/>
      <c r="O32" s="29"/>
      <c r="P32" s="29"/>
      <c r="Q32" s="29"/>
      <c r="R32" s="29"/>
      <c r="S32" s="29"/>
      <c r="T32" s="29"/>
      <c r="U32" s="29"/>
      <c r="V32" s="29"/>
      <c r="W32" s="29"/>
      <c r="X32" s="29"/>
      <c r="Y32" s="29"/>
      <c r="Z32" s="29"/>
    </row>
    <row r="33">
      <c r="A33" s="36"/>
      <c r="B33" s="40"/>
      <c r="C33" s="29"/>
      <c r="D33" s="29"/>
      <c r="E33" s="29"/>
      <c r="F33" s="29"/>
      <c r="G33" s="29"/>
      <c r="H33" s="29"/>
      <c r="I33" s="35"/>
      <c r="J33" s="29"/>
      <c r="K33" s="29"/>
      <c r="L33" s="29"/>
      <c r="M33" s="29"/>
      <c r="N33" s="29"/>
      <c r="O33" s="29"/>
      <c r="P33" s="29"/>
      <c r="Q33" s="29"/>
      <c r="R33" s="29"/>
      <c r="S33" s="29"/>
      <c r="T33" s="29"/>
      <c r="U33" s="29"/>
      <c r="V33" s="29"/>
      <c r="W33" s="29"/>
      <c r="X33" s="29"/>
      <c r="Y33" s="29"/>
      <c r="Z33" s="29"/>
    </row>
    <row r="34">
      <c r="A34" s="34" t="s">
        <v>47</v>
      </c>
      <c r="B34" s="40"/>
      <c r="C34" s="29"/>
      <c r="I34" s="42"/>
      <c r="J34" s="29"/>
      <c r="K34" s="29"/>
      <c r="L34" s="29"/>
      <c r="M34" s="29"/>
      <c r="N34" s="29"/>
      <c r="O34" s="29"/>
      <c r="P34" s="29"/>
      <c r="Q34" s="29"/>
      <c r="R34" s="29"/>
      <c r="S34" s="29"/>
      <c r="T34" s="29"/>
      <c r="U34" s="29"/>
      <c r="V34" s="29"/>
      <c r="W34" s="29"/>
      <c r="X34" s="29"/>
      <c r="Y34" s="29"/>
      <c r="Z34" s="29"/>
    </row>
    <row r="35">
      <c r="A35" s="43" t="s">
        <v>48</v>
      </c>
      <c r="B35" s="40">
        <f>9232</f>
        <v>9232</v>
      </c>
      <c r="C35" s="37">
        <f t="shared" ref="C35:I35" si="12">C48-C36-C37-C41</f>
        <v>18112.40683</v>
      </c>
      <c r="D35" s="37">
        <f t="shared" si="12"/>
        <v>21018.9779</v>
      </c>
      <c r="E35" s="37">
        <f t="shared" si="12"/>
        <v>24474.94516</v>
      </c>
      <c r="F35" s="37">
        <f t="shared" si="12"/>
        <v>28537.76969</v>
      </c>
      <c r="G35" s="37">
        <f t="shared" si="12"/>
        <v>33269.74762</v>
      </c>
      <c r="H35" s="37">
        <f t="shared" si="12"/>
        <v>38738.37565</v>
      </c>
      <c r="I35" s="44">
        <f t="shared" si="12"/>
        <v>45016.74242</v>
      </c>
      <c r="J35" s="45"/>
      <c r="K35" s="46"/>
      <c r="L35" s="29"/>
      <c r="M35" s="29"/>
      <c r="N35" s="29"/>
      <c r="O35" s="29"/>
      <c r="P35" s="29"/>
      <c r="Q35" s="29"/>
      <c r="R35" s="29"/>
      <c r="S35" s="29"/>
      <c r="T35" s="29"/>
      <c r="U35" s="29"/>
      <c r="V35" s="29"/>
      <c r="W35" s="29"/>
      <c r="X35" s="29"/>
      <c r="Y35" s="29"/>
      <c r="Z35" s="29"/>
    </row>
    <row r="36">
      <c r="A36" s="36" t="s">
        <v>49</v>
      </c>
      <c r="B36" s="40">
        <f>17227.1</f>
        <v>17227.1</v>
      </c>
      <c r="C36" s="40">
        <f t="shared" ref="C36:I36" si="13">$B$3*C23</f>
        <v>16904.57488</v>
      </c>
      <c r="D36" s="40">
        <f t="shared" si="13"/>
        <v>17886.73068</v>
      </c>
      <c r="E36" s="40">
        <f t="shared" si="13"/>
        <v>18925.94973</v>
      </c>
      <c r="F36" s="40">
        <f t="shared" si="13"/>
        <v>20025.54741</v>
      </c>
      <c r="G36" s="40">
        <f t="shared" si="13"/>
        <v>21189.03171</v>
      </c>
      <c r="H36" s="40">
        <f t="shared" si="13"/>
        <v>22420.11446</v>
      </c>
      <c r="I36" s="41">
        <f t="shared" si="13"/>
        <v>23722.72311</v>
      </c>
      <c r="J36" s="29"/>
      <c r="K36" s="29"/>
      <c r="L36" s="29"/>
      <c r="M36" s="29"/>
      <c r="N36" s="29"/>
      <c r="O36" s="29"/>
      <c r="P36" s="29"/>
      <c r="Q36" s="29"/>
      <c r="R36" s="29"/>
      <c r="S36" s="29"/>
      <c r="T36" s="29"/>
      <c r="U36" s="29"/>
      <c r="V36" s="29"/>
      <c r="W36" s="29"/>
      <c r="X36" s="29"/>
      <c r="Y36" s="29"/>
      <c r="Z36" s="29"/>
    </row>
    <row r="37">
      <c r="A37" s="43" t="s">
        <v>50</v>
      </c>
      <c r="B37" s="40">
        <f>47843.4-B41</f>
        <v>34718.1</v>
      </c>
      <c r="C37" s="40">
        <f t="shared" ref="C37:I37" si="14">C42*$B$13</f>
        <v>41201.39935</v>
      </c>
      <c r="D37" s="40">
        <f t="shared" si="14"/>
        <v>45157.36216</v>
      </c>
      <c r="E37" s="40">
        <f t="shared" si="14"/>
        <v>49663.75085</v>
      </c>
      <c r="F37" s="40">
        <f t="shared" si="14"/>
        <v>54774.06312</v>
      </c>
      <c r="G37" s="40">
        <f t="shared" si="14"/>
        <v>60546.16567</v>
      </c>
      <c r="H37" s="40">
        <f t="shared" si="14"/>
        <v>67042.61938</v>
      </c>
      <c r="I37" s="41">
        <f t="shared" si="14"/>
        <v>74331.02718</v>
      </c>
      <c r="J37" s="29"/>
      <c r="K37" s="29"/>
      <c r="L37" s="29"/>
      <c r="M37" s="29"/>
      <c r="N37" s="29"/>
      <c r="O37" s="29"/>
      <c r="P37" s="29"/>
      <c r="Q37" s="29"/>
      <c r="R37" s="29"/>
      <c r="S37" s="29"/>
      <c r="T37" s="29"/>
      <c r="U37" s="29"/>
      <c r="V37" s="29"/>
      <c r="W37" s="29"/>
      <c r="X37" s="29"/>
      <c r="Y37" s="29"/>
      <c r="Z37" s="29"/>
    </row>
    <row r="38">
      <c r="A38" s="36" t="s">
        <v>51</v>
      </c>
      <c r="B38" s="40"/>
      <c r="C38" s="29"/>
      <c r="D38" s="29"/>
      <c r="E38" s="29"/>
      <c r="F38" s="29"/>
      <c r="G38" s="29"/>
      <c r="H38" s="29"/>
      <c r="I38" s="35"/>
      <c r="J38" s="29"/>
      <c r="K38" s="29"/>
      <c r="L38" s="29"/>
      <c r="M38" s="29"/>
      <c r="N38" s="29"/>
      <c r="O38" s="29"/>
      <c r="P38" s="29"/>
      <c r="Q38" s="29"/>
      <c r="R38" s="29"/>
      <c r="S38" s="29"/>
      <c r="T38" s="29"/>
      <c r="U38" s="29"/>
      <c r="V38" s="29"/>
      <c r="W38" s="29"/>
      <c r="X38" s="29"/>
      <c r="Y38" s="29"/>
      <c r="Z38" s="29"/>
    </row>
    <row r="39">
      <c r="A39" s="36" t="s">
        <v>52</v>
      </c>
      <c r="B39" s="40">
        <f>29800.5</f>
        <v>29800.5</v>
      </c>
      <c r="C39" s="40">
        <f t="shared" ref="C39:I39" si="15">C41-C40</f>
        <v>32643.44406</v>
      </c>
      <c r="D39" s="40">
        <f t="shared" si="15"/>
        <v>35728.29208</v>
      </c>
      <c r="E39" s="40">
        <f t="shared" si="15"/>
        <v>39074.27826</v>
      </c>
      <c r="F39" s="40">
        <f t="shared" si="15"/>
        <v>42702.22077</v>
      </c>
      <c r="G39" s="40">
        <f t="shared" si="15"/>
        <v>46634.53651</v>
      </c>
      <c r="H39" s="40">
        <f t="shared" si="15"/>
        <v>50895.36083</v>
      </c>
      <c r="I39" s="41">
        <f t="shared" si="15"/>
        <v>55510.67602</v>
      </c>
      <c r="J39" s="29"/>
      <c r="K39" s="29"/>
      <c r="L39" s="29"/>
      <c r="M39" s="29"/>
      <c r="N39" s="29"/>
      <c r="O39" s="29"/>
      <c r="P39" s="29"/>
      <c r="Q39" s="29"/>
      <c r="R39" s="29"/>
      <c r="S39" s="29"/>
      <c r="T39" s="29"/>
      <c r="U39" s="29"/>
      <c r="V39" s="29"/>
      <c r="W39" s="29"/>
      <c r="X39" s="29"/>
      <c r="Y39" s="29"/>
      <c r="Z39" s="29"/>
    </row>
    <row r="40">
      <c r="A40" s="36" t="s">
        <v>53</v>
      </c>
      <c r="B40" s="37">
        <v>-16675.1</v>
      </c>
      <c r="C40" s="40">
        <f t="shared" ref="C40:I40" si="16">B40+C27</f>
        <v>-18755.56413</v>
      </c>
      <c r="D40" s="40">
        <f t="shared" si="16"/>
        <v>-21033.52633</v>
      </c>
      <c r="E40" s="40">
        <f t="shared" si="16"/>
        <v>-23525.74662</v>
      </c>
      <c r="F40" s="40">
        <f t="shared" si="16"/>
        <v>-26250.31944</v>
      </c>
      <c r="G40" s="40">
        <f t="shared" si="16"/>
        <v>-29226.77971</v>
      </c>
      <c r="H40" s="40">
        <f t="shared" si="16"/>
        <v>-32476.21336</v>
      </c>
      <c r="I40" s="41">
        <f t="shared" si="16"/>
        <v>-36021.37608</v>
      </c>
      <c r="J40" s="29"/>
      <c r="K40" s="29"/>
      <c r="L40" s="29"/>
      <c r="M40" s="29"/>
      <c r="N40" s="29"/>
      <c r="O40" s="29"/>
      <c r="P40" s="29"/>
      <c r="Q40" s="29"/>
      <c r="R40" s="29"/>
      <c r="S40" s="29"/>
      <c r="T40" s="29"/>
      <c r="U40" s="29"/>
      <c r="V40" s="29"/>
      <c r="W40" s="29"/>
      <c r="X40" s="29"/>
      <c r="Y40" s="29"/>
      <c r="Z40" s="29"/>
    </row>
    <row r="41">
      <c r="A41" s="36" t="s">
        <v>54</v>
      </c>
      <c r="B41" s="47">
        <f>13125.3</f>
        <v>13125.3</v>
      </c>
      <c r="C41" s="47">
        <f t="shared" ref="C41:I41" si="17">$B$5*C23</f>
        <v>13887.87993</v>
      </c>
      <c r="D41" s="47">
        <f t="shared" si="17"/>
        <v>14694.76575</v>
      </c>
      <c r="E41" s="47">
        <f t="shared" si="17"/>
        <v>15548.53164</v>
      </c>
      <c r="F41" s="47">
        <f t="shared" si="17"/>
        <v>16451.90133</v>
      </c>
      <c r="G41" s="47">
        <f t="shared" si="17"/>
        <v>17407.7568</v>
      </c>
      <c r="H41" s="47">
        <f t="shared" si="17"/>
        <v>18419.14747</v>
      </c>
      <c r="I41" s="48">
        <f t="shared" si="17"/>
        <v>19489.29994</v>
      </c>
      <c r="J41" s="29"/>
      <c r="K41" s="29"/>
      <c r="L41" s="29"/>
      <c r="M41" s="29"/>
      <c r="N41" s="29"/>
      <c r="O41" s="29"/>
      <c r="P41" s="29"/>
      <c r="Q41" s="29"/>
      <c r="R41" s="29"/>
      <c r="S41" s="29"/>
      <c r="T41" s="29"/>
      <c r="U41" s="29"/>
      <c r="V41" s="29"/>
      <c r="W41" s="29"/>
      <c r="X41" s="29"/>
      <c r="Y41" s="29"/>
      <c r="Z41" s="29"/>
    </row>
    <row r="42">
      <c r="A42" s="34" t="s">
        <v>55</v>
      </c>
      <c r="B42" s="40">
        <f t="shared" ref="B42:I42" si="18">B35+B36+B41+B37</f>
        <v>74302.5</v>
      </c>
      <c r="C42" s="40">
        <f t="shared" si="18"/>
        <v>90106.26098</v>
      </c>
      <c r="D42" s="40">
        <f t="shared" si="18"/>
        <v>98757.83649</v>
      </c>
      <c r="E42" s="40">
        <f t="shared" si="18"/>
        <v>108613.1774</v>
      </c>
      <c r="F42" s="40">
        <f t="shared" si="18"/>
        <v>119789.2815</v>
      </c>
      <c r="G42" s="40">
        <f t="shared" si="18"/>
        <v>132412.7018</v>
      </c>
      <c r="H42" s="40">
        <f t="shared" si="18"/>
        <v>146620.257</v>
      </c>
      <c r="I42" s="41">
        <f t="shared" si="18"/>
        <v>162559.7926</v>
      </c>
      <c r="J42" s="29"/>
      <c r="K42" s="29"/>
      <c r="L42" s="29"/>
      <c r="M42" s="29"/>
      <c r="N42" s="29"/>
      <c r="O42" s="29"/>
      <c r="P42" s="29"/>
      <c r="Q42" s="29"/>
      <c r="R42" s="29"/>
      <c r="S42" s="29"/>
      <c r="T42" s="29"/>
      <c r="U42" s="29"/>
      <c r="V42" s="29"/>
      <c r="W42" s="29"/>
      <c r="X42" s="29"/>
      <c r="Y42" s="29"/>
      <c r="Z42" s="29"/>
    </row>
    <row r="43">
      <c r="A43" s="36"/>
      <c r="B43" s="40"/>
      <c r="C43" s="29"/>
      <c r="D43" s="29"/>
      <c r="E43" s="29"/>
      <c r="F43" s="29"/>
      <c r="G43" s="29"/>
      <c r="H43" s="29"/>
      <c r="I43" s="35"/>
      <c r="J43" s="29"/>
      <c r="K43" s="29"/>
      <c r="L43" s="29"/>
      <c r="M43" s="29"/>
      <c r="N43" s="29"/>
      <c r="O43" s="29"/>
      <c r="P43" s="29"/>
      <c r="Q43" s="29"/>
      <c r="R43" s="29"/>
      <c r="S43" s="29"/>
      <c r="T43" s="29"/>
      <c r="U43" s="29"/>
      <c r="V43" s="29"/>
      <c r="W43" s="29"/>
      <c r="X43" s="29"/>
      <c r="Y43" s="29"/>
      <c r="Z43" s="29"/>
    </row>
    <row r="44">
      <c r="A44" s="36" t="s">
        <v>56</v>
      </c>
      <c r="B44" s="40">
        <f>23959.7</f>
        <v>23959.7</v>
      </c>
      <c r="C44" s="40">
        <f t="shared" ref="C44:I44" si="19">$B$4*C23</f>
        <v>26339.68644</v>
      </c>
      <c r="D44" s="40">
        <f t="shared" si="19"/>
        <v>27870.02222</v>
      </c>
      <c r="E44" s="40">
        <f t="shared" si="19"/>
        <v>29489.27051</v>
      </c>
      <c r="F44" s="40">
        <f t="shared" si="19"/>
        <v>31202.59713</v>
      </c>
      <c r="G44" s="40">
        <f t="shared" si="19"/>
        <v>33015.46802</v>
      </c>
      <c r="H44" s="40">
        <f t="shared" si="19"/>
        <v>34933.66671</v>
      </c>
      <c r="I44" s="41">
        <f t="shared" si="19"/>
        <v>36963.31275</v>
      </c>
      <c r="J44" s="29"/>
      <c r="K44" s="29"/>
      <c r="L44" s="29"/>
      <c r="M44" s="29"/>
      <c r="N44" s="29"/>
      <c r="O44" s="29"/>
      <c r="P44" s="29"/>
      <c r="Q44" s="29"/>
      <c r="R44" s="29"/>
      <c r="S44" s="29"/>
      <c r="T44" s="29"/>
      <c r="U44" s="29"/>
      <c r="V44" s="29"/>
      <c r="W44" s="29"/>
      <c r="X44" s="29"/>
      <c r="Y44" s="29"/>
      <c r="Z44" s="29"/>
    </row>
    <row r="45">
      <c r="A45" s="36" t="s">
        <v>57</v>
      </c>
      <c r="B45" s="37">
        <v>21079.3</v>
      </c>
      <c r="C45" s="40">
        <f t="shared" ref="C45:I45" si="20">(C46+C47)*C63</f>
        <v>31883.28727</v>
      </c>
      <c r="D45" s="40">
        <f t="shared" si="20"/>
        <v>35443.90714</v>
      </c>
      <c r="E45" s="40">
        <f t="shared" si="20"/>
        <v>39561.95344</v>
      </c>
      <c r="F45" s="40">
        <f t="shared" si="20"/>
        <v>44293.34221</v>
      </c>
      <c r="G45" s="40">
        <f t="shared" si="20"/>
        <v>49698.61689</v>
      </c>
      <c r="H45" s="40">
        <f t="shared" si="20"/>
        <v>55843.29512</v>
      </c>
      <c r="I45" s="41">
        <f t="shared" si="20"/>
        <v>62798.23995</v>
      </c>
      <c r="J45" s="29"/>
      <c r="K45" s="29"/>
      <c r="L45" s="29"/>
      <c r="M45" s="29"/>
      <c r="N45" s="29"/>
      <c r="O45" s="29"/>
      <c r="P45" s="29"/>
      <c r="Q45" s="29"/>
      <c r="R45" s="29"/>
      <c r="S45" s="29"/>
      <c r="T45" s="29"/>
      <c r="U45" s="29"/>
      <c r="V45" s="29"/>
      <c r="W45" s="29"/>
      <c r="X45" s="29"/>
      <c r="Y45" s="29"/>
      <c r="Z45" s="29"/>
    </row>
    <row r="46">
      <c r="A46" s="36" t="s">
        <v>58</v>
      </c>
      <c r="B46" s="37">
        <f> 895.8 + 925.5 - 900.4</f>
        <v>920.9</v>
      </c>
      <c r="C46" s="40">
        <f t="shared" ref="C46:I46" si="21">$B$14*C23</f>
        <v>581.2746417</v>
      </c>
      <c r="D46" s="40">
        <f t="shared" si="21"/>
        <v>615.0466984</v>
      </c>
      <c r="E46" s="40">
        <f t="shared" si="21"/>
        <v>650.7809116</v>
      </c>
      <c r="F46" s="40">
        <f t="shared" si="21"/>
        <v>688.5912825</v>
      </c>
      <c r="G46" s="40">
        <f t="shared" si="21"/>
        <v>728.598436</v>
      </c>
      <c r="H46" s="40">
        <f t="shared" si="21"/>
        <v>770.9300052</v>
      </c>
      <c r="I46" s="41">
        <f t="shared" si="21"/>
        <v>815.7210385</v>
      </c>
      <c r="J46" s="29"/>
      <c r="K46" s="29"/>
      <c r="L46" s="29"/>
      <c r="M46" s="29"/>
      <c r="N46" s="29"/>
      <c r="O46" s="29"/>
      <c r="P46" s="29"/>
      <c r="Q46" s="29"/>
      <c r="R46" s="29"/>
      <c r="S46" s="29"/>
      <c r="T46" s="29"/>
      <c r="U46" s="29"/>
      <c r="V46" s="29"/>
      <c r="W46" s="29"/>
      <c r="X46" s="29"/>
      <c r="Y46" s="29"/>
      <c r="Z46" s="29"/>
    </row>
    <row r="47">
      <c r="A47" s="36" t="s">
        <v>59</v>
      </c>
      <c r="B47" s="37">
        <v>28343.3</v>
      </c>
      <c r="C47" s="40">
        <f t="shared" ref="C47:I47" si="22">B47+C32</f>
        <v>31302.01263</v>
      </c>
      <c r="D47" s="40">
        <f t="shared" si="22"/>
        <v>34828.86044</v>
      </c>
      <c r="E47" s="40">
        <f t="shared" si="22"/>
        <v>38911.17253</v>
      </c>
      <c r="F47" s="40">
        <f t="shared" si="22"/>
        <v>43604.75093</v>
      </c>
      <c r="G47" s="40">
        <f t="shared" si="22"/>
        <v>48970.01846</v>
      </c>
      <c r="H47" s="40">
        <f t="shared" si="22"/>
        <v>55072.36512</v>
      </c>
      <c r="I47" s="41">
        <f t="shared" si="22"/>
        <v>61982.51891</v>
      </c>
      <c r="J47" s="29"/>
      <c r="K47" s="29"/>
      <c r="L47" s="29"/>
      <c r="M47" s="29"/>
      <c r="N47" s="29"/>
      <c r="O47" s="29"/>
      <c r="P47" s="29"/>
      <c r="Q47" s="29"/>
      <c r="R47" s="29"/>
      <c r="S47" s="29"/>
      <c r="T47" s="29"/>
      <c r="U47" s="29"/>
      <c r="V47" s="29"/>
      <c r="W47" s="29"/>
      <c r="X47" s="29"/>
      <c r="Y47" s="29"/>
      <c r="Z47" s="29"/>
    </row>
    <row r="48">
      <c r="A48" s="34" t="s">
        <v>60</v>
      </c>
      <c r="B48" s="40">
        <f t="shared" ref="B48:I48" si="23">SUM(B44:B47)</f>
        <v>74303.2</v>
      </c>
      <c r="C48" s="40">
        <f t="shared" si="23"/>
        <v>90106.26098</v>
      </c>
      <c r="D48" s="40">
        <f t="shared" si="23"/>
        <v>98757.83649</v>
      </c>
      <c r="E48" s="40">
        <f t="shared" si="23"/>
        <v>108613.1774</v>
      </c>
      <c r="F48" s="40">
        <f t="shared" si="23"/>
        <v>119789.2815</v>
      </c>
      <c r="G48" s="40">
        <f t="shared" si="23"/>
        <v>132412.7018</v>
      </c>
      <c r="H48" s="40">
        <f t="shared" si="23"/>
        <v>146620.257</v>
      </c>
      <c r="I48" s="41">
        <f t="shared" si="23"/>
        <v>162559.7926</v>
      </c>
      <c r="J48" s="29"/>
      <c r="K48" s="29"/>
      <c r="L48" s="29"/>
      <c r="M48" s="29"/>
      <c r="N48" s="29"/>
      <c r="O48" s="29"/>
      <c r="P48" s="29"/>
      <c r="Q48" s="29"/>
      <c r="R48" s="29"/>
      <c r="S48" s="29"/>
      <c r="T48" s="29"/>
      <c r="U48" s="29"/>
      <c r="V48" s="29"/>
      <c r="W48" s="29"/>
      <c r="X48" s="29"/>
      <c r="Y48" s="29"/>
      <c r="Z48" s="29"/>
    </row>
    <row r="49">
      <c r="A49" s="34"/>
      <c r="B49" s="40"/>
      <c r="C49" s="40"/>
      <c r="D49" s="40"/>
      <c r="E49" s="40"/>
      <c r="F49" s="40"/>
      <c r="G49" s="40"/>
      <c r="H49" s="40"/>
      <c r="I49" s="41"/>
      <c r="J49" s="29"/>
      <c r="K49" s="29"/>
      <c r="L49" s="29"/>
      <c r="M49" s="40"/>
      <c r="N49" s="49"/>
      <c r="O49" s="29"/>
      <c r="P49" s="29"/>
      <c r="Q49" s="29"/>
      <c r="R49" s="29"/>
      <c r="S49" s="29"/>
      <c r="T49" s="29"/>
      <c r="U49" s="29"/>
      <c r="V49" s="29"/>
      <c r="W49" s="29"/>
      <c r="X49" s="29"/>
      <c r="Y49" s="29"/>
      <c r="Z49" s="29"/>
    </row>
    <row r="50">
      <c r="A50" s="50" t="s">
        <v>61</v>
      </c>
      <c r="B50" s="51">
        <f t="shared" ref="B50:I50" si="24">SUM(B46:B47)</f>
        <v>29264.2</v>
      </c>
      <c r="C50" s="51">
        <f t="shared" si="24"/>
        <v>31883.28727</v>
      </c>
      <c r="D50" s="51">
        <f t="shared" si="24"/>
        <v>35443.90714</v>
      </c>
      <c r="E50" s="51">
        <f t="shared" si="24"/>
        <v>39561.95344</v>
      </c>
      <c r="F50" s="51">
        <f t="shared" si="24"/>
        <v>44293.34221</v>
      </c>
      <c r="G50" s="51">
        <f t="shared" si="24"/>
        <v>49698.61689</v>
      </c>
      <c r="H50" s="51">
        <f t="shared" si="24"/>
        <v>55843.29512</v>
      </c>
      <c r="I50" s="52">
        <f t="shared" si="24"/>
        <v>62798.23995</v>
      </c>
      <c r="J50" s="29"/>
      <c r="K50" s="29"/>
      <c r="L50" s="29"/>
      <c r="M50" s="40"/>
      <c r="N50" s="49"/>
      <c r="O50" s="29"/>
      <c r="P50" s="29"/>
      <c r="Q50" s="29"/>
      <c r="R50" s="29"/>
      <c r="S50" s="29"/>
      <c r="T50" s="29"/>
      <c r="U50" s="29"/>
      <c r="V50" s="29"/>
      <c r="W50" s="29"/>
      <c r="X50" s="29"/>
      <c r="Y50" s="29"/>
      <c r="Z50" s="29"/>
    </row>
    <row r="51">
      <c r="A51" s="36"/>
      <c r="B51" s="29"/>
      <c r="C51" s="29"/>
      <c r="D51" s="29"/>
      <c r="E51" s="29"/>
      <c r="F51" s="29"/>
      <c r="G51" s="29"/>
      <c r="H51" s="29"/>
      <c r="I51" s="35"/>
      <c r="J51" s="29"/>
      <c r="K51" s="29"/>
      <c r="L51" s="29"/>
      <c r="M51" s="40"/>
      <c r="N51" s="29"/>
      <c r="O51" s="29"/>
      <c r="P51" s="29"/>
      <c r="Q51" s="29"/>
      <c r="R51" s="29"/>
      <c r="S51" s="29"/>
      <c r="T51" s="29"/>
      <c r="U51" s="29"/>
      <c r="V51" s="29"/>
      <c r="W51" s="29"/>
      <c r="X51" s="29"/>
      <c r="Y51" s="29"/>
      <c r="Z51" s="29"/>
    </row>
    <row r="52">
      <c r="A52" s="53" t="s">
        <v>62</v>
      </c>
      <c r="B52" s="54">
        <f t="shared" ref="B52:I52" si="25">(B30+B31)/B50</f>
        <v>0.08814182517</v>
      </c>
      <c r="C52" s="54">
        <f t="shared" si="25"/>
        <v>0.0927982302</v>
      </c>
      <c r="D52" s="54">
        <f t="shared" si="25"/>
        <v>0.09950505152</v>
      </c>
      <c r="E52" s="54">
        <f t="shared" si="25"/>
        <v>0.1031878291</v>
      </c>
      <c r="F52" s="54">
        <f t="shared" si="25"/>
        <v>0.1059657764</v>
      </c>
      <c r="G52" s="54">
        <f t="shared" si="25"/>
        <v>0.1079560733</v>
      </c>
      <c r="H52" s="54">
        <f t="shared" si="25"/>
        <v>0.109276264</v>
      </c>
      <c r="I52" s="55">
        <f t="shared" si="25"/>
        <v>0.11003738</v>
      </c>
      <c r="J52" s="29"/>
      <c r="K52" s="29"/>
      <c r="L52" s="29"/>
      <c r="M52" s="29"/>
      <c r="N52" s="29"/>
      <c r="O52" s="29"/>
      <c r="P52" s="29"/>
      <c r="Q52" s="29"/>
      <c r="R52" s="29"/>
      <c r="S52" s="29"/>
      <c r="T52" s="29"/>
      <c r="U52" s="29"/>
      <c r="V52" s="29"/>
      <c r="W52" s="29"/>
      <c r="X52" s="29"/>
      <c r="Y52" s="29"/>
      <c r="Z52" s="29"/>
    </row>
    <row r="53">
      <c r="A53" s="50" t="s">
        <v>63</v>
      </c>
      <c r="B53" s="56">
        <f t="shared" ref="B53:I53" si="26">(B30+B31)/B23</f>
        <v>0.06942399668</v>
      </c>
      <c r="C53" s="56">
        <f t="shared" si="26"/>
        <v>0.07526048073</v>
      </c>
      <c r="D53" s="56">
        <f t="shared" si="26"/>
        <v>0.0847860117</v>
      </c>
      <c r="E53" s="56">
        <f t="shared" si="26"/>
        <v>0.09275065317</v>
      </c>
      <c r="F53" s="56">
        <f t="shared" si="26"/>
        <v>0.1007831981</v>
      </c>
      <c r="G53" s="56">
        <f t="shared" si="26"/>
        <v>0.1088801541</v>
      </c>
      <c r="H53" s="56">
        <f t="shared" si="26"/>
        <v>0.1170381654</v>
      </c>
      <c r="I53" s="57">
        <f t="shared" si="26"/>
        <v>0.1252540072</v>
      </c>
      <c r="J53" s="29"/>
      <c r="K53" s="29"/>
      <c r="L53" s="29"/>
      <c r="M53" s="58"/>
      <c r="N53" s="59"/>
      <c r="O53" s="29"/>
      <c r="P53" s="29"/>
      <c r="Q53" s="29"/>
      <c r="R53" s="29"/>
      <c r="S53" s="29"/>
      <c r="T53" s="29"/>
      <c r="U53" s="29"/>
      <c r="V53" s="29"/>
      <c r="W53" s="29"/>
      <c r="X53" s="29"/>
      <c r="Y53" s="29"/>
      <c r="Z53" s="29"/>
    </row>
    <row r="54">
      <c r="A54" s="50" t="s">
        <v>64</v>
      </c>
      <c r="B54" s="56">
        <f t="shared" ref="B54:I54" si="27">B23/B42</f>
        <v>0.5000410484</v>
      </c>
      <c r="C54" s="56">
        <f t="shared" si="27"/>
        <v>0.4362955959</v>
      </c>
      <c r="D54" s="56">
        <f t="shared" si="27"/>
        <v>0.4212025047</v>
      </c>
      <c r="E54" s="56">
        <f t="shared" si="27"/>
        <v>0.4052347757</v>
      </c>
      <c r="F54" s="56">
        <f t="shared" si="27"/>
        <v>0.3887746874</v>
      </c>
      <c r="G54" s="56">
        <f t="shared" si="27"/>
        <v>0.3721457025</v>
      </c>
      <c r="H54" s="56">
        <f t="shared" si="27"/>
        <v>0.3556111696</v>
      </c>
      <c r="I54" s="57">
        <f t="shared" si="27"/>
        <v>0.339377423</v>
      </c>
      <c r="J54" s="29"/>
      <c r="K54" s="29"/>
      <c r="L54" s="60" t="s">
        <v>65</v>
      </c>
      <c r="M54" s="61">
        <f>J57</f>
        <v>0.0728</v>
      </c>
      <c r="N54" s="29"/>
      <c r="O54" s="29"/>
      <c r="P54" s="29"/>
      <c r="Q54" s="29"/>
      <c r="R54" s="29"/>
      <c r="S54" s="29"/>
      <c r="T54" s="29"/>
      <c r="U54" s="29"/>
      <c r="V54" s="29"/>
      <c r="W54" s="29"/>
      <c r="X54" s="29"/>
      <c r="Y54" s="29"/>
      <c r="Z54" s="29"/>
    </row>
    <row r="55">
      <c r="A55" s="50" t="s">
        <v>66</v>
      </c>
      <c r="B55" s="56">
        <f>B42/(B47+B46)</f>
        <v>2.53902379</v>
      </c>
      <c r="C55" s="56">
        <f t="shared" ref="C55:I55" si="28">C42/C50</f>
        <v>2.826128316</v>
      </c>
      <c r="D55" s="56">
        <f t="shared" si="28"/>
        <v>2.786313487</v>
      </c>
      <c r="E55" s="56">
        <f t="shared" si="28"/>
        <v>2.745394702</v>
      </c>
      <c r="F55" s="56">
        <f t="shared" si="28"/>
        <v>2.704453436</v>
      </c>
      <c r="G55" s="56">
        <f t="shared" si="28"/>
        <v>2.664313618</v>
      </c>
      <c r="H55" s="56">
        <f t="shared" si="28"/>
        <v>2.625565999</v>
      </c>
      <c r="I55" s="57">
        <f t="shared" si="28"/>
        <v>2.588604279</v>
      </c>
      <c r="J55" s="29"/>
      <c r="K55" s="29"/>
      <c r="L55" s="29"/>
      <c r="M55" s="29"/>
      <c r="N55" s="29"/>
      <c r="O55" s="29"/>
      <c r="P55" s="29"/>
      <c r="Q55" s="29"/>
      <c r="R55" s="29"/>
      <c r="S55" s="29"/>
      <c r="T55" s="29"/>
      <c r="U55" s="29"/>
      <c r="V55" s="29"/>
      <c r="W55" s="29"/>
      <c r="X55" s="29"/>
      <c r="Y55" s="29"/>
      <c r="Z55" s="29"/>
    </row>
    <row r="56">
      <c r="A56" s="50" t="s">
        <v>67</v>
      </c>
      <c r="B56" s="56">
        <f>B53*B54*B55-B52</f>
        <v>0</v>
      </c>
      <c r="C56" s="56">
        <f t="shared" ref="C56:I56" si="29">C53*C54*C55 -C52</f>
        <v>0</v>
      </c>
      <c r="D56" s="56">
        <f t="shared" si="29"/>
        <v>0</v>
      </c>
      <c r="E56" s="56">
        <f t="shared" si="29"/>
        <v>0</v>
      </c>
      <c r="F56" s="56">
        <f t="shared" si="29"/>
        <v>0</v>
      </c>
      <c r="G56" s="56">
        <f t="shared" si="29"/>
        <v>0</v>
      </c>
      <c r="H56" s="56">
        <f t="shared" si="29"/>
        <v>0</v>
      </c>
      <c r="I56" s="57">
        <f t="shared" si="29"/>
        <v>0</v>
      </c>
      <c r="J56" s="62"/>
      <c r="K56" s="29"/>
      <c r="L56" s="29"/>
      <c r="M56" s="49"/>
      <c r="N56" s="29"/>
      <c r="O56" s="29"/>
      <c r="P56" s="29"/>
      <c r="Q56" s="29"/>
      <c r="R56" s="29"/>
      <c r="S56" s="29"/>
      <c r="T56" s="29"/>
      <c r="U56" s="29"/>
      <c r="V56" s="29"/>
      <c r="W56" s="29"/>
      <c r="X56" s="29"/>
      <c r="Y56" s="29"/>
      <c r="Z56" s="29"/>
    </row>
    <row r="57">
      <c r="A57" s="36"/>
      <c r="B57" s="29"/>
      <c r="C57" s="29"/>
      <c r="D57" s="29"/>
      <c r="E57" s="29"/>
      <c r="F57" s="29"/>
      <c r="G57" s="29"/>
      <c r="H57" s="29"/>
      <c r="I57" s="35"/>
      <c r="J57" s="63">
        <f>M57+M58*M59</f>
        <v>0.0728</v>
      </c>
      <c r="K57" s="64" t="s">
        <v>68</v>
      </c>
      <c r="L57" s="65" t="s">
        <v>69</v>
      </c>
      <c r="M57" s="66">
        <v>0.0428</v>
      </c>
      <c r="N57" s="65"/>
      <c r="O57" s="29"/>
      <c r="P57" s="29"/>
      <c r="Q57" s="29"/>
      <c r="R57" s="29"/>
      <c r="S57" s="29"/>
      <c r="T57" s="29"/>
      <c r="U57" s="29"/>
      <c r="V57" s="29"/>
      <c r="W57" s="29"/>
      <c r="X57" s="29"/>
      <c r="Y57" s="29"/>
      <c r="Z57" s="29"/>
    </row>
    <row r="58">
      <c r="A58" s="67" t="s">
        <v>70</v>
      </c>
      <c r="B58" s="68">
        <f>B52*(1+$B$11)</f>
        <v>0.06593336849</v>
      </c>
      <c r="C58" s="68">
        <f t="shared" ref="C58:I58" si="30">C52*(1+D11)</f>
        <v>0.06211746262</v>
      </c>
      <c r="D58" s="68">
        <f t="shared" si="30"/>
        <v>0.06182020512</v>
      </c>
      <c r="E58" s="68">
        <f t="shared" si="30"/>
        <v>0.0584221487</v>
      </c>
      <c r="F58" s="68">
        <f t="shared" si="30"/>
        <v>0.0561618615</v>
      </c>
      <c r="G58" s="68">
        <f t="shared" si="30"/>
        <v>0.05721671887</v>
      </c>
      <c r="H58" s="68">
        <f t="shared" si="30"/>
        <v>0.05791641994</v>
      </c>
      <c r="I58" s="68">
        <f t="shared" si="30"/>
        <v>0.05831981138</v>
      </c>
      <c r="J58" s="69"/>
      <c r="K58" s="70"/>
      <c r="L58" s="70" t="s">
        <v>71</v>
      </c>
      <c r="M58" s="70">
        <f>0.5</f>
        <v>0.5</v>
      </c>
      <c r="N58" s="70"/>
      <c r="O58" s="29"/>
      <c r="P58" s="29"/>
      <c r="Q58" s="29"/>
      <c r="R58" s="29"/>
      <c r="S58" s="29"/>
      <c r="T58" s="29"/>
      <c r="U58" s="29"/>
      <c r="V58" s="29"/>
      <c r="W58" s="29"/>
      <c r="X58" s="29"/>
      <c r="Y58" s="29"/>
      <c r="Z58" s="29"/>
    </row>
    <row r="59">
      <c r="A59" s="29"/>
      <c r="B59" s="29"/>
      <c r="C59" s="29"/>
      <c r="D59" s="29"/>
      <c r="E59" s="29"/>
      <c r="F59" s="29"/>
      <c r="G59" s="29"/>
      <c r="H59" s="29"/>
      <c r="I59" s="71" t="s">
        <v>72</v>
      </c>
      <c r="J59" s="72">
        <v>1377.8</v>
      </c>
      <c r="K59" s="70"/>
      <c r="L59" s="70" t="s">
        <v>73</v>
      </c>
      <c r="M59" s="73">
        <v>0.06</v>
      </c>
      <c r="N59" s="70"/>
      <c r="O59" s="29"/>
      <c r="P59" s="29"/>
      <c r="Q59" s="29"/>
      <c r="R59" s="29"/>
      <c r="S59" s="29"/>
      <c r="T59" s="29"/>
      <c r="U59" s="29"/>
      <c r="V59" s="29"/>
      <c r="W59" s="29"/>
      <c r="X59" s="29"/>
      <c r="Y59" s="29"/>
      <c r="Z59" s="29"/>
    </row>
    <row r="60">
      <c r="A60" s="74" t="s">
        <v>74</v>
      </c>
      <c r="B60" s="29"/>
      <c r="C60" s="29"/>
      <c r="D60" s="29"/>
      <c r="E60" s="29"/>
      <c r="F60" s="29"/>
      <c r="G60" s="29"/>
      <c r="H60" s="29"/>
      <c r="I60" s="75"/>
      <c r="J60" s="75"/>
      <c r="K60" s="70"/>
      <c r="L60" s="70"/>
      <c r="M60" s="73"/>
      <c r="N60" s="70"/>
      <c r="O60" s="29"/>
      <c r="P60" s="29"/>
      <c r="Q60" s="29"/>
      <c r="R60" s="29"/>
      <c r="S60" s="29"/>
      <c r="T60" s="29"/>
      <c r="U60" s="29"/>
      <c r="V60" s="29"/>
      <c r="W60" s="29"/>
      <c r="X60" s="29"/>
      <c r="Y60" s="29"/>
      <c r="Z60" s="29"/>
    </row>
    <row r="61">
      <c r="A61" s="76" t="s">
        <v>75</v>
      </c>
      <c r="B61" s="77">
        <f>(B45+B35)/SUM(B46:B47)</f>
        <v>1.03578092</v>
      </c>
      <c r="C61" s="77">
        <f t="shared" ref="C61:G61" si="31">(C45)/SUM(C46:C47)</f>
        <v>1</v>
      </c>
      <c r="D61" s="77">
        <f t="shared" si="31"/>
        <v>1</v>
      </c>
      <c r="E61" s="77">
        <f t="shared" si="31"/>
        <v>1</v>
      </c>
      <c r="F61" s="77">
        <f t="shared" si="31"/>
        <v>1</v>
      </c>
      <c r="G61" s="77">
        <f t="shared" si="31"/>
        <v>1</v>
      </c>
      <c r="H61" s="29"/>
      <c r="I61" s="75"/>
      <c r="J61" s="75"/>
      <c r="K61" s="70"/>
      <c r="L61" s="70"/>
      <c r="M61" s="73"/>
      <c r="N61" s="70"/>
      <c r="O61" s="29"/>
      <c r="P61" s="29"/>
      <c r="Q61" s="29"/>
      <c r="R61" s="29"/>
      <c r="S61" s="29"/>
      <c r="T61" s="29"/>
      <c r="U61" s="29"/>
      <c r="V61" s="29"/>
      <c r="W61" s="29"/>
      <c r="X61" s="29"/>
      <c r="Y61" s="29"/>
      <c r="Z61" s="29"/>
    </row>
    <row r="62">
      <c r="A62" s="29"/>
      <c r="B62" s="29"/>
      <c r="C62" s="29"/>
      <c r="D62" s="29"/>
      <c r="E62" s="29"/>
      <c r="F62" s="29"/>
      <c r="G62" s="29"/>
      <c r="H62" s="29"/>
      <c r="I62" s="75"/>
      <c r="J62" s="75"/>
      <c r="K62" s="70"/>
      <c r="L62" s="70"/>
      <c r="M62" s="73"/>
      <c r="N62" s="70"/>
      <c r="O62" s="29"/>
      <c r="P62" s="29"/>
      <c r="Q62" s="29"/>
      <c r="R62" s="29"/>
      <c r="S62" s="29"/>
      <c r="T62" s="29"/>
      <c r="U62" s="29"/>
      <c r="V62" s="29"/>
      <c r="W62" s="29"/>
      <c r="X62" s="29"/>
      <c r="Y62" s="29"/>
      <c r="Z62" s="29"/>
    </row>
    <row r="63">
      <c r="A63" s="78" t="s">
        <v>76</v>
      </c>
      <c r="B63" s="38" t="s">
        <v>7</v>
      </c>
      <c r="C63" s="79">
        <v>1.0</v>
      </c>
      <c r="D63" s="79">
        <v>1.0</v>
      </c>
      <c r="E63" s="79">
        <v>1.0</v>
      </c>
      <c r="F63" s="79">
        <v>1.0</v>
      </c>
      <c r="G63" s="79">
        <v>1.0</v>
      </c>
      <c r="H63" s="74">
        <v>1.0</v>
      </c>
      <c r="I63" s="72">
        <v>1.0</v>
      </c>
      <c r="J63" s="75"/>
      <c r="K63" s="70"/>
      <c r="L63" s="70"/>
      <c r="M63" s="73"/>
      <c r="N63" s="70"/>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80" t="s">
        <v>77</v>
      </c>
      <c r="B65" s="81"/>
      <c r="C65" s="82">
        <v>1.0</v>
      </c>
      <c r="D65" s="82">
        <v>2.0</v>
      </c>
      <c r="E65" s="82">
        <v>3.0</v>
      </c>
      <c r="F65" s="82">
        <v>4.0</v>
      </c>
      <c r="G65" s="82">
        <v>5.0</v>
      </c>
      <c r="H65" s="29"/>
      <c r="I65" s="29"/>
      <c r="J65" s="29"/>
      <c r="K65" s="29"/>
      <c r="L65" s="29"/>
      <c r="M65" s="29"/>
      <c r="N65" s="29"/>
      <c r="O65" s="29"/>
      <c r="P65" s="29"/>
      <c r="Q65" s="29"/>
      <c r="R65" s="29"/>
      <c r="S65" s="29"/>
      <c r="T65" s="29"/>
      <c r="U65" s="29"/>
      <c r="V65" s="29"/>
      <c r="W65" s="29"/>
      <c r="X65" s="29"/>
      <c r="Y65" s="29"/>
      <c r="Z65" s="29"/>
    </row>
    <row r="66">
      <c r="A66" s="36"/>
      <c r="B66" s="29"/>
      <c r="C66" s="40"/>
      <c r="D66" s="40"/>
      <c r="E66" s="40"/>
      <c r="F66" s="40"/>
      <c r="G66" s="41"/>
      <c r="H66" s="29"/>
      <c r="I66" s="29"/>
      <c r="J66" s="29"/>
      <c r="K66" s="29"/>
      <c r="L66" s="29"/>
      <c r="M66" s="29"/>
      <c r="N66" s="29"/>
      <c r="O66" s="29"/>
      <c r="P66" s="29"/>
      <c r="Q66" s="29"/>
      <c r="R66" s="29"/>
      <c r="S66" s="29"/>
      <c r="T66" s="29"/>
      <c r="U66" s="29"/>
      <c r="V66" s="29"/>
      <c r="W66" s="29"/>
      <c r="X66" s="29"/>
      <c r="Y66" s="29"/>
      <c r="Z66" s="29"/>
    </row>
    <row r="67">
      <c r="A67" s="83" t="s">
        <v>78</v>
      </c>
      <c r="B67" s="83"/>
      <c r="C67" s="83">
        <f t="shared" ref="C67:G67" si="32">C30</f>
        <v>3955.3012</v>
      </c>
      <c r="D67" s="83">
        <f t="shared" si="32"/>
        <v>4714.80238</v>
      </c>
      <c r="E67" s="83">
        <f t="shared" si="32"/>
        <v>5457.364713</v>
      </c>
      <c r="F67" s="83">
        <f t="shared" si="32"/>
        <v>6274.524963</v>
      </c>
      <c r="G67" s="83">
        <f t="shared" si="32"/>
        <v>7172.46037</v>
      </c>
      <c r="H67" s="29"/>
      <c r="I67" s="29"/>
      <c r="J67" s="29"/>
      <c r="K67" s="29"/>
      <c r="L67" s="29"/>
      <c r="M67" s="29"/>
      <c r="N67" s="29"/>
      <c r="O67" s="29"/>
      <c r="P67" s="29"/>
      <c r="Q67" s="29"/>
      <c r="R67" s="29"/>
      <c r="S67" s="29"/>
      <c r="T67" s="29"/>
      <c r="U67" s="29"/>
      <c r="V67" s="29"/>
      <c r="W67" s="29"/>
      <c r="X67" s="29"/>
      <c r="Y67" s="29"/>
      <c r="Z67" s="29"/>
    </row>
    <row r="68">
      <c r="A68" s="83" t="s">
        <v>79</v>
      </c>
      <c r="B68" s="83"/>
      <c r="C68" s="83">
        <f t="shared" ref="C68:G68" si="33">-1*C27</f>
        <v>2080.464127</v>
      </c>
      <c r="D68" s="83">
        <f t="shared" si="33"/>
        <v>2277.962203</v>
      </c>
      <c r="E68" s="83">
        <f t="shared" si="33"/>
        <v>2492.220288</v>
      </c>
      <c r="F68" s="83">
        <f t="shared" si="33"/>
        <v>2724.572819</v>
      </c>
      <c r="G68" s="83">
        <f t="shared" si="33"/>
        <v>2976.460273</v>
      </c>
      <c r="H68" s="29"/>
      <c r="I68" s="29"/>
      <c r="J68" s="29"/>
      <c r="K68" s="29"/>
      <c r="L68" s="29"/>
      <c r="M68" s="29"/>
      <c r="N68" s="29"/>
      <c r="O68" s="29"/>
      <c r="P68" s="29"/>
      <c r="Q68" s="29"/>
      <c r="R68" s="29"/>
      <c r="S68" s="29"/>
      <c r="T68" s="29"/>
      <c r="U68" s="29"/>
      <c r="V68" s="29"/>
      <c r="W68" s="29"/>
      <c r="X68" s="29"/>
      <c r="Y68" s="29"/>
      <c r="Z68" s="29"/>
    </row>
    <row r="69">
      <c r="A69" s="84" t="s">
        <v>80</v>
      </c>
      <c r="B69" s="29"/>
      <c r="C69" s="83">
        <f t="shared" ref="C69:G69" si="34">-1*(C70*(1-$B$10))</f>
        <v>63.53946657</v>
      </c>
      <c r="D69" s="83">
        <f t="shared" si="34"/>
        <v>186.429831</v>
      </c>
      <c r="E69" s="83">
        <f t="shared" si="34"/>
        <v>232.1694182</v>
      </c>
      <c r="F69" s="83">
        <f t="shared" si="34"/>
        <v>287.4875155</v>
      </c>
      <c r="G69" s="83">
        <f t="shared" si="34"/>
        <v>353.4041751</v>
      </c>
      <c r="H69" s="29"/>
      <c r="I69" s="29"/>
      <c r="J69" s="29"/>
      <c r="K69" s="29"/>
      <c r="L69" s="29"/>
      <c r="M69" s="29"/>
      <c r="N69" s="29"/>
      <c r="O69" s="83"/>
      <c r="P69" s="83"/>
      <c r="Q69" s="29"/>
      <c r="R69" s="29"/>
      <c r="S69" s="29"/>
      <c r="T69" s="29"/>
      <c r="U69" s="29"/>
      <c r="V69" s="29"/>
      <c r="W69" s="29"/>
      <c r="X69" s="29"/>
      <c r="Y69" s="29"/>
      <c r="Z69" s="29"/>
    </row>
    <row r="70">
      <c r="A70" s="83" t="s">
        <v>81</v>
      </c>
      <c r="B70" s="29"/>
      <c r="C70" s="83">
        <f t="shared" ref="C70:G70" si="35">-1*C25-C26</f>
        <v>-84.71928876</v>
      </c>
      <c r="D70" s="83">
        <f t="shared" si="35"/>
        <v>-248.5731081</v>
      </c>
      <c r="E70" s="83">
        <f t="shared" si="35"/>
        <v>-309.5592243</v>
      </c>
      <c r="F70" s="83">
        <f t="shared" si="35"/>
        <v>-383.3166873</v>
      </c>
      <c r="G70" s="83">
        <f t="shared" si="35"/>
        <v>-471.2055668</v>
      </c>
      <c r="H70" s="29"/>
      <c r="I70" s="29"/>
      <c r="J70" s="29"/>
      <c r="K70" s="29"/>
      <c r="L70" s="29"/>
      <c r="M70" s="29"/>
      <c r="N70" s="29"/>
      <c r="O70" s="83"/>
      <c r="P70" s="83"/>
      <c r="Q70" s="29"/>
      <c r="R70" s="29"/>
      <c r="S70" s="29"/>
      <c r="T70" s="29"/>
      <c r="U70" s="29"/>
      <c r="V70" s="29"/>
      <c r="W70" s="29"/>
      <c r="X70" s="29"/>
      <c r="Y70" s="29"/>
      <c r="Z70" s="29"/>
    </row>
    <row r="71">
      <c r="A71" s="84" t="s">
        <v>82</v>
      </c>
      <c r="B71" s="29"/>
      <c r="C71" s="83">
        <f>(C36-B36)</f>
        <v>-322.5251231</v>
      </c>
      <c r="D71" s="83">
        <f t="shared" ref="D71:G71" si="36">-(D36-C36)</f>
        <v>-982.1558003</v>
      </c>
      <c r="E71" s="83">
        <f t="shared" si="36"/>
        <v>-1039.219052</v>
      </c>
      <c r="F71" s="83">
        <f t="shared" si="36"/>
        <v>-1099.597679</v>
      </c>
      <c r="G71" s="83">
        <f t="shared" si="36"/>
        <v>-1163.484304</v>
      </c>
      <c r="H71" s="29"/>
      <c r="I71" s="29"/>
      <c r="J71" s="29"/>
      <c r="K71" s="29"/>
      <c r="L71" s="29"/>
      <c r="M71" s="29"/>
      <c r="N71" s="29"/>
      <c r="O71" s="83"/>
      <c r="P71" s="83"/>
      <c r="Q71" s="29"/>
      <c r="R71" s="29"/>
      <c r="S71" s="29"/>
      <c r="T71" s="29"/>
      <c r="U71" s="29"/>
      <c r="V71" s="29"/>
      <c r="W71" s="29"/>
      <c r="X71" s="29"/>
      <c r="Y71" s="29"/>
      <c r="Z71" s="29"/>
    </row>
    <row r="72">
      <c r="A72" s="84" t="s">
        <v>83</v>
      </c>
      <c r="B72" s="29"/>
      <c r="C72" s="83">
        <f t="shared" ref="C72:G72" si="37">C44-B44</f>
        <v>2379.986436</v>
      </c>
      <c r="D72" s="83">
        <f t="shared" si="37"/>
        <v>1530.335782</v>
      </c>
      <c r="E72" s="83">
        <f t="shared" si="37"/>
        <v>1619.248291</v>
      </c>
      <c r="F72" s="83">
        <f t="shared" si="37"/>
        <v>1713.326617</v>
      </c>
      <c r="G72" s="83">
        <f t="shared" si="37"/>
        <v>1812.870893</v>
      </c>
      <c r="H72" s="29"/>
      <c r="I72" s="29"/>
      <c r="J72" s="29"/>
      <c r="K72" s="29"/>
      <c r="L72" s="29"/>
      <c r="M72" s="29"/>
      <c r="N72" s="29"/>
      <c r="O72" s="83"/>
      <c r="P72" s="83"/>
      <c r="Q72" s="29"/>
      <c r="R72" s="29"/>
      <c r="S72" s="29"/>
      <c r="T72" s="29"/>
      <c r="U72" s="29"/>
      <c r="V72" s="29"/>
      <c r="W72" s="29"/>
      <c r="X72" s="29"/>
      <c r="Y72" s="29"/>
      <c r="Z72" s="29"/>
    </row>
    <row r="73">
      <c r="A73" s="84" t="s">
        <v>84</v>
      </c>
      <c r="B73" s="29"/>
      <c r="C73" s="83">
        <f t="shared" ref="C73:G73" si="38">-(C39-B39)</f>
        <v>-2842.944057</v>
      </c>
      <c r="D73" s="83">
        <f t="shared" si="38"/>
        <v>-3084.848027</v>
      </c>
      <c r="E73" s="83">
        <f t="shared" si="38"/>
        <v>-3345.986178</v>
      </c>
      <c r="F73" s="83">
        <f t="shared" si="38"/>
        <v>-3627.942508</v>
      </c>
      <c r="G73" s="83">
        <f t="shared" si="38"/>
        <v>-3932.315741</v>
      </c>
      <c r="H73" s="29"/>
      <c r="I73" s="29"/>
      <c r="J73" s="29"/>
      <c r="K73" s="29"/>
      <c r="L73" s="29"/>
      <c r="M73" s="29"/>
      <c r="N73" s="29"/>
      <c r="O73" s="83"/>
      <c r="P73" s="83"/>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83"/>
      <c r="P74" s="83"/>
      <c r="Q74" s="29"/>
      <c r="R74" s="29"/>
      <c r="S74" s="29"/>
      <c r="T74" s="29"/>
      <c r="U74" s="29"/>
      <c r="V74" s="29"/>
      <c r="W74" s="29"/>
      <c r="X74" s="29"/>
      <c r="Y74" s="29"/>
      <c r="Z74" s="29"/>
    </row>
    <row r="75">
      <c r="A75" s="84" t="s">
        <v>85</v>
      </c>
      <c r="B75" s="29"/>
      <c r="C75" s="83">
        <f t="shared" ref="C75:G75" si="39">C67+C68+C69+C71+C72+C73</f>
        <v>5313.82205</v>
      </c>
      <c r="D75" s="83">
        <f t="shared" si="39"/>
        <v>4642.526369</v>
      </c>
      <c r="E75" s="83">
        <f t="shared" si="39"/>
        <v>5415.79748</v>
      </c>
      <c r="F75" s="83">
        <f t="shared" si="39"/>
        <v>6272.371727</v>
      </c>
      <c r="G75" s="83">
        <f t="shared" si="39"/>
        <v>7219.395667</v>
      </c>
      <c r="H75" s="83">
        <f>G75*(1+J58)</f>
        <v>7219.395667</v>
      </c>
      <c r="I75" s="29"/>
      <c r="J75" s="83"/>
      <c r="K75" s="83"/>
      <c r="L75" s="83"/>
      <c r="M75" s="83"/>
      <c r="N75" s="83"/>
      <c r="O75" s="83"/>
      <c r="P75" s="83"/>
      <c r="Q75" s="29"/>
      <c r="R75" s="29"/>
      <c r="S75" s="29"/>
      <c r="T75" s="29"/>
      <c r="U75" s="29"/>
      <c r="V75" s="29"/>
      <c r="W75" s="29"/>
      <c r="X75" s="29"/>
      <c r="Y75" s="29"/>
      <c r="Z75" s="29"/>
    </row>
    <row r="76">
      <c r="A76" s="36" t="s">
        <v>86</v>
      </c>
      <c r="B76" s="29"/>
      <c r="C76" s="85">
        <f>H75/(J57-I58)</f>
        <v>498570.5543</v>
      </c>
      <c r="D76" s="29"/>
      <c r="E76" s="29"/>
      <c r="F76" s="29"/>
      <c r="G76" s="35"/>
      <c r="H76" s="29"/>
      <c r="I76" s="29"/>
      <c r="J76" s="29"/>
      <c r="K76" s="29"/>
      <c r="L76" s="29"/>
      <c r="M76" s="29"/>
      <c r="N76" s="29"/>
      <c r="O76" s="29"/>
      <c r="P76" s="29"/>
      <c r="Q76" s="29"/>
      <c r="R76" s="29"/>
      <c r="S76" s="29"/>
      <c r="T76" s="29"/>
      <c r="U76" s="29"/>
      <c r="V76" s="29"/>
      <c r="W76" s="29"/>
      <c r="X76" s="29"/>
      <c r="Y76" s="29"/>
      <c r="Z76" s="29"/>
    </row>
    <row r="77">
      <c r="A77" s="36" t="s">
        <v>87</v>
      </c>
      <c r="B77" s="29"/>
      <c r="C77" s="83">
        <f t="shared" ref="C77:F77" si="40">C75</f>
        <v>5313.82205</v>
      </c>
      <c r="D77" s="83">
        <f t="shared" si="40"/>
        <v>4642.526369</v>
      </c>
      <c r="E77" s="83">
        <f t="shared" si="40"/>
        <v>5415.79748</v>
      </c>
      <c r="F77" s="83">
        <f t="shared" si="40"/>
        <v>6272.371727</v>
      </c>
      <c r="G77" s="83">
        <f>G75 + C76</f>
        <v>505789.95</v>
      </c>
      <c r="H77" s="29"/>
      <c r="I77" s="29"/>
      <c r="J77" s="29"/>
      <c r="K77" s="29"/>
      <c r="L77" s="29"/>
      <c r="M77" s="29"/>
      <c r="N77" s="29"/>
      <c r="O77" s="29"/>
      <c r="P77" s="29"/>
      <c r="Q77" s="29"/>
      <c r="R77" s="29"/>
      <c r="S77" s="29"/>
      <c r="T77" s="29"/>
      <c r="U77" s="29"/>
      <c r="V77" s="29"/>
      <c r="W77" s="29"/>
      <c r="X77" s="29"/>
      <c r="Y77" s="29"/>
      <c r="Z77" s="29"/>
    </row>
    <row r="78">
      <c r="A78" s="36" t="s">
        <v>88</v>
      </c>
      <c r="B78" s="86">
        <f t="array" ref="B78">NPV(J57,C77:G77)</f>
        <v>374048.4815</v>
      </c>
      <c r="C78" s="83"/>
      <c r="D78" s="83"/>
      <c r="E78" s="83"/>
      <c r="F78" s="83"/>
      <c r="G78" s="87"/>
      <c r="H78" s="29"/>
      <c r="I78" s="29"/>
      <c r="J78" s="29"/>
      <c r="K78" s="29"/>
      <c r="L78" s="29"/>
      <c r="M78" s="29"/>
      <c r="N78" s="29"/>
      <c r="O78" s="29"/>
      <c r="P78" s="29"/>
      <c r="Q78" s="29"/>
      <c r="R78" s="29"/>
      <c r="S78" s="29"/>
      <c r="T78" s="29"/>
      <c r="U78" s="29"/>
      <c r="V78" s="29"/>
      <c r="W78" s="29"/>
      <c r="X78" s="29"/>
      <c r="Y78" s="29"/>
      <c r="Z78" s="29"/>
    </row>
    <row r="79">
      <c r="A79" s="36" t="s">
        <v>89</v>
      </c>
      <c r="B79" s="86">
        <f>B78-(B45-B35)</f>
        <v>362201.1815</v>
      </c>
      <c r="C79" s="83"/>
      <c r="D79" s="83"/>
      <c r="E79" s="83"/>
      <c r="F79" s="83"/>
      <c r="G79" s="87"/>
      <c r="H79" s="29"/>
      <c r="I79" s="29"/>
      <c r="J79" s="29"/>
      <c r="K79" s="29"/>
      <c r="L79" s="29"/>
      <c r="M79" s="29"/>
      <c r="N79" s="29"/>
      <c r="O79" s="29"/>
      <c r="P79" s="29"/>
      <c r="Q79" s="29"/>
      <c r="R79" s="29"/>
      <c r="S79" s="29"/>
      <c r="T79" s="29"/>
      <c r="U79" s="29"/>
      <c r="V79" s="29"/>
      <c r="W79" s="29"/>
      <c r="X79" s="29"/>
      <c r="Y79" s="29"/>
      <c r="Z79" s="29"/>
    </row>
    <row r="80">
      <c r="A80" s="36" t="s">
        <v>90</v>
      </c>
      <c r="B80" s="83">
        <f>B79/J59</f>
        <v>262.8837143</v>
      </c>
      <c r="C80" s="83"/>
      <c r="D80" s="83"/>
      <c r="E80" s="83"/>
      <c r="F80" s="83"/>
      <c r="G80" s="87"/>
      <c r="H80" s="29"/>
      <c r="I80" s="29"/>
      <c r="J80" s="29"/>
      <c r="K80" s="29"/>
      <c r="L80" s="29"/>
      <c r="M80" s="29"/>
      <c r="N80" s="29"/>
      <c r="O80" s="29"/>
      <c r="P80" s="29"/>
      <c r="Q80" s="29"/>
      <c r="R80" s="29"/>
      <c r="S80" s="29"/>
      <c r="T80" s="29"/>
      <c r="U80" s="29"/>
      <c r="V80" s="29"/>
      <c r="W80" s="29"/>
      <c r="X80" s="29"/>
      <c r="Y80" s="29"/>
      <c r="Z80" s="29"/>
    </row>
    <row r="81">
      <c r="A81" s="43"/>
      <c r="B81" s="29"/>
      <c r="C81" s="83"/>
      <c r="D81" s="83"/>
      <c r="E81" s="83"/>
      <c r="F81" s="83"/>
      <c r="G81" s="87"/>
      <c r="H81" s="29"/>
      <c r="I81" s="29"/>
      <c r="J81" s="29"/>
      <c r="K81" s="29"/>
      <c r="L81" s="29"/>
      <c r="M81" s="29"/>
      <c r="N81" s="29"/>
      <c r="O81" s="29"/>
      <c r="P81" s="29"/>
      <c r="Q81" s="29"/>
      <c r="R81" s="29"/>
      <c r="S81" s="29"/>
      <c r="T81" s="29"/>
      <c r="U81" s="29"/>
      <c r="V81" s="29"/>
      <c r="W81" s="29"/>
      <c r="X81" s="29"/>
      <c r="Y81" s="29"/>
      <c r="Z81" s="29"/>
    </row>
    <row r="82">
      <c r="A82" s="36"/>
      <c r="B82" s="86"/>
      <c r="C82" s="83"/>
      <c r="D82" s="83"/>
      <c r="E82" s="83"/>
      <c r="F82" s="83"/>
      <c r="G82" s="87"/>
      <c r="H82" s="29"/>
      <c r="I82" s="29"/>
      <c r="J82" s="29"/>
      <c r="K82" s="29"/>
      <c r="L82" s="29"/>
      <c r="M82" s="29"/>
      <c r="N82" s="29"/>
      <c r="O82" s="29"/>
      <c r="P82" s="29"/>
      <c r="Q82" s="29"/>
      <c r="R82" s="29"/>
      <c r="S82" s="29"/>
      <c r="T82" s="29"/>
      <c r="U82" s="29"/>
      <c r="V82" s="29"/>
      <c r="W82" s="29"/>
      <c r="X82" s="29"/>
      <c r="Y82" s="29"/>
      <c r="Z82" s="29"/>
    </row>
    <row r="83">
      <c r="A83" s="36"/>
      <c r="B83" s="86"/>
      <c r="C83" s="83"/>
      <c r="D83" s="83"/>
      <c r="E83" s="83"/>
      <c r="F83" s="83"/>
      <c r="G83" s="87"/>
      <c r="H83" s="29"/>
      <c r="I83" s="29"/>
      <c r="J83" s="29"/>
      <c r="K83" s="29"/>
      <c r="L83" s="29"/>
      <c r="M83" s="29"/>
      <c r="N83" s="29"/>
      <c r="O83" s="29"/>
      <c r="P83" s="29"/>
      <c r="Q83" s="29"/>
      <c r="R83" s="29"/>
      <c r="S83" s="29"/>
      <c r="T83" s="29"/>
      <c r="U83" s="29"/>
      <c r="V83" s="29"/>
      <c r="W83" s="29"/>
      <c r="X83" s="29"/>
      <c r="Y83" s="29"/>
      <c r="Z83" s="29"/>
    </row>
    <row r="84">
      <c r="A84" s="36"/>
      <c r="B84" s="86"/>
      <c r="C84" s="83"/>
      <c r="D84" s="83"/>
      <c r="E84" s="83"/>
      <c r="F84" s="83"/>
      <c r="G84" s="87"/>
      <c r="H84" s="29"/>
      <c r="I84" s="29"/>
      <c r="J84" s="29"/>
      <c r="K84" s="29"/>
      <c r="L84" s="29"/>
      <c r="M84" s="29"/>
      <c r="N84" s="29"/>
      <c r="O84" s="29"/>
      <c r="P84" s="29"/>
      <c r="Q84" s="29"/>
      <c r="R84" s="29"/>
      <c r="S84" s="29"/>
      <c r="T84" s="29"/>
      <c r="U84" s="29"/>
      <c r="V84" s="29"/>
      <c r="W84" s="29"/>
      <c r="X84" s="29"/>
      <c r="Y84" s="29"/>
      <c r="Z84" s="29"/>
    </row>
    <row r="85">
      <c r="A85" s="88"/>
      <c r="B85" s="89"/>
      <c r="C85" s="90"/>
      <c r="D85" s="90"/>
      <c r="E85" s="90"/>
      <c r="F85" s="90"/>
      <c r="G85" s="91"/>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74">
        <v>2023.0</v>
      </c>
      <c r="C87" s="74">
        <v>2024.0</v>
      </c>
      <c r="D87" s="74">
        <v>2025.0</v>
      </c>
      <c r="E87" s="74">
        <v>2026.0</v>
      </c>
      <c r="F87" s="74">
        <v>2027.0</v>
      </c>
      <c r="G87" s="74">
        <v>2028.0</v>
      </c>
      <c r="H87" s="74"/>
      <c r="I87" s="29"/>
      <c r="J87" s="29"/>
      <c r="K87" s="29"/>
      <c r="L87" s="29"/>
      <c r="M87" s="29"/>
      <c r="N87" s="29"/>
      <c r="O87" s="29"/>
      <c r="P87" s="29"/>
      <c r="Q87" s="29"/>
      <c r="R87" s="29"/>
      <c r="S87" s="29"/>
      <c r="T87" s="29"/>
      <c r="U87" s="29"/>
      <c r="V87" s="29"/>
      <c r="W87" s="29"/>
      <c r="X87" s="29"/>
      <c r="Y87" s="29"/>
      <c r="Z87" s="29"/>
    </row>
    <row r="88">
      <c r="A88" s="74" t="s">
        <v>91</v>
      </c>
      <c r="B88" s="29"/>
      <c r="C88" s="92">
        <f t="shared" ref="C88:H88" si="41">C67-(C50*$M$54)</f>
        <v>1634.197887</v>
      </c>
      <c r="D88" s="92">
        <f t="shared" si="41"/>
        <v>2134.485941</v>
      </c>
      <c r="E88" s="92">
        <f t="shared" si="41"/>
        <v>2577.254503</v>
      </c>
      <c r="F88" s="92">
        <f t="shared" si="41"/>
        <v>3049.96965</v>
      </c>
      <c r="G88" s="92">
        <f t="shared" si="41"/>
        <v>3554.401061</v>
      </c>
      <c r="H88" s="92">
        <f t="shared" si="41"/>
        <v>-4065.391885</v>
      </c>
      <c r="I88" s="29"/>
      <c r="J88" s="29"/>
      <c r="K88" s="29"/>
      <c r="L88" s="29"/>
      <c r="M88" s="29"/>
      <c r="N88" s="29"/>
      <c r="O88" s="29"/>
      <c r="P88" s="29"/>
      <c r="Q88" s="29"/>
      <c r="R88" s="29"/>
      <c r="S88" s="29"/>
      <c r="T88" s="29"/>
      <c r="U88" s="29"/>
      <c r="V88" s="29"/>
      <c r="W88" s="29"/>
      <c r="X88" s="29"/>
      <c r="Y88" s="29"/>
      <c r="Z88" s="29"/>
    </row>
    <row r="89">
      <c r="A89" s="74" t="s">
        <v>92</v>
      </c>
      <c r="B89" s="29"/>
      <c r="C89" s="29"/>
      <c r="D89" s="29"/>
      <c r="E89" s="29"/>
      <c r="F89" s="92">
        <f>G88/($J$57-$I$58)</f>
        <v>245466.489</v>
      </c>
      <c r="H89" s="29"/>
      <c r="I89" s="29"/>
      <c r="J89" s="29"/>
      <c r="K89" s="29"/>
      <c r="L89" s="29"/>
      <c r="M89" s="29"/>
      <c r="N89" s="29"/>
      <c r="O89" s="29"/>
      <c r="P89" s="29"/>
      <c r="Q89" s="29"/>
      <c r="R89" s="29"/>
      <c r="S89" s="29"/>
      <c r="T89" s="29"/>
      <c r="U89" s="29"/>
      <c r="V89" s="29"/>
      <c r="W89" s="29"/>
      <c r="X89" s="29"/>
      <c r="Y89" s="29"/>
      <c r="Z89" s="29"/>
    </row>
    <row r="90">
      <c r="A90" s="74" t="s">
        <v>93</v>
      </c>
      <c r="B90" s="40">
        <f>B50</f>
        <v>29264.2</v>
      </c>
      <c r="C90" s="92">
        <f t="shared" ref="C90:F90" si="42">SUM(C88:C89)</f>
        <v>1634.197887</v>
      </c>
      <c r="D90" s="92">
        <f t="shared" si="42"/>
        <v>2134.485941</v>
      </c>
      <c r="E90" s="92">
        <f t="shared" si="42"/>
        <v>2577.254503</v>
      </c>
      <c r="F90" s="92">
        <f t="shared" si="42"/>
        <v>248516.4587</v>
      </c>
      <c r="G90" s="29"/>
      <c r="H90" s="29"/>
      <c r="I90" s="29"/>
      <c r="J90" s="29"/>
      <c r="K90" s="29"/>
      <c r="L90" s="29"/>
      <c r="M90" s="29"/>
      <c r="N90" s="29"/>
      <c r="O90" s="29"/>
      <c r="P90" s="29"/>
      <c r="Q90" s="29"/>
      <c r="R90" s="29"/>
      <c r="S90" s="29"/>
      <c r="T90" s="29"/>
      <c r="U90" s="29"/>
      <c r="V90" s="29"/>
      <c r="W90" s="29"/>
      <c r="X90" s="29"/>
      <c r="Y90" s="29"/>
      <c r="Z90" s="29"/>
    </row>
    <row r="91">
      <c r="A91" s="74" t="s">
        <v>94</v>
      </c>
      <c r="B91" s="93">
        <f t="array" ref="B91">NPV($J$57,C90:F90)+B90</f>
        <v>222349.9197</v>
      </c>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74" t="s">
        <v>95</v>
      </c>
      <c r="B92" s="94">
        <f>B91/J59</f>
        <v>161.3804033</v>
      </c>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92">
        <f>C88+B90</f>
        <v>30898.39789</v>
      </c>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95" t="s">
        <v>96</v>
      </c>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74" t="s">
        <v>97</v>
      </c>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45.25"/>
    <col customWidth="1" min="2" max="2" width="10.0"/>
    <col customWidth="1" min="3" max="3" width="19.5"/>
    <col customWidth="1" min="4" max="4" width="15.0"/>
    <col customWidth="1" min="5" max="5" width="20.5"/>
    <col customWidth="1" min="6" max="6" width="24.63"/>
    <col customWidth="1" min="7" max="7" width="22.75"/>
    <col customWidth="1" min="8" max="8" width="10.88"/>
    <col customWidth="1" min="9" max="9" width="18.75"/>
    <col customWidth="1" min="10" max="10" width="16.38"/>
    <col customWidth="1" min="11" max="11" width="15.63"/>
    <col customWidth="1" min="12" max="12" width="12.63"/>
    <col customWidth="1" min="13" max="13" width="20.5"/>
    <col customWidth="1" min="14" max="14" width="20.75"/>
    <col customWidth="1" min="15" max="16" width="10.88"/>
    <col customWidth="1" min="17" max="17" width="55.0"/>
    <col customWidth="1" min="18" max="26" width="10.88"/>
  </cols>
  <sheetData>
    <row r="1">
      <c r="A1" s="1" t="s">
        <v>0</v>
      </c>
      <c r="B1" s="2"/>
      <c r="C1" s="2"/>
      <c r="D1" s="2"/>
      <c r="E1" s="2"/>
      <c r="F1" s="2"/>
      <c r="G1" s="3"/>
      <c r="H1" s="4"/>
      <c r="I1" s="5" t="s">
        <v>1</v>
      </c>
      <c r="J1" s="4"/>
      <c r="K1" s="4"/>
      <c r="L1" s="4"/>
      <c r="M1" s="4"/>
      <c r="N1" s="4"/>
      <c r="O1" s="4"/>
      <c r="P1" s="4"/>
      <c r="Q1" s="4"/>
      <c r="R1" s="4"/>
      <c r="S1" s="4"/>
      <c r="T1" s="4"/>
      <c r="U1" s="4"/>
      <c r="V1" s="4"/>
      <c r="W1" s="4"/>
      <c r="X1" s="4"/>
      <c r="Y1" s="4"/>
      <c r="Z1" s="4"/>
    </row>
    <row r="2">
      <c r="A2" s="6" t="s">
        <v>2</v>
      </c>
      <c r="B2" s="7">
        <f>4.81% + 1%</f>
        <v>0.0581</v>
      </c>
      <c r="C2" s="8" t="s">
        <v>3</v>
      </c>
      <c r="D2" s="7"/>
      <c r="E2" s="9"/>
      <c r="F2" s="10"/>
      <c r="G2" s="11"/>
      <c r="H2" s="12"/>
      <c r="I2" s="8" t="s">
        <v>4</v>
      </c>
      <c r="J2" s="9"/>
      <c r="K2" s="9"/>
      <c r="L2" s="9"/>
      <c r="M2" s="9"/>
      <c r="N2" s="9"/>
      <c r="O2" s="9"/>
      <c r="P2" s="9"/>
      <c r="Q2" s="9"/>
      <c r="R2" s="9"/>
      <c r="S2" s="9"/>
      <c r="T2" s="9"/>
      <c r="U2" s="9"/>
      <c r="V2" s="9"/>
      <c r="W2" s="9"/>
      <c r="X2" s="9"/>
      <c r="Y2" s="9"/>
      <c r="Z2" s="9"/>
    </row>
    <row r="3">
      <c r="A3" s="13" t="s">
        <v>5</v>
      </c>
      <c r="B3" s="14">
        <f>43%</f>
        <v>0.43</v>
      </c>
      <c r="C3" s="5" t="s">
        <v>6</v>
      </c>
      <c r="D3" s="4"/>
      <c r="E3" s="4"/>
      <c r="F3" s="4"/>
      <c r="G3" s="15"/>
      <c r="H3" s="4" t="s">
        <v>7</v>
      </c>
      <c r="I3" s="5" t="s">
        <v>8</v>
      </c>
      <c r="J3" s="4"/>
      <c r="K3" s="4"/>
      <c r="L3" s="4"/>
      <c r="M3" s="4"/>
      <c r="N3" s="4"/>
      <c r="O3" s="4"/>
      <c r="P3" s="4"/>
      <c r="Q3" s="4"/>
      <c r="R3" s="4"/>
      <c r="S3" s="4"/>
      <c r="T3" s="4"/>
      <c r="U3" s="4"/>
      <c r="V3" s="4"/>
      <c r="W3" s="4"/>
      <c r="X3" s="4"/>
      <c r="Y3" s="4"/>
      <c r="Z3" s="4"/>
    </row>
    <row r="4">
      <c r="A4" s="13" t="s">
        <v>9</v>
      </c>
      <c r="B4" s="16">
        <f>67%</f>
        <v>0.67</v>
      </c>
      <c r="C4" s="5" t="s">
        <v>10</v>
      </c>
      <c r="D4" s="4"/>
      <c r="E4" s="4"/>
      <c r="F4" s="4"/>
      <c r="G4" s="15"/>
      <c r="H4" s="4" t="s">
        <v>7</v>
      </c>
      <c r="I4" s="4" t="s">
        <v>7</v>
      </c>
      <c r="J4" s="4"/>
      <c r="K4" s="4"/>
      <c r="L4" s="4"/>
      <c r="M4" s="4"/>
      <c r="N4" s="4"/>
      <c r="O4" s="4"/>
      <c r="P4" s="4"/>
      <c r="Q4" s="4"/>
      <c r="R4" s="4"/>
      <c r="S4" s="4"/>
      <c r="T4" s="4"/>
      <c r="U4" s="4"/>
      <c r="V4" s="4"/>
      <c r="W4" s="4"/>
      <c r="X4" s="4"/>
      <c r="Y4" s="4"/>
      <c r="Z4" s="4"/>
    </row>
    <row r="5">
      <c r="A5" s="13" t="s">
        <v>11</v>
      </c>
      <c r="B5" s="16">
        <f>B41/B23</f>
        <v>0.3532646289</v>
      </c>
      <c r="C5" s="5" t="s">
        <v>12</v>
      </c>
      <c r="D5" s="4"/>
      <c r="E5" s="4"/>
      <c r="F5" s="4"/>
      <c r="G5" s="15"/>
      <c r="H5" s="4" t="s">
        <v>7</v>
      </c>
      <c r="I5" s="4" t="s">
        <v>7</v>
      </c>
      <c r="J5" s="4"/>
      <c r="K5" s="4"/>
      <c r="L5" s="4"/>
      <c r="M5" s="4"/>
      <c r="N5" s="4"/>
      <c r="O5" s="4"/>
      <c r="P5" s="4"/>
      <c r="Q5" s="4"/>
      <c r="R5" s="4"/>
      <c r="S5" s="4"/>
      <c r="T5" s="4"/>
      <c r="U5" s="4"/>
      <c r="V5" s="4"/>
      <c r="W5" s="4"/>
      <c r="X5" s="4"/>
      <c r="Y5" s="4"/>
      <c r="Z5" s="4"/>
    </row>
    <row r="6">
      <c r="A6" s="6" t="s">
        <v>13</v>
      </c>
      <c r="B6" s="17">
        <f>B24/B23</f>
        <v>-0.8300869617</v>
      </c>
      <c r="C6" s="8" t="s">
        <v>14</v>
      </c>
      <c r="D6" s="10"/>
      <c r="E6" s="9"/>
      <c r="F6" s="10"/>
      <c r="G6" s="11"/>
      <c r="H6" s="12"/>
      <c r="I6" s="9"/>
      <c r="J6" s="9"/>
      <c r="K6" s="9"/>
      <c r="L6" s="9"/>
      <c r="M6" s="9"/>
      <c r="N6" s="9"/>
      <c r="O6" s="9"/>
      <c r="P6" s="9"/>
      <c r="Q6" s="9"/>
      <c r="R6" s="9"/>
      <c r="S6" s="9"/>
      <c r="T6" s="9"/>
      <c r="U6" s="9"/>
      <c r="V6" s="9"/>
      <c r="W6" s="9"/>
      <c r="X6" s="9"/>
      <c r="Y6" s="9"/>
      <c r="Z6" s="9"/>
    </row>
    <row r="7">
      <c r="A7" s="13" t="s">
        <v>15</v>
      </c>
      <c r="B7" s="14">
        <f>'income stat'!J81 + 1%</f>
        <v>0.06663461634</v>
      </c>
      <c r="C7" s="5" t="s">
        <v>16</v>
      </c>
      <c r="D7" s="4"/>
      <c r="E7" s="4"/>
      <c r="F7" s="4"/>
      <c r="G7" s="15"/>
      <c r="H7" s="4"/>
      <c r="I7" s="4"/>
      <c r="J7" s="4"/>
      <c r="K7" s="4"/>
      <c r="L7" s="4"/>
      <c r="M7" s="4"/>
      <c r="N7" s="4"/>
      <c r="O7" s="4"/>
      <c r="P7" s="4"/>
      <c r="Q7" s="4"/>
      <c r="R7" s="4"/>
      <c r="S7" s="4"/>
      <c r="T7" s="4"/>
      <c r="U7" s="4"/>
      <c r="V7" s="4"/>
      <c r="W7" s="4"/>
      <c r="X7" s="4"/>
      <c r="Y7" s="4"/>
      <c r="Z7" s="4"/>
    </row>
    <row r="8">
      <c r="A8" s="6" t="s">
        <v>17</v>
      </c>
      <c r="B8" s="18">
        <f>(B25/B45)-1%</f>
        <v>-0.01250482701</v>
      </c>
      <c r="C8" s="19" t="s">
        <v>18</v>
      </c>
      <c r="D8" s="7"/>
      <c r="E8" s="9"/>
      <c r="F8" s="7"/>
      <c r="G8" s="11"/>
      <c r="H8" s="12"/>
      <c r="I8" s="9"/>
      <c r="J8" s="9"/>
      <c r="K8" s="9"/>
      <c r="L8" s="9"/>
      <c r="M8" s="9"/>
      <c r="N8" s="9"/>
      <c r="O8" s="9"/>
      <c r="P8" s="9"/>
      <c r="Q8" s="9"/>
      <c r="R8" s="9"/>
      <c r="S8" s="9"/>
      <c r="T8" s="9"/>
      <c r="U8" s="9"/>
      <c r="V8" s="9"/>
      <c r="W8" s="9"/>
      <c r="X8" s="9"/>
      <c r="Y8" s="9"/>
      <c r="Z8" s="9"/>
    </row>
    <row r="9">
      <c r="A9" s="6" t="s">
        <v>19</v>
      </c>
      <c r="B9" s="18">
        <f>(B26/B35) + 1%</f>
        <v>0.03535745234</v>
      </c>
      <c r="C9" s="19" t="s">
        <v>18</v>
      </c>
      <c r="D9" s="7"/>
      <c r="E9" s="9"/>
      <c r="F9" s="7"/>
      <c r="G9" s="11"/>
      <c r="H9" s="12"/>
      <c r="I9" s="9"/>
      <c r="J9" s="9"/>
      <c r="K9" s="9"/>
      <c r="L9" s="9"/>
      <c r="M9" s="9"/>
      <c r="N9" s="9"/>
      <c r="O9" s="9"/>
      <c r="P9" s="9"/>
      <c r="Q9" s="9"/>
      <c r="R9" s="9"/>
      <c r="S9" s="9"/>
      <c r="T9" s="9"/>
      <c r="U9" s="9"/>
      <c r="V9" s="9"/>
      <c r="W9" s="9"/>
      <c r="X9" s="9"/>
      <c r="Y9" s="9"/>
      <c r="Z9" s="9"/>
    </row>
    <row r="10">
      <c r="A10" s="13" t="s">
        <v>20</v>
      </c>
      <c r="B10" s="20">
        <v>0.25</v>
      </c>
      <c r="C10" s="5" t="s">
        <v>21</v>
      </c>
      <c r="D10" s="4"/>
      <c r="E10" s="4"/>
      <c r="F10" s="4"/>
      <c r="G10" s="15"/>
      <c r="H10" s="4"/>
      <c r="I10" s="4"/>
      <c r="J10" s="4"/>
      <c r="K10" s="4"/>
      <c r="L10" s="4"/>
      <c r="M10" s="4"/>
      <c r="N10" s="4"/>
      <c r="O10" s="4"/>
      <c r="P10" s="4"/>
      <c r="Q10" s="4"/>
      <c r="R10" s="4"/>
      <c r="S10" s="4"/>
      <c r="T10" s="4"/>
      <c r="U10" s="4"/>
      <c r="V10" s="4"/>
      <c r="W10" s="4"/>
      <c r="X10" s="4"/>
      <c r="Y10" s="4"/>
      <c r="Z10" s="4"/>
    </row>
    <row r="11">
      <c r="A11" s="6" t="s">
        <v>22</v>
      </c>
      <c r="B11" s="21">
        <f>(B31/B30)*(1.1447)</f>
        <v>-0.2519627502</v>
      </c>
      <c r="C11" s="18">
        <f>B11</f>
        <v>-0.2519627502</v>
      </c>
      <c r="D11" s="18">
        <f>C11-B2</f>
        <v>-0.3100627502</v>
      </c>
      <c r="E11" s="18">
        <f>D11</f>
        <v>-0.3100627502</v>
      </c>
      <c r="F11" s="18">
        <f>E11-B2</f>
        <v>-0.3681627502</v>
      </c>
      <c r="G11" s="18">
        <f>F11</f>
        <v>-0.3681627502</v>
      </c>
      <c r="H11" s="18">
        <f>G11-B2</f>
        <v>-0.4262627502</v>
      </c>
      <c r="I11" s="18">
        <f>H11</f>
        <v>-0.4262627502</v>
      </c>
      <c r="J11" s="18">
        <f>I11-B2</f>
        <v>-0.4843627502</v>
      </c>
      <c r="K11" s="8" t="s">
        <v>23</v>
      </c>
      <c r="L11" s="9"/>
      <c r="M11" s="9"/>
      <c r="N11" s="9"/>
      <c r="O11" s="9"/>
      <c r="P11" s="9"/>
      <c r="Q11" s="9"/>
      <c r="R11" s="9"/>
      <c r="S11" s="9"/>
      <c r="T11" s="9"/>
      <c r="U11" s="9"/>
      <c r="V11" s="9"/>
      <c r="W11" s="9"/>
      <c r="X11" s="9"/>
      <c r="Y11" s="9"/>
      <c r="Z11" s="9"/>
    </row>
    <row r="12">
      <c r="A12" s="22" t="s">
        <v>24</v>
      </c>
      <c r="B12" s="14">
        <f>B35/B23</f>
        <v>0.248477296</v>
      </c>
      <c r="C12" s="4"/>
      <c r="D12" s="4"/>
      <c r="E12" s="4"/>
      <c r="F12" s="4"/>
      <c r="G12" s="15"/>
      <c r="H12" s="4"/>
      <c r="I12" s="4"/>
      <c r="J12" s="4"/>
      <c r="K12" s="4"/>
      <c r="L12" s="4"/>
      <c r="M12" s="4"/>
      <c r="N12" s="4"/>
      <c r="O12" s="4"/>
      <c r="P12" s="4"/>
      <c r="Q12" s="4"/>
      <c r="R12" s="4"/>
      <c r="S12" s="4"/>
      <c r="T12" s="4"/>
      <c r="U12" s="4"/>
      <c r="V12" s="4"/>
      <c r="W12" s="4"/>
      <c r="X12" s="4"/>
      <c r="Y12" s="4"/>
      <c r="Z12" s="4"/>
    </row>
    <row r="13">
      <c r="A13" s="23" t="s">
        <v>25</v>
      </c>
      <c r="B13" s="14">
        <f>B37/B42 - 1%</f>
        <v>0.4572534572</v>
      </c>
      <c r="C13" s="4"/>
      <c r="D13" s="4"/>
      <c r="E13" s="4"/>
      <c r="F13" s="4"/>
      <c r="G13" s="24"/>
      <c r="H13" s="12"/>
      <c r="I13" s="9"/>
      <c r="J13" s="9"/>
      <c r="K13" s="9"/>
      <c r="L13" s="9"/>
      <c r="M13" s="9"/>
      <c r="N13" s="9"/>
      <c r="O13" s="9"/>
      <c r="P13" s="9"/>
      <c r="Q13" s="9"/>
      <c r="R13" s="4"/>
      <c r="S13" s="4"/>
      <c r="T13" s="4"/>
      <c r="U13" s="4"/>
      <c r="V13" s="4"/>
      <c r="W13" s="4"/>
      <c r="X13" s="4"/>
      <c r="Y13" s="4"/>
      <c r="Z13" s="4"/>
    </row>
    <row r="14">
      <c r="A14" s="23" t="s">
        <v>26</v>
      </c>
      <c r="B14" s="14">
        <f>B46/B23 - 1%</f>
        <v>0.0147858256</v>
      </c>
      <c r="C14" s="4"/>
      <c r="D14" s="4"/>
      <c r="E14" s="4"/>
      <c r="F14" s="4"/>
      <c r="G14" s="25"/>
      <c r="H14" s="12"/>
      <c r="I14" s="9"/>
      <c r="J14" s="9"/>
      <c r="K14" s="9"/>
      <c r="L14" s="9"/>
      <c r="M14" s="9"/>
      <c r="N14" s="9"/>
      <c r="O14" s="9"/>
      <c r="P14" s="9"/>
      <c r="Q14" s="9"/>
      <c r="R14" s="4"/>
      <c r="S14" s="4"/>
      <c r="T14" s="4"/>
      <c r="U14" s="4"/>
      <c r="V14" s="4"/>
      <c r="W14" s="4"/>
      <c r="X14" s="4"/>
      <c r="Y14" s="4"/>
      <c r="Z14" s="4"/>
    </row>
    <row r="15">
      <c r="A15" s="6"/>
      <c r="B15" s="4"/>
      <c r="C15" s="4"/>
      <c r="D15" s="4"/>
      <c r="E15" s="4"/>
      <c r="F15" s="4"/>
      <c r="G15" s="25"/>
      <c r="H15" s="12"/>
      <c r="I15" s="9"/>
      <c r="J15" s="9"/>
      <c r="K15" s="9"/>
      <c r="L15" s="9"/>
      <c r="M15" s="9"/>
      <c r="N15" s="9"/>
      <c r="O15" s="9"/>
      <c r="P15" s="9"/>
      <c r="Q15" s="9"/>
      <c r="R15" s="4"/>
      <c r="S15" s="4"/>
      <c r="T15" s="4"/>
      <c r="U15" s="4"/>
      <c r="V15" s="4"/>
      <c r="W15" s="4"/>
      <c r="X15" s="4"/>
      <c r="Y15" s="4"/>
      <c r="Z15" s="4"/>
    </row>
    <row r="16">
      <c r="A16" s="6"/>
      <c r="B16" s="14"/>
      <c r="C16" s="4"/>
      <c r="D16" s="4"/>
      <c r="E16" s="4"/>
      <c r="F16" s="4"/>
      <c r="G16" s="25"/>
      <c r="H16" s="12"/>
      <c r="I16" s="9"/>
      <c r="J16" s="9"/>
      <c r="K16" s="9"/>
      <c r="L16" s="9"/>
      <c r="M16" s="9"/>
      <c r="N16" s="9"/>
      <c r="O16" s="9"/>
      <c r="P16" s="9"/>
      <c r="Q16" s="9"/>
      <c r="R16" s="4"/>
      <c r="S16" s="4"/>
      <c r="T16" s="4"/>
      <c r="U16" s="4"/>
      <c r="V16" s="4"/>
      <c r="W16" s="4"/>
      <c r="X16" s="4"/>
      <c r="Y16" s="4"/>
      <c r="Z16" s="4"/>
    </row>
    <row r="17">
      <c r="A17" s="6"/>
      <c r="B17" s="4"/>
      <c r="C17" s="4"/>
      <c r="D17" s="4"/>
      <c r="E17" s="4"/>
      <c r="F17" s="4"/>
      <c r="G17" s="25"/>
      <c r="H17" s="12"/>
      <c r="I17" s="9"/>
      <c r="J17" s="9"/>
      <c r="K17" s="9"/>
      <c r="L17" s="9"/>
      <c r="M17" s="9"/>
      <c r="N17" s="9"/>
      <c r="O17" s="9"/>
      <c r="P17" s="9"/>
      <c r="Q17" s="9"/>
      <c r="R17" s="4"/>
      <c r="S17" s="4"/>
      <c r="T17" s="4"/>
      <c r="U17" s="4"/>
      <c r="V17" s="4"/>
      <c r="W17" s="4"/>
      <c r="X17" s="4"/>
      <c r="Y17" s="4"/>
      <c r="Z17" s="4"/>
    </row>
    <row r="18">
      <c r="A18" s="6"/>
      <c r="B18" s="4"/>
      <c r="C18" s="4"/>
      <c r="D18" s="4"/>
      <c r="E18" s="4"/>
      <c r="F18" s="4"/>
      <c r="G18" s="25"/>
      <c r="H18" s="12"/>
      <c r="I18" s="9"/>
      <c r="J18" s="9"/>
      <c r="K18" s="9"/>
      <c r="L18" s="9"/>
      <c r="M18" s="9"/>
      <c r="N18" s="9"/>
      <c r="O18" s="9"/>
      <c r="P18" s="9"/>
      <c r="Q18" s="9"/>
      <c r="R18" s="4"/>
      <c r="S18" s="4"/>
      <c r="T18" s="4"/>
      <c r="U18" s="4"/>
      <c r="V18" s="4"/>
      <c r="W18" s="4"/>
      <c r="X18" s="4"/>
      <c r="Y18" s="4"/>
      <c r="Z18" s="4"/>
    </row>
    <row r="19">
      <c r="A19" s="26"/>
      <c r="B19" s="27"/>
      <c r="C19" s="27"/>
      <c r="D19" s="27"/>
      <c r="E19" s="27"/>
      <c r="F19" s="27"/>
      <c r="G19" s="28"/>
      <c r="H19" s="4"/>
      <c r="I19" s="4"/>
      <c r="J19" s="4"/>
      <c r="K19" s="4"/>
      <c r="L19" s="4"/>
      <c r="M19" s="4"/>
      <c r="N19" s="4"/>
      <c r="O19" s="4"/>
      <c r="P19" s="4"/>
      <c r="Q19" s="4"/>
      <c r="R19" s="4"/>
      <c r="S19" s="4"/>
      <c r="T19" s="4"/>
      <c r="U19" s="4"/>
      <c r="V19" s="4"/>
      <c r="W19" s="4"/>
      <c r="X19" s="4"/>
      <c r="Y19" s="4"/>
      <c r="Z19" s="4"/>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c r="A21" s="30" t="s">
        <v>27</v>
      </c>
      <c r="B21" s="31" t="s">
        <v>28</v>
      </c>
      <c r="C21" s="31" t="s">
        <v>29</v>
      </c>
      <c r="D21" s="31" t="s">
        <v>30</v>
      </c>
      <c r="E21" s="31" t="s">
        <v>31</v>
      </c>
      <c r="F21" s="31" t="s">
        <v>32</v>
      </c>
      <c r="G21" s="31" t="s">
        <v>33</v>
      </c>
      <c r="H21" s="32" t="s">
        <v>34</v>
      </c>
      <c r="I21" s="33" t="s">
        <v>28</v>
      </c>
      <c r="J21" s="29"/>
      <c r="K21" s="29"/>
      <c r="L21" s="29"/>
      <c r="M21" s="29"/>
      <c r="N21" s="29"/>
      <c r="O21" s="29"/>
      <c r="P21" s="29"/>
      <c r="Q21" s="29"/>
      <c r="R21" s="29"/>
      <c r="S21" s="29"/>
      <c r="T21" s="29"/>
      <c r="U21" s="29"/>
      <c r="V21" s="29"/>
      <c r="W21" s="29"/>
      <c r="X21" s="29"/>
      <c r="Y21" s="29"/>
      <c r="Z21" s="29"/>
    </row>
    <row r="22">
      <c r="A22" s="34" t="s">
        <v>36</v>
      </c>
      <c r="B22" s="29"/>
      <c r="C22" s="29"/>
      <c r="D22" s="29"/>
      <c r="E22" s="29"/>
      <c r="F22" s="29"/>
      <c r="G22" s="29"/>
      <c r="H22" s="29"/>
      <c r="I22" s="35"/>
      <c r="J22" s="29"/>
      <c r="K22" s="29"/>
      <c r="L22" s="29"/>
      <c r="M22" s="29"/>
      <c r="N22" s="29"/>
      <c r="O22" s="29"/>
      <c r="P22" s="29"/>
      <c r="Q22" s="29"/>
      <c r="R22" s="29"/>
      <c r="S22" s="29"/>
      <c r="T22" s="29"/>
      <c r="U22" s="29"/>
      <c r="V22" s="29"/>
      <c r="W22" s="29"/>
      <c r="X22" s="29"/>
      <c r="Y22" s="29"/>
      <c r="Z22" s="29"/>
    </row>
    <row r="23">
      <c r="A23" s="36" t="s">
        <v>37</v>
      </c>
      <c r="B23" s="37">
        <v>37154.3</v>
      </c>
      <c r="C23" s="38">
        <f t="shared" ref="C23:I23" si="1">B23*(1+$B$2)</f>
        <v>39312.96483</v>
      </c>
      <c r="D23" s="38">
        <f t="shared" si="1"/>
        <v>41597.04809</v>
      </c>
      <c r="E23" s="38">
        <f t="shared" si="1"/>
        <v>44013.83658</v>
      </c>
      <c r="F23" s="38">
        <f t="shared" si="1"/>
        <v>46571.04049</v>
      </c>
      <c r="G23" s="38">
        <f t="shared" si="1"/>
        <v>49276.81794</v>
      </c>
      <c r="H23" s="38">
        <f t="shared" si="1"/>
        <v>52139.80106</v>
      </c>
      <c r="I23" s="39">
        <f t="shared" si="1"/>
        <v>55169.1235</v>
      </c>
      <c r="J23" s="29"/>
      <c r="K23" s="29"/>
      <c r="L23" s="29"/>
      <c r="M23" s="29"/>
      <c r="N23" s="29"/>
      <c r="O23" s="29"/>
      <c r="P23" s="29"/>
      <c r="Q23" s="29"/>
      <c r="R23" s="29"/>
      <c r="S23" s="29"/>
      <c r="T23" s="29"/>
      <c r="U23" s="29"/>
      <c r="V23" s="29"/>
      <c r="W23" s="29"/>
      <c r="X23" s="29"/>
      <c r="Y23" s="29"/>
      <c r="Z23" s="29"/>
    </row>
    <row r="24">
      <c r="A24" s="36" t="s">
        <v>38</v>
      </c>
      <c r="B24" s="37">
        <v>-30841.3</v>
      </c>
      <c r="C24" s="38">
        <f>($B$6+1.5%)*C23</f>
        <v>-32043.48506</v>
      </c>
      <c r="D24" s="38">
        <f>($B$6+3%)*D23</f>
        <v>-33281.25582</v>
      </c>
      <c r="E24" s="38">
        <f>($B$6+4.5%)*E23</f>
        <v>-34554.68923</v>
      </c>
      <c r="F24" s="38">
        <f>($B$6+6%)*F23</f>
        <v>-35863.75107</v>
      </c>
      <c r="G24" s="38">
        <f>($B$6+7.5%)*G23</f>
        <v>-37208.28274</v>
      </c>
      <c r="H24" s="38">
        <f>($B$6+9%)*H23</f>
        <v>-38587.98695</v>
      </c>
      <c r="I24" s="39">
        <f>($B$6+10.5%)*I23</f>
        <v>-40002.41214</v>
      </c>
      <c r="J24" s="29"/>
      <c r="K24" s="29"/>
      <c r="L24" s="29"/>
      <c r="M24" s="29"/>
      <c r="N24" s="29"/>
      <c r="O24" s="29"/>
      <c r="P24" s="29"/>
      <c r="Q24" s="29"/>
      <c r="R24" s="29"/>
      <c r="S24" s="29"/>
      <c r="T24" s="29"/>
      <c r="U24" s="29"/>
      <c r="V24" s="29"/>
      <c r="W24" s="29"/>
      <c r="X24" s="29"/>
      <c r="Y24" s="29"/>
      <c r="Z24" s="29"/>
    </row>
    <row r="25">
      <c r="A25" s="36" t="s">
        <v>39</v>
      </c>
      <c r="B25" s="37">
        <v>-52.8</v>
      </c>
      <c r="C25" s="40">
        <f t="shared" ref="C25:I25" si="2">$B$8*C45</f>
        <v>-398.6949919</v>
      </c>
      <c r="D25" s="40">
        <f t="shared" si="2"/>
        <v>-443.2199273</v>
      </c>
      <c r="E25" s="40">
        <f t="shared" si="2"/>
        <v>-494.715384</v>
      </c>
      <c r="F25" s="40">
        <f t="shared" si="2"/>
        <v>-553.8805821</v>
      </c>
      <c r="G25" s="40">
        <f t="shared" si="2"/>
        <v>-621.4726069</v>
      </c>
      <c r="H25" s="40">
        <f t="shared" si="2"/>
        <v>-698.3107452</v>
      </c>
      <c r="I25" s="40">
        <f t="shared" si="2"/>
        <v>-785.281127</v>
      </c>
      <c r="J25" s="29"/>
      <c r="K25" s="29"/>
      <c r="L25" s="29"/>
      <c r="M25" s="29"/>
      <c r="N25" s="29"/>
      <c r="O25" s="29"/>
      <c r="P25" s="29"/>
      <c r="Q25" s="29"/>
      <c r="R25" s="29"/>
      <c r="S25" s="29"/>
      <c r="T25" s="29"/>
      <c r="U25" s="29"/>
      <c r="V25" s="29"/>
      <c r="W25" s="29"/>
      <c r="X25" s="29"/>
      <c r="Y25" s="29"/>
      <c r="Z25" s="29"/>
    </row>
    <row r="26">
      <c r="A26" s="36" t="s">
        <v>40</v>
      </c>
      <c r="B26" s="37">
        <v>234.1</v>
      </c>
      <c r="C26" s="40">
        <f t="shared" ref="C26:I26" si="3">$B$9*AVERAGE(B35:C35)</f>
        <v>483.4142803</v>
      </c>
      <c r="D26" s="40">
        <f t="shared" si="3"/>
        <v>691.7930349</v>
      </c>
      <c r="E26" s="40">
        <f t="shared" si="3"/>
        <v>804.2746088</v>
      </c>
      <c r="F26" s="40">
        <f t="shared" si="3"/>
        <v>937.1972709</v>
      </c>
      <c r="G26" s="40">
        <f t="shared" si="3"/>
        <v>1092.678175</v>
      </c>
      <c r="H26" s="40">
        <f t="shared" si="3"/>
        <v>1273.011894</v>
      </c>
      <c r="I26" s="41">
        <f t="shared" si="3"/>
        <v>1480.683797</v>
      </c>
      <c r="J26" s="29"/>
      <c r="K26" s="29"/>
      <c r="L26" s="29"/>
      <c r="M26" s="29"/>
      <c r="N26" s="29"/>
      <c r="O26" s="29"/>
      <c r="P26" s="29"/>
      <c r="Q26" s="29"/>
      <c r="R26" s="29"/>
      <c r="S26" s="29"/>
      <c r="T26" s="29"/>
      <c r="U26" s="29"/>
      <c r="V26" s="29"/>
      <c r="W26" s="29"/>
      <c r="X26" s="29"/>
      <c r="Y26" s="29"/>
      <c r="Z26" s="29"/>
    </row>
    <row r="27">
      <c r="A27" s="36" t="s">
        <v>41</v>
      </c>
      <c r="B27" s="40">
        <f>-2011.1</f>
        <v>-2011.1</v>
      </c>
      <c r="C27" s="40">
        <f t="shared" ref="C27:I27" si="4">-$B$7*AVERAGE(B39:C39)</f>
        <v>-2080.464127</v>
      </c>
      <c r="D27" s="40">
        <f t="shared" si="4"/>
        <v>-2277.962203</v>
      </c>
      <c r="E27" s="40">
        <f t="shared" si="4"/>
        <v>-2492.220288</v>
      </c>
      <c r="F27" s="40">
        <f t="shared" si="4"/>
        <v>-2724.572819</v>
      </c>
      <c r="G27" s="40">
        <f t="shared" si="4"/>
        <v>-2976.460273</v>
      </c>
      <c r="H27" s="40">
        <f t="shared" si="4"/>
        <v>-3249.433645</v>
      </c>
      <c r="I27" s="41">
        <f t="shared" si="4"/>
        <v>-3545.162721</v>
      </c>
      <c r="J27" s="29"/>
      <c r="K27" s="29"/>
      <c r="L27" s="29"/>
      <c r="M27" s="29"/>
      <c r="N27" s="29"/>
      <c r="O27" s="29"/>
      <c r="P27" s="29"/>
      <c r="Q27" s="29"/>
      <c r="R27" s="29"/>
      <c r="S27" s="29"/>
      <c r="T27" s="29"/>
      <c r="U27" s="29"/>
      <c r="V27" s="29"/>
      <c r="W27" s="29"/>
      <c r="X27" s="29"/>
      <c r="Y27" s="29"/>
      <c r="Z27" s="29"/>
    </row>
    <row r="28">
      <c r="A28" s="36" t="s">
        <v>42</v>
      </c>
      <c r="B28" s="40">
        <f t="shared" ref="B28:I28" si="5">SUM(B23:B27)</f>
        <v>4483.2</v>
      </c>
      <c r="C28" s="40">
        <f t="shared" si="5"/>
        <v>5273.734933</v>
      </c>
      <c r="D28" s="40">
        <f t="shared" si="5"/>
        <v>6286.403173</v>
      </c>
      <c r="E28" s="40">
        <f t="shared" si="5"/>
        <v>7276.486285</v>
      </c>
      <c r="F28" s="40">
        <f t="shared" si="5"/>
        <v>8366.033286</v>
      </c>
      <c r="G28" s="40">
        <f t="shared" si="5"/>
        <v>9563.280496</v>
      </c>
      <c r="H28" s="40">
        <f t="shared" si="5"/>
        <v>10877.08162</v>
      </c>
      <c r="I28" s="41">
        <f t="shared" si="5"/>
        <v>12316.95131</v>
      </c>
      <c r="J28" s="29"/>
      <c r="K28" s="29"/>
      <c r="L28" s="29"/>
      <c r="M28" s="29"/>
      <c r="N28" s="29"/>
      <c r="O28" s="29"/>
      <c r="P28" s="29"/>
      <c r="Q28" s="29"/>
      <c r="R28" s="29"/>
      <c r="S28" s="29"/>
      <c r="T28" s="29"/>
      <c r="U28" s="29"/>
      <c r="V28" s="29"/>
      <c r="W28" s="29"/>
      <c r="X28" s="29"/>
      <c r="Y28" s="29"/>
      <c r="Z28" s="29"/>
    </row>
    <row r="29">
      <c r="A29" s="36" t="s">
        <v>43</v>
      </c>
      <c r="B29" s="37">
        <v>-1175.8</v>
      </c>
      <c r="C29" s="40">
        <f t="shared" ref="C29:I29" si="6">-$B$10*C28</f>
        <v>-1318.433733</v>
      </c>
      <c r="D29" s="40">
        <f t="shared" si="6"/>
        <v>-1571.600793</v>
      </c>
      <c r="E29" s="40">
        <f t="shared" si="6"/>
        <v>-1819.121571</v>
      </c>
      <c r="F29" s="40">
        <f t="shared" si="6"/>
        <v>-2091.508321</v>
      </c>
      <c r="G29" s="40">
        <f t="shared" si="6"/>
        <v>-2390.820124</v>
      </c>
      <c r="H29" s="40">
        <f t="shared" si="6"/>
        <v>-2719.270404</v>
      </c>
      <c r="I29" s="41">
        <f t="shared" si="6"/>
        <v>-3079.237828</v>
      </c>
      <c r="J29" s="29"/>
      <c r="K29" s="29"/>
      <c r="L29" s="29"/>
      <c r="M29" s="29"/>
      <c r="N29" s="29"/>
      <c r="O29" s="29"/>
      <c r="P29" s="29"/>
      <c r="Q29" s="29"/>
      <c r="R29" s="29"/>
      <c r="S29" s="29"/>
      <c r="T29" s="29"/>
      <c r="U29" s="29"/>
      <c r="V29" s="29"/>
      <c r="W29" s="29"/>
      <c r="X29" s="29"/>
      <c r="Y29" s="29"/>
      <c r="Z29" s="29"/>
    </row>
    <row r="30">
      <c r="A30" s="36" t="s">
        <v>44</v>
      </c>
      <c r="B30" s="40">
        <f t="shared" ref="B30:I30" si="7">SUM(B28:B29)</f>
        <v>3307.4</v>
      </c>
      <c r="C30" s="40">
        <f t="shared" si="7"/>
        <v>3955.3012</v>
      </c>
      <c r="D30" s="40">
        <f t="shared" si="7"/>
        <v>4714.80238</v>
      </c>
      <c r="E30" s="40">
        <f t="shared" si="7"/>
        <v>5457.364714</v>
      </c>
      <c r="F30" s="40">
        <f t="shared" si="7"/>
        <v>6274.524964</v>
      </c>
      <c r="G30" s="40">
        <f t="shared" si="7"/>
        <v>7172.460372</v>
      </c>
      <c r="H30" s="40">
        <f t="shared" si="7"/>
        <v>8157.811211</v>
      </c>
      <c r="I30" s="41">
        <f t="shared" si="7"/>
        <v>9237.713485</v>
      </c>
      <c r="J30" s="29"/>
      <c r="K30" s="29"/>
      <c r="L30" s="29"/>
      <c r="M30" s="29"/>
      <c r="N30" s="29"/>
      <c r="O30" s="29"/>
      <c r="P30" s="29"/>
      <c r="Q30" s="29"/>
      <c r="R30" s="29"/>
      <c r="S30" s="29"/>
      <c r="T30" s="29"/>
      <c r="U30" s="29"/>
      <c r="V30" s="29"/>
      <c r="W30" s="29"/>
      <c r="X30" s="29"/>
      <c r="Y30" s="29"/>
      <c r="Z30" s="29"/>
    </row>
    <row r="31">
      <c r="A31" s="36" t="s">
        <v>45</v>
      </c>
      <c r="B31" s="40">
        <f>-728</f>
        <v>-728</v>
      </c>
      <c r="C31" s="38">
        <f t="shared" ref="C31:I31" si="8">$B$11*C30</f>
        <v>-996.5885682</v>
      </c>
      <c r="D31" s="38">
        <f t="shared" si="8"/>
        <v>-1187.954574</v>
      </c>
      <c r="E31" s="38">
        <f t="shared" si="8"/>
        <v>-1375.052622</v>
      </c>
      <c r="F31" s="38">
        <f t="shared" si="8"/>
        <v>-1580.946566</v>
      </c>
      <c r="G31" s="38">
        <f t="shared" si="8"/>
        <v>-1807.192841</v>
      </c>
      <c r="H31" s="38">
        <f t="shared" si="8"/>
        <v>-2055.464548</v>
      </c>
      <c r="I31" s="39">
        <f t="shared" si="8"/>
        <v>-2327.559695</v>
      </c>
      <c r="J31" s="29"/>
      <c r="K31" s="29"/>
      <c r="L31" s="29"/>
      <c r="M31" s="29"/>
      <c r="N31" s="29"/>
      <c r="O31" s="29"/>
      <c r="P31" s="29"/>
      <c r="Q31" s="29"/>
      <c r="R31" s="29"/>
      <c r="S31" s="29"/>
      <c r="T31" s="29"/>
      <c r="U31" s="29"/>
      <c r="V31" s="29"/>
      <c r="W31" s="29"/>
      <c r="X31" s="29"/>
      <c r="Y31" s="29"/>
      <c r="Z31" s="29"/>
    </row>
    <row r="32">
      <c r="A32" s="36" t="s">
        <v>46</v>
      </c>
      <c r="B32" s="37">
        <v>28343.3</v>
      </c>
      <c r="C32" s="40">
        <f t="shared" ref="C32:I32" si="9">SUM(C30:C31)</f>
        <v>2958.712632</v>
      </c>
      <c r="D32" s="40">
        <f t="shared" si="9"/>
        <v>3526.847806</v>
      </c>
      <c r="E32" s="40">
        <f t="shared" si="9"/>
        <v>4082.312091</v>
      </c>
      <c r="F32" s="40">
        <f t="shared" si="9"/>
        <v>4693.578398</v>
      </c>
      <c r="G32" s="40">
        <f t="shared" si="9"/>
        <v>5365.267531</v>
      </c>
      <c r="H32" s="40">
        <f t="shared" si="9"/>
        <v>6102.346663</v>
      </c>
      <c r="I32" s="41">
        <f t="shared" si="9"/>
        <v>6910.15379</v>
      </c>
      <c r="J32" s="29"/>
      <c r="K32" s="29"/>
      <c r="L32" s="29"/>
      <c r="M32" s="29"/>
      <c r="N32" s="29"/>
      <c r="O32" s="29"/>
      <c r="P32" s="29"/>
      <c r="Q32" s="29"/>
      <c r="R32" s="29"/>
      <c r="S32" s="29"/>
      <c r="T32" s="29"/>
      <c r="U32" s="29"/>
      <c r="V32" s="29"/>
      <c r="W32" s="29"/>
      <c r="X32" s="29"/>
      <c r="Y32" s="29"/>
      <c r="Z32" s="29"/>
    </row>
    <row r="33">
      <c r="A33" s="36"/>
      <c r="B33" s="40"/>
      <c r="C33" s="29"/>
      <c r="D33" s="29"/>
      <c r="E33" s="29"/>
      <c r="F33" s="29"/>
      <c r="G33" s="29"/>
      <c r="H33" s="29"/>
      <c r="I33" s="35"/>
      <c r="J33" s="29"/>
      <c r="K33" s="29"/>
      <c r="L33" s="29"/>
      <c r="M33" s="29"/>
      <c r="N33" s="29"/>
      <c r="O33" s="29"/>
      <c r="P33" s="29"/>
      <c r="Q33" s="29"/>
      <c r="R33" s="29"/>
      <c r="S33" s="29"/>
      <c r="T33" s="29"/>
      <c r="U33" s="29"/>
      <c r="V33" s="29"/>
      <c r="W33" s="29"/>
      <c r="X33" s="29"/>
      <c r="Y33" s="29"/>
      <c r="Z33" s="29"/>
    </row>
    <row r="34">
      <c r="A34" s="34" t="s">
        <v>47</v>
      </c>
      <c r="B34" s="40"/>
      <c r="C34" s="29"/>
      <c r="I34" s="42"/>
      <c r="J34" s="29"/>
      <c r="K34" s="29"/>
      <c r="L34" s="29"/>
      <c r="M34" s="29"/>
      <c r="N34" s="29"/>
      <c r="O34" s="29"/>
      <c r="P34" s="29"/>
      <c r="Q34" s="29"/>
      <c r="R34" s="29"/>
      <c r="S34" s="29"/>
      <c r="T34" s="29"/>
      <c r="U34" s="29"/>
      <c r="V34" s="29"/>
      <c r="W34" s="29"/>
      <c r="X34" s="29"/>
      <c r="Y34" s="29"/>
      <c r="Z34" s="29"/>
    </row>
    <row r="35">
      <c r="A35" s="43" t="s">
        <v>48</v>
      </c>
      <c r="B35" s="40">
        <f>9232</f>
        <v>9232</v>
      </c>
      <c r="C35" s="37">
        <f t="shared" ref="C35:I35" si="10">C48-C36-C37-C41</f>
        <v>18112.40685</v>
      </c>
      <c r="D35" s="37">
        <f t="shared" si="10"/>
        <v>21018.97786</v>
      </c>
      <c r="E35" s="37">
        <f t="shared" si="10"/>
        <v>24474.94514</v>
      </c>
      <c r="F35" s="37">
        <f t="shared" si="10"/>
        <v>28537.7697</v>
      </c>
      <c r="G35" s="37">
        <f t="shared" si="10"/>
        <v>33269.74767</v>
      </c>
      <c r="H35" s="37">
        <f t="shared" si="10"/>
        <v>38738.37572</v>
      </c>
      <c r="I35" s="44">
        <f t="shared" si="10"/>
        <v>45016.74247</v>
      </c>
      <c r="J35" s="45"/>
      <c r="K35" s="46"/>
      <c r="L35" s="29"/>
      <c r="M35" s="29"/>
      <c r="N35" s="29"/>
      <c r="O35" s="29"/>
      <c r="P35" s="29"/>
      <c r="Q35" s="29"/>
      <c r="R35" s="29"/>
      <c r="S35" s="29"/>
      <c r="T35" s="29"/>
      <c r="U35" s="29"/>
      <c r="V35" s="29"/>
      <c r="W35" s="29"/>
      <c r="X35" s="29"/>
      <c r="Y35" s="29"/>
      <c r="Z35" s="29"/>
    </row>
    <row r="36">
      <c r="A36" s="36" t="s">
        <v>49</v>
      </c>
      <c r="B36" s="40">
        <f>17227.1</f>
        <v>17227.1</v>
      </c>
      <c r="C36" s="40">
        <f t="shared" ref="C36:I36" si="11">$B$3*C23</f>
        <v>16904.57488</v>
      </c>
      <c r="D36" s="40">
        <f t="shared" si="11"/>
        <v>17886.73068</v>
      </c>
      <c r="E36" s="40">
        <f t="shared" si="11"/>
        <v>18925.94973</v>
      </c>
      <c r="F36" s="40">
        <f t="shared" si="11"/>
        <v>20025.54741</v>
      </c>
      <c r="G36" s="40">
        <f t="shared" si="11"/>
        <v>21189.03171</v>
      </c>
      <c r="H36" s="40">
        <f t="shared" si="11"/>
        <v>22420.11446</v>
      </c>
      <c r="I36" s="41">
        <f t="shared" si="11"/>
        <v>23722.72311</v>
      </c>
      <c r="J36" s="29"/>
      <c r="K36" s="29"/>
      <c r="L36" s="29"/>
      <c r="M36" s="29"/>
      <c r="N36" s="29"/>
      <c r="O36" s="29"/>
      <c r="P36" s="29"/>
      <c r="Q36" s="29"/>
      <c r="R36" s="29"/>
      <c r="S36" s="29"/>
      <c r="T36" s="29"/>
      <c r="U36" s="29"/>
      <c r="V36" s="29"/>
      <c r="W36" s="29"/>
      <c r="X36" s="29"/>
      <c r="Y36" s="29"/>
      <c r="Z36" s="29"/>
    </row>
    <row r="37">
      <c r="A37" s="43" t="s">
        <v>50</v>
      </c>
      <c r="B37" s="40">
        <f>47843.4-B41</f>
        <v>34718.1</v>
      </c>
      <c r="C37" s="40">
        <f t="shared" ref="C37:I37" si="12">C42*$B$13</f>
        <v>41201.39933</v>
      </c>
      <c r="D37" s="40">
        <f t="shared" si="12"/>
        <v>45157.36217</v>
      </c>
      <c r="E37" s="40">
        <f t="shared" si="12"/>
        <v>49663.75088</v>
      </c>
      <c r="F37" s="40">
        <f t="shared" si="12"/>
        <v>54774.06313</v>
      </c>
      <c r="G37" s="40">
        <f t="shared" si="12"/>
        <v>60546.16567</v>
      </c>
      <c r="H37" s="40">
        <f t="shared" si="12"/>
        <v>67042.61936</v>
      </c>
      <c r="I37" s="41">
        <f t="shared" si="12"/>
        <v>74331.02713</v>
      </c>
      <c r="J37" s="29"/>
      <c r="K37" s="29"/>
      <c r="L37" s="29"/>
      <c r="M37" s="29"/>
      <c r="N37" s="29"/>
      <c r="O37" s="29"/>
      <c r="P37" s="29"/>
      <c r="Q37" s="29"/>
      <c r="R37" s="29"/>
      <c r="S37" s="29"/>
      <c r="T37" s="29"/>
      <c r="U37" s="29"/>
      <c r="V37" s="29"/>
      <c r="W37" s="29"/>
      <c r="X37" s="29"/>
      <c r="Y37" s="29"/>
      <c r="Z37" s="29"/>
    </row>
    <row r="38">
      <c r="A38" s="36" t="s">
        <v>51</v>
      </c>
      <c r="B38" s="40"/>
      <c r="C38" s="29"/>
      <c r="D38" s="29"/>
      <c r="E38" s="29"/>
      <c r="F38" s="29"/>
      <c r="G38" s="29"/>
      <c r="H38" s="29"/>
      <c r="I38" s="35"/>
      <c r="J38" s="29"/>
      <c r="K38" s="29"/>
      <c r="L38" s="29"/>
      <c r="M38" s="29"/>
      <c r="N38" s="29"/>
      <c r="O38" s="29"/>
      <c r="P38" s="29"/>
      <c r="Q38" s="29"/>
      <c r="R38" s="29"/>
      <c r="S38" s="29"/>
      <c r="T38" s="29"/>
      <c r="U38" s="29"/>
      <c r="V38" s="29"/>
      <c r="W38" s="29"/>
      <c r="X38" s="29"/>
      <c r="Y38" s="29"/>
      <c r="Z38" s="29"/>
    </row>
    <row r="39">
      <c r="A39" s="36" t="s">
        <v>52</v>
      </c>
      <c r="B39" s="40">
        <f>29800.5</f>
        <v>29800.5</v>
      </c>
      <c r="C39" s="40">
        <f t="shared" ref="C39:I39" si="13">C41-C40</f>
        <v>32643.44406</v>
      </c>
      <c r="D39" s="40">
        <f t="shared" si="13"/>
        <v>35728.29208</v>
      </c>
      <c r="E39" s="40">
        <f t="shared" si="13"/>
        <v>39074.27826</v>
      </c>
      <c r="F39" s="40">
        <f t="shared" si="13"/>
        <v>42702.22077</v>
      </c>
      <c r="G39" s="40">
        <f t="shared" si="13"/>
        <v>46634.53651</v>
      </c>
      <c r="H39" s="40">
        <f t="shared" si="13"/>
        <v>50895.36083</v>
      </c>
      <c r="I39" s="41">
        <f t="shared" si="13"/>
        <v>55510.67602</v>
      </c>
      <c r="J39" s="29"/>
      <c r="K39" s="29"/>
      <c r="L39" s="29"/>
      <c r="M39" s="29"/>
      <c r="N39" s="29"/>
      <c r="O39" s="29"/>
      <c r="P39" s="29"/>
      <c r="Q39" s="29"/>
      <c r="R39" s="29"/>
      <c r="S39" s="29"/>
      <c r="T39" s="29"/>
      <c r="U39" s="29"/>
      <c r="V39" s="29"/>
      <c r="W39" s="29"/>
      <c r="X39" s="29"/>
      <c r="Y39" s="29"/>
      <c r="Z39" s="29"/>
    </row>
    <row r="40">
      <c r="A40" s="36" t="s">
        <v>53</v>
      </c>
      <c r="B40" s="37">
        <v>-16675.1</v>
      </c>
      <c r="C40" s="40">
        <f t="shared" ref="C40:I40" si="14">B40+C27</f>
        <v>-18755.56413</v>
      </c>
      <c r="D40" s="40">
        <f t="shared" si="14"/>
        <v>-21033.52633</v>
      </c>
      <c r="E40" s="40">
        <f t="shared" si="14"/>
        <v>-23525.74662</v>
      </c>
      <c r="F40" s="40">
        <f t="shared" si="14"/>
        <v>-26250.31944</v>
      </c>
      <c r="G40" s="40">
        <f t="shared" si="14"/>
        <v>-29226.77971</v>
      </c>
      <c r="H40" s="40">
        <f t="shared" si="14"/>
        <v>-32476.21336</v>
      </c>
      <c r="I40" s="41">
        <f t="shared" si="14"/>
        <v>-36021.37608</v>
      </c>
      <c r="J40" s="29"/>
      <c r="K40" s="29"/>
      <c r="L40" s="29"/>
      <c r="M40" s="29"/>
      <c r="N40" s="29"/>
      <c r="O40" s="29"/>
      <c r="P40" s="29"/>
      <c r="Q40" s="29"/>
      <c r="R40" s="29"/>
      <c r="S40" s="29"/>
      <c r="T40" s="29"/>
      <c r="U40" s="29"/>
      <c r="V40" s="29"/>
      <c r="W40" s="29"/>
      <c r="X40" s="29"/>
      <c r="Y40" s="29"/>
      <c r="Z40" s="29"/>
    </row>
    <row r="41">
      <c r="A41" s="36" t="s">
        <v>54</v>
      </c>
      <c r="B41" s="47">
        <f>13125.3</f>
        <v>13125.3</v>
      </c>
      <c r="C41" s="47">
        <f t="shared" ref="C41:I41" si="15">$B$5*C23</f>
        <v>13887.87993</v>
      </c>
      <c r="D41" s="47">
        <f t="shared" si="15"/>
        <v>14694.76575</v>
      </c>
      <c r="E41" s="47">
        <f t="shared" si="15"/>
        <v>15548.53164</v>
      </c>
      <c r="F41" s="47">
        <f t="shared" si="15"/>
        <v>16451.90133</v>
      </c>
      <c r="G41" s="47">
        <f t="shared" si="15"/>
        <v>17407.7568</v>
      </c>
      <c r="H41" s="47">
        <f t="shared" si="15"/>
        <v>18419.14747</v>
      </c>
      <c r="I41" s="48">
        <f t="shared" si="15"/>
        <v>19489.29994</v>
      </c>
      <c r="J41" s="29"/>
      <c r="K41" s="29"/>
      <c r="L41" s="29"/>
      <c r="M41" s="29"/>
      <c r="N41" s="29"/>
      <c r="O41" s="29"/>
      <c r="P41" s="29"/>
      <c r="Q41" s="29"/>
      <c r="R41" s="29"/>
      <c r="S41" s="29"/>
      <c r="T41" s="29"/>
      <c r="U41" s="29"/>
      <c r="V41" s="29"/>
      <c r="W41" s="29"/>
      <c r="X41" s="29"/>
      <c r="Y41" s="29"/>
      <c r="Z41" s="29"/>
    </row>
    <row r="42">
      <c r="A42" s="34" t="s">
        <v>55</v>
      </c>
      <c r="B42" s="40">
        <f t="shared" ref="B42:I42" si="16">B35+B36+B41+B37</f>
        <v>74302.5</v>
      </c>
      <c r="C42" s="40">
        <f t="shared" si="16"/>
        <v>90106.26098</v>
      </c>
      <c r="D42" s="40">
        <f t="shared" si="16"/>
        <v>98757.83647</v>
      </c>
      <c r="E42" s="40">
        <f t="shared" si="16"/>
        <v>108613.1774</v>
      </c>
      <c r="F42" s="40">
        <f t="shared" si="16"/>
        <v>119789.2816</v>
      </c>
      <c r="G42" s="40">
        <f t="shared" si="16"/>
        <v>132412.7019</v>
      </c>
      <c r="H42" s="40">
        <f t="shared" si="16"/>
        <v>146620.257</v>
      </c>
      <c r="I42" s="41">
        <f t="shared" si="16"/>
        <v>162559.7926</v>
      </c>
      <c r="J42" s="29"/>
      <c r="K42" s="29"/>
      <c r="L42" s="29"/>
      <c r="M42" s="29"/>
      <c r="N42" s="29"/>
      <c r="O42" s="29"/>
      <c r="P42" s="29"/>
      <c r="Q42" s="29"/>
      <c r="R42" s="29"/>
      <c r="S42" s="29"/>
      <c r="T42" s="29"/>
      <c r="U42" s="29"/>
      <c r="V42" s="29"/>
      <c r="W42" s="29"/>
      <c r="X42" s="29"/>
      <c r="Y42" s="29"/>
      <c r="Z42" s="29"/>
    </row>
    <row r="43">
      <c r="A43" s="36"/>
      <c r="B43" s="40"/>
      <c r="C43" s="29"/>
      <c r="D43" s="29"/>
      <c r="E43" s="29"/>
      <c r="F43" s="29"/>
      <c r="G43" s="29"/>
      <c r="H43" s="29"/>
      <c r="I43" s="35"/>
      <c r="J43" s="29"/>
      <c r="K43" s="29"/>
      <c r="L43" s="29"/>
      <c r="M43" s="29"/>
      <c r="N43" s="29"/>
      <c r="O43" s="29"/>
      <c r="P43" s="29"/>
      <c r="Q43" s="29"/>
      <c r="R43" s="29"/>
      <c r="S43" s="29"/>
      <c r="T43" s="29"/>
      <c r="U43" s="29"/>
      <c r="V43" s="29"/>
      <c r="W43" s="29"/>
      <c r="X43" s="29"/>
      <c r="Y43" s="29"/>
      <c r="Z43" s="29"/>
    </row>
    <row r="44">
      <c r="A44" s="36" t="s">
        <v>56</v>
      </c>
      <c r="B44" s="40">
        <f>23959.7</f>
        <v>23959.7</v>
      </c>
      <c r="C44" s="40">
        <f t="shared" ref="C44:I44" si="17">$B$4*C23</f>
        <v>26339.68644</v>
      </c>
      <c r="D44" s="40">
        <f t="shared" si="17"/>
        <v>27870.02222</v>
      </c>
      <c r="E44" s="40">
        <f t="shared" si="17"/>
        <v>29489.27051</v>
      </c>
      <c r="F44" s="40">
        <f t="shared" si="17"/>
        <v>31202.59713</v>
      </c>
      <c r="G44" s="40">
        <f t="shared" si="17"/>
        <v>33015.46802</v>
      </c>
      <c r="H44" s="40">
        <f t="shared" si="17"/>
        <v>34933.66671</v>
      </c>
      <c r="I44" s="41">
        <f t="shared" si="17"/>
        <v>36963.31275</v>
      </c>
      <c r="J44" s="29"/>
      <c r="K44" s="29"/>
      <c r="L44" s="29"/>
      <c r="M44" s="29"/>
      <c r="N44" s="29"/>
      <c r="O44" s="29"/>
      <c r="P44" s="29"/>
      <c r="Q44" s="29"/>
      <c r="R44" s="29"/>
      <c r="S44" s="29"/>
      <c r="T44" s="29"/>
      <c r="U44" s="29"/>
      <c r="V44" s="29"/>
      <c r="W44" s="29"/>
      <c r="X44" s="29"/>
      <c r="Y44" s="29"/>
      <c r="Z44" s="29"/>
    </row>
    <row r="45">
      <c r="A45" s="36" t="s">
        <v>57</v>
      </c>
      <c r="B45" s="37">
        <v>21079.3</v>
      </c>
      <c r="C45" s="40">
        <f t="shared" ref="C45:I45" si="18">(C46+C47)*C63</f>
        <v>31883.28727</v>
      </c>
      <c r="D45" s="40">
        <f t="shared" si="18"/>
        <v>35443.90714</v>
      </c>
      <c r="E45" s="40">
        <f t="shared" si="18"/>
        <v>39561.95344</v>
      </c>
      <c r="F45" s="40">
        <f t="shared" si="18"/>
        <v>44293.34221</v>
      </c>
      <c r="G45" s="40">
        <f t="shared" si="18"/>
        <v>49698.61689</v>
      </c>
      <c r="H45" s="40">
        <f t="shared" si="18"/>
        <v>55843.29512</v>
      </c>
      <c r="I45" s="41">
        <f t="shared" si="18"/>
        <v>62798.23994</v>
      </c>
      <c r="J45" s="29"/>
      <c r="K45" s="29"/>
      <c r="L45" s="29"/>
      <c r="M45" s="29"/>
      <c r="N45" s="29"/>
      <c r="O45" s="29"/>
      <c r="P45" s="29"/>
      <c r="Q45" s="29"/>
      <c r="R45" s="29"/>
      <c r="S45" s="29"/>
      <c r="T45" s="29"/>
      <c r="U45" s="29"/>
      <c r="V45" s="29"/>
      <c r="W45" s="29"/>
      <c r="X45" s="29"/>
      <c r="Y45" s="29"/>
      <c r="Z45" s="29"/>
    </row>
    <row r="46">
      <c r="A46" s="36" t="s">
        <v>58</v>
      </c>
      <c r="B46" s="37">
        <f> 895.8 + 925.5 - 900.4</f>
        <v>920.9</v>
      </c>
      <c r="C46" s="40">
        <f t="shared" ref="C46:I46" si="19">$B$14*C23</f>
        <v>581.2746417</v>
      </c>
      <c r="D46" s="40">
        <f t="shared" si="19"/>
        <v>615.0466984</v>
      </c>
      <c r="E46" s="40">
        <f t="shared" si="19"/>
        <v>650.7809116</v>
      </c>
      <c r="F46" s="40">
        <f t="shared" si="19"/>
        <v>688.5912825</v>
      </c>
      <c r="G46" s="40">
        <f t="shared" si="19"/>
        <v>728.598436</v>
      </c>
      <c r="H46" s="40">
        <f t="shared" si="19"/>
        <v>770.9300052</v>
      </c>
      <c r="I46" s="41">
        <f t="shared" si="19"/>
        <v>815.7210385</v>
      </c>
      <c r="J46" s="29"/>
      <c r="K46" s="29"/>
      <c r="L46" s="29"/>
      <c r="M46" s="29"/>
      <c r="N46" s="29"/>
      <c r="O46" s="29"/>
      <c r="P46" s="29"/>
      <c r="Q46" s="29"/>
      <c r="R46" s="29"/>
      <c r="S46" s="29"/>
      <c r="T46" s="29"/>
      <c r="U46" s="29"/>
      <c r="V46" s="29"/>
      <c r="W46" s="29"/>
      <c r="X46" s="29"/>
      <c r="Y46" s="29"/>
      <c r="Z46" s="29"/>
    </row>
    <row r="47">
      <c r="A47" s="36" t="s">
        <v>59</v>
      </c>
      <c r="B47" s="37">
        <v>28343.3</v>
      </c>
      <c r="C47" s="40">
        <f t="shared" ref="C47:I47" si="20">B47+C32</f>
        <v>31302.01263</v>
      </c>
      <c r="D47" s="40">
        <f t="shared" si="20"/>
        <v>34828.86044</v>
      </c>
      <c r="E47" s="40">
        <f t="shared" si="20"/>
        <v>38911.17253</v>
      </c>
      <c r="F47" s="40">
        <f t="shared" si="20"/>
        <v>43604.75093</v>
      </c>
      <c r="G47" s="40">
        <f t="shared" si="20"/>
        <v>48970.01846</v>
      </c>
      <c r="H47" s="40">
        <f t="shared" si="20"/>
        <v>55072.36512</v>
      </c>
      <c r="I47" s="41">
        <f t="shared" si="20"/>
        <v>61982.51891</v>
      </c>
      <c r="J47" s="29"/>
      <c r="K47" s="29"/>
      <c r="L47" s="29"/>
      <c r="M47" s="29"/>
      <c r="N47" s="29"/>
      <c r="O47" s="29"/>
      <c r="P47" s="29"/>
      <c r="Q47" s="29"/>
      <c r="R47" s="29"/>
      <c r="S47" s="29"/>
      <c r="T47" s="29"/>
      <c r="U47" s="29"/>
      <c r="V47" s="29"/>
      <c r="W47" s="29"/>
      <c r="X47" s="29"/>
      <c r="Y47" s="29"/>
      <c r="Z47" s="29"/>
    </row>
    <row r="48">
      <c r="A48" s="34" t="s">
        <v>60</v>
      </c>
      <c r="B48" s="40">
        <f t="shared" ref="B48:I48" si="21">SUM(B44:B47)</f>
        <v>74303.2</v>
      </c>
      <c r="C48" s="40">
        <f t="shared" si="21"/>
        <v>90106.26098</v>
      </c>
      <c r="D48" s="40">
        <f t="shared" si="21"/>
        <v>98757.83649</v>
      </c>
      <c r="E48" s="40">
        <f t="shared" si="21"/>
        <v>108613.1774</v>
      </c>
      <c r="F48" s="40">
        <f t="shared" si="21"/>
        <v>119789.2815</v>
      </c>
      <c r="G48" s="40">
        <f t="shared" si="21"/>
        <v>132412.7018</v>
      </c>
      <c r="H48" s="40">
        <f t="shared" si="21"/>
        <v>146620.257</v>
      </c>
      <c r="I48" s="41">
        <f t="shared" si="21"/>
        <v>162559.7926</v>
      </c>
      <c r="J48" s="29"/>
      <c r="K48" s="29"/>
      <c r="L48" s="29"/>
      <c r="M48" s="29"/>
      <c r="N48" s="29"/>
      <c r="O48" s="29"/>
      <c r="P48" s="29"/>
      <c r="Q48" s="29"/>
      <c r="R48" s="29"/>
      <c r="S48" s="29"/>
      <c r="T48" s="29"/>
      <c r="U48" s="29"/>
      <c r="V48" s="29"/>
      <c r="W48" s="29"/>
      <c r="X48" s="29"/>
      <c r="Y48" s="29"/>
      <c r="Z48" s="29"/>
    </row>
    <row r="49">
      <c r="A49" s="34"/>
      <c r="B49" s="40"/>
      <c r="C49" s="40"/>
      <c r="D49" s="40"/>
      <c r="E49" s="40"/>
      <c r="F49" s="40"/>
      <c r="G49" s="40"/>
      <c r="H49" s="40"/>
      <c r="I49" s="41"/>
      <c r="J49" s="29"/>
      <c r="K49" s="29"/>
      <c r="L49" s="29"/>
      <c r="M49" s="40"/>
      <c r="N49" s="49"/>
      <c r="O49" s="29"/>
      <c r="P49" s="29"/>
      <c r="Q49" s="29"/>
      <c r="R49" s="29"/>
      <c r="S49" s="29"/>
      <c r="T49" s="29"/>
      <c r="U49" s="29"/>
      <c r="V49" s="29"/>
      <c r="W49" s="29"/>
      <c r="X49" s="29"/>
      <c r="Y49" s="29"/>
      <c r="Z49" s="29"/>
    </row>
    <row r="50">
      <c r="A50" s="50" t="s">
        <v>61</v>
      </c>
      <c r="B50" s="51">
        <f t="shared" ref="B50:I50" si="22">SUM(B46:B47)</f>
        <v>29264.2</v>
      </c>
      <c r="C50" s="51">
        <f t="shared" si="22"/>
        <v>31883.28727</v>
      </c>
      <c r="D50" s="51">
        <f t="shared" si="22"/>
        <v>35443.90714</v>
      </c>
      <c r="E50" s="51">
        <f t="shared" si="22"/>
        <v>39561.95344</v>
      </c>
      <c r="F50" s="51">
        <f t="shared" si="22"/>
        <v>44293.34221</v>
      </c>
      <c r="G50" s="51">
        <f t="shared" si="22"/>
        <v>49698.61689</v>
      </c>
      <c r="H50" s="51">
        <f t="shared" si="22"/>
        <v>55843.29513</v>
      </c>
      <c r="I50" s="52">
        <f t="shared" si="22"/>
        <v>62798.23995</v>
      </c>
      <c r="J50" s="29"/>
      <c r="K50" s="29"/>
      <c r="L50" s="29"/>
      <c r="M50" s="40"/>
      <c r="N50" s="49"/>
      <c r="O50" s="29"/>
      <c r="P50" s="29"/>
      <c r="Q50" s="29"/>
      <c r="R50" s="29"/>
      <c r="S50" s="29"/>
      <c r="T50" s="29"/>
      <c r="U50" s="29"/>
      <c r="V50" s="29"/>
      <c r="W50" s="29"/>
      <c r="X50" s="29"/>
      <c r="Y50" s="29"/>
      <c r="Z50" s="29"/>
    </row>
    <row r="51">
      <c r="A51" s="36"/>
      <c r="B51" s="29"/>
      <c r="C51" s="29"/>
      <c r="D51" s="29"/>
      <c r="E51" s="29"/>
      <c r="F51" s="29"/>
      <c r="G51" s="29"/>
      <c r="H51" s="29"/>
      <c r="I51" s="35"/>
      <c r="J51" s="29"/>
      <c r="K51" s="29"/>
      <c r="L51" s="29"/>
      <c r="M51" s="40"/>
      <c r="N51" s="29"/>
      <c r="O51" s="29"/>
      <c r="P51" s="29"/>
      <c r="Q51" s="29"/>
      <c r="R51" s="29"/>
      <c r="S51" s="29"/>
      <c r="T51" s="29"/>
      <c r="U51" s="29"/>
      <c r="V51" s="29"/>
      <c r="W51" s="29"/>
      <c r="X51" s="29"/>
      <c r="Y51" s="29"/>
      <c r="Z51" s="29"/>
    </row>
    <row r="52">
      <c r="A52" s="53" t="s">
        <v>62</v>
      </c>
      <c r="B52" s="54">
        <f t="shared" ref="B52:I52" si="23">(B30+B31)/B50</f>
        <v>0.08814182517</v>
      </c>
      <c r="C52" s="54">
        <f t="shared" si="23"/>
        <v>0.0927982302</v>
      </c>
      <c r="D52" s="54">
        <f t="shared" si="23"/>
        <v>0.09950505152</v>
      </c>
      <c r="E52" s="54">
        <f t="shared" si="23"/>
        <v>0.1031878291</v>
      </c>
      <c r="F52" s="54">
        <f t="shared" si="23"/>
        <v>0.1059657764</v>
      </c>
      <c r="G52" s="54">
        <f t="shared" si="23"/>
        <v>0.1079560734</v>
      </c>
      <c r="H52" s="54">
        <f t="shared" si="23"/>
        <v>0.109276264</v>
      </c>
      <c r="I52" s="55">
        <f t="shared" si="23"/>
        <v>0.11003738</v>
      </c>
      <c r="J52" s="29"/>
      <c r="K52" s="29"/>
      <c r="L52" s="29"/>
      <c r="M52" s="29"/>
      <c r="N52" s="29"/>
      <c r="O52" s="29"/>
      <c r="P52" s="29"/>
      <c r="Q52" s="29"/>
      <c r="R52" s="29"/>
      <c r="S52" s="29"/>
      <c r="T52" s="29"/>
      <c r="U52" s="29"/>
      <c r="V52" s="29"/>
      <c r="W52" s="29"/>
      <c r="X52" s="29"/>
      <c r="Y52" s="29"/>
      <c r="Z52" s="29"/>
    </row>
    <row r="53">
      <c r="A53" s="50" t="s">
        <v>63</v>
      </c>
      <c r="B53" s="56">
        <f t="shared" ref="B53:I53" si="24">(B30+B31)/B23</f>
        <v>0.06942399668</v>
      </c>
      <c r="C53" s="56">
        <f t="shared" si="24"/>
        <v>0.07526048072</v>
      </c>
      <c r="D53" s="56">
        <f t="shared" si="24"/>
        <v>0.08478601169</v>
      </c>
      <c r="E53" s="56">
        <f t="shared" si="24"/>
        <v>0.09275065317</v>
      </c>
      <c r="F53" s="56">
        <f t="shared" si="24"/>
        <v>0.1007831981</v>
      </c>
      <c r="G53" s="56">
        <f t="shared" si="24"/>
        <v>0.1088801541</v>
      </c>
      <c r="H53" s="56">
        <f t="shared" si="24"/>
        <v>0.1170381654</v>
      </c>
      <c r="I53" s="57">
        <f t="shared" si="24"/>
        <v>0.1252540072</v>
      </c>
      <c r="J53" s="29"/>
      <c r="K53" s="29"/>
      <c r="L53" s="29"/>
      <c r="M53" s="58"/>
      <c r="N53" s="59"/>
      <c r="O53" s="29"/>
      <c r="P53" s="29"/>
      <c r="Q53" s="29"/>
      <c r="R53" s="29"/>
      <c r="S53" s="29"/>
      <c r="T53" s="29"/>
      <c r="U53" s="29"/>
      <c r="V53" s="29"/>
      <c r="W53" s="29"/>
      <c r="X53" s="29"/>
      <c r="Y53" s="29"/>
      <c r="Z53" s="29"/>
    </row>
    <row r="54">
      <c r="A54" s="50" t="s">
        <v>64</v>
      </c>
      <c r="B54" s="56">
        <f t="shared" ref="B54:I54" si="25">B23/B42</f>
        <v>0.5000410484</v>
      </c>
      <c r="C54" s="56">
        <f t="shared" si="25"/>
        <v>0.4362955959</v>
      </c>
      <c r="D54" s="56">
        <f t="shared" si="25"/>
        <v>0.4212025048</v>
      </c>
      <c r="E54" s="56">
        <f t="shared" si="25"/>
        <v>0.4052347757</v>
      </c>
      <c r="F54" s="56">
        <f t="shared" si="25"/>
        <v>0.3887746873</v>
      </c>
      <c r="G54" s="56">
        <f t="shared" si="25"/>
        <v>0.3721457024</v>
      </c>
      <c r="H54" s="56">
        <f t="shared" si="25"/>
        <v>0.3556111695</v>
      </c>
      <c r="I54" s="57">
        <f t="shared" si="25"/>
        <v>0.3393774229</v>
      </c>
      <c r="J54" s="29"/>
      <c r="K54" s="29"/>
      <c r="L54" s="60" t="s">
        <v>65</v>
      </c>
      <c r="M54" s="61">
        <f>J57</f>
        <v>0.0728</v>
      </c>
      <c r="N54" s="29"/>
      <c r="O54" s="29"/>
      <c r="P54" s="29"/>
      <c r="Q54" s="29"/>
      <c r="R54" s="29"/>
      <c r="S54" s="29"/>
      <c r="T54" s="29"/>
      <c r="U54" s="29"/>
      <c r="V54" s="29"/>
      <c r="W54" s="29"/>
      <c r="X54" s="29"/>
      <c r="Y54" s="29"/>
      <c r="Z54" s="29"/>
    </row>
    <row r="55">
      <c r="A55" s="50" t="s">
        <v>66</v>
      </c>
      <c r="B55" s="56">
        <f>B42/(B47+B46)</f>
        <v>2.53902379</v>
      </c>
      <c r="C55" s="56">
        <f t="shared" ref="C55:I55" si="26">C42/C50</f>
        <v>2.826128316</v>
      </c>
      <c r="D55" s="56">
        <f t="shared" si="26"/>
        <v>2.786313486</v>
      </c>
      <c r="E55" s="56">
        <f t="shared" si="26"/>
        <v>2.745394702</v>
      </c>
      <c r="F55" s="56">
        <f t="shared" si="26"/>
        <v>2.704453437</v>
      </c>
      <c r="G55" s="56">
        <f t="shared" si="26"/>
        <v>2.664313619</v>
      </c>
      <c r="H55" s="56">
        <f t="shared" si="26"/>
        <v>2.625566</v>
      </c>
      <c r="I55" s="57">
        <f t="shared" si="26"/>
        <v>2.588604279</v>
      </c>
      <c r="J55" s="29"/>
      <c r="K55" s="29"/>
      <c r="L55" s="29"/>
      <c r="M55" s="29"/>
      <c r="N55" s="29"/>
      <c r="O55" s="29"/>
      <c r="P55" s="29"/>
      <c r="Q55" s="29"/>
      <c r="R55" s="29"/>
      <c r="S55" s="29"/>
      <c r="T55" s="29"/>
      <c r="U55" s="29"/>
      <c r="V55" s="29"/>
      <c r="W55" s="29"/>
      <c r="X55" s="29"/>
      <c r="Y55" s="29"/>
      <c r="Z55" s="29"/>
    </row>
    <row r="56">
      <c r="A56" s="50" t="s">
        <v>67</v>
      </c>
      <c r="B56" s="56">
        <f>B53*B54*B55-B52</f>
        <v>0</v>
      </c>
      <c r="C56" s="56">
        <f t="shared" ref="C56:I56" si="27">C53*C54*C55 -C52</f>
        <v>0</v>
      </c>
      <c r="D56" s="56">
        <f t="shared" si="27"/>
        <v>0</v>
      </c>
      <c r="E56" s="56">
        <f t="shared" si="27"/>
        <v>0</v>
      </c>
      <c r="F56" s="56">
        <f t="shared" si="27"/>
        <v>0</v>
      </c>
      <c r="G56" s="56">
        <f t="shared" si="27"/>
        <v>0</v>
      </c>
      <c r="H56" s="56">
        <f t="shared" si="27"/>
        <v>0</v>
      </c>
      <c r="I56" s="57">
        <f t="shared" si="27"/>
        <v>0</v>
      </c>
      <c r="J56" s="62"/>
      <c r="K56" s="29"/>
      <c r="L56" s="29"/>
      <c r="M56" s="49"/>
      <c r="N56" s="29"/>
      <c r="O56" s="29"/>
      <c r="P56" s="29"/>
      <c r="Q56" s="29"/>
      <c r="R56" s="29"/>
      <c r="S56" s="29"/>
      <c r="T56" s="29"/>
      <c r="U56" s="29"/>
      <c r="V56" s="29"/>
      <c r="W56" s="29"/>
      <c r="X56" s="29"/>
      <c r="Y56" s="29"/>
      <c r="Z56" s="29"/>
    </row>
    <row r="57">
      <c r="A57" s="36"/>
      <c r="B57" s="29"/>
      <c r="C57" s="29"/>
      <c r="D57" s="29"/>
      <c r="E57" s="29"/>
      <c r="F57" s="29"/>
      <c r="G57" s="29"/>
      <c r="H57" s="29"/>
      <c r="I57" s="35"/>
      <c r="J57" s="63">
        <f>M57+M58*M59</f>
        <v>0.0728</v>
      </c>
      <c r="K57" s="64" t="s">
        <v>68</v>
      </c>
      <c r="L57" s="65" t="s">
        <v>69</v>
      </c>
      <c r="M57" s="66">
        <v>0.0428</v>
      </c>
      <c r="N57" s="65"/>
      <c r="O57" s="29"/>
      <c r="P57" s="29"/>
      <c r="Q57" s="29"/>
      <c r="R57" s="29"/>
      <c r="S57" s="29"/>
      <c r="T57" s="29"/>
      <c r="U57" s="29"/>
      <c r="V57" s="29"/>
      <c r="W57" s="29"/>
      <c r="X57" s="29"/>
      <c r="Y57" s="29"/>
      <c r="Z57" s="29"/>
    </row>
    <row r="58">
      <c r="A58" s="67" t="s">
        <v>70</v>
      </c>
      <c r="B58" s="68">
        <f>B52*(1+$B$11)</f>
        <v>0.06593336849</v>
      </c>
      <c r="C58" s="68">
        <f t="shared" ref="C58:I58" si="28">C52*(1+D11)</f>
        <v>0.06402495573</v>
      </c>
      <c r="D58" s="68">
        <f t="shared" si="28"/>
        <v>0.06865224159</v>
      </c>
      <c r="E58" s="68">
        <f t="shared" si="28"/>
        <v>0.06519791417</v>
      </c>
      <c r="F58" s="68">
        <f t="shared" si="28"/>
        <v>0.06695312476</v>
      </c>
      <c r="G58" s="68">
        <f t="shared" si="28"/>
        <v>0.06193842062</v>
      </c>
      <c r="H58" s="68">
        <f t="shared" si="28"/>
        <v>0.0626958632</v>
      </c>
      <c r="I58" s="68">
        <f t="shared" si="28"/>
        <v>0.05673937198</v>
      </c>
      <c r="J58" s="69"/>
      <c r="K58" s="70"/>
      <c r="L58" s="70" t="s">
        <v>71</v>
      </c>
      <c r="M58" s="70">
        <f>0.5</f>
        <v>0.5</v>
      </c>
      <c r="N58" s="70"/>
      <c r="O58" s="29"/>
      <c r="P58" s="29"/>
      <c r="Q58" s="29"/>
      <c r="R58" s="29"/>
      <c r="S58" s="29"/>
      <c r="T58" s="29"/>
      <c r="U58" s="29"/>
      <c r="V58" s="29"/>
      <c r="W58" s="29"/>
      <c r="X58" s="29"/>
      <c r="Y58" s="29"/>
      <c r="Z58" s="29"/>
    </row>
    <row r="59">
      <c r="A59" s="29"/>
      <c r="B59" s="29"/>
      <c r="C59" s="29"/>
      <c r="D59" s="29"/>
      <c r="E59" s="29"/>
      <c r="F59" s="29"/>
      <c r="G59" s="29"/>
      <c r="H59" s="29"/>
      <c r="I59" s="71" t="s">
        <v>72</v>
      </c>
      <c r="J59" s="72">
        <v>1377.8</v>
      </c>
      <c r="K59" s="70"/>
      <c r="L59" s="70" t="s">
        <v>73</v>
      </c>
      <c r="M59" s="73">
        <v>0.06</v>
      </c>
      <c r="N59" s="70"/>
      <c r="O59" s="29"/>
      <c r="P59" s="29"/>
      <c r="Q59" s="29"/>
      <c r="R59" s="29"/>
      <c r="S59" s="29"/>
      <c r="T59" s="29"/>
      <c r="U59" s="29"/>
      <c r="V59" s="29"/>
      <c r="W59" s="29"/>
      <c r="X59" s="29"/>
      <c r="Y59" s="29"/>
      <c r="Z59" s="29"/>
    </row>
    <row r="60">
      <c r="A60" s="74" t="s">
        <v>74</v>
      </c>
      <c r="B60" s="29"/>
      <c r="C60" s="29"/>
      <c r="D60" s="29"/>
      <c r="E60" s="29"/>
      <c r="F60" s="29"/>
      <c r="G60" s="29"/>
      <c r="H60" s="29"/>
      <c r="I60" s="75"/>
      <c r="J60" s="75"/>
      <c r="K60" s="70"/>
      <c r="L60" s="70"/>
      <c r="M60" s="73"/>
      <c r="N60" s="70"/>
      <c r="O60" s="29"/>
      <c r="P60" s="29"/>
      <c r="Q60" s="29"/>
      <c r="R60" s="29"/>
      <c r="S60" s="29"/>
      <c r="T60" s="29"/>
      <c r="U60" s="29"/>
      <c r="V60" s="29"/>
      <c r="W60" s="29"/>
      <c r="X60" s="29"/>
      <c r="Y60" s="29"/>
      <c r="Z60" s="29"/>
    </row>
    <row r="61">
      <c r="A61" s="76" t="s">
        <v>75</v>
      </c>
      <c r="B61" s="77">
        <f>(B45+B35)/SUM(B46:B47)</f>
        <v>1.03578092</v>
      </c>
      <c r="C61" s="77">
        <f t="shared" ref="C61:G61" si="29">(C45)/SUM(C46:C47)</f>
        <v>1</v>
      </c>
      <c r="D61" s="77">
        <f t="shared" si="29"/>
        <v>1</v>
      </c>
      <c r="E61" s="77">
        <f t="shared" si="29"/>
        <v>1</v>
      </c>
      <c r="F61" s="77">
        <f t="shared" si="29"/>
        <v>1</v>
      </c>
      <c r="G61" s="77">
        <f t="shared" si="29"/>
        <v>1</v>
      </c>
      <c r="H61" s="29"/>
      <c r="I61" s="75"/>
      <c r="J61" s="75"/>
      <c r="K61" s="70"/>
      <c r="L61" s="70"/>
      <c r="M61" s="73"/>
      <c r="N61" s="70"/>
      <c r="O61" s="29"/>
      <c r="P61" s="29"/>
      <c r="Q61" s="29"/>
      <c r="R61" s="29"/>
      <c r="S61" s="29"/>
      <c r="T61" s="29"/>
      <c r="U61" s="29"/>
      <c r="V61" s="29"/>
      <c r="W61" s="29"/>
      <c r="X61" s="29"/>
      <c r="Y61" s="29"/>
      <c r="Z61" s="29"/>
    </row>
    <row r="62">
      <c r="A62" s="29"/>
      <c r="B62" s="29"/>
      <c r="C62" s="29"/>
      <c r="D62" s="29"/>
      <c r="E62" s="29"/>
      <c r="F62" s="29"/>
      <c r="G62" s="29"/>
      <c r="H62" s="29"/>
      <c r="I62" s="75"/>
      <c r="J62" s="75"/>
      <c r="K62" s="70"/>
      <c r="L62" s="70"/>
      <c r="M62" s="73"/>
      <c r="N62" s="70"/>
      <c r="O62" s="29"/>
      <c r="P62" s="29"/>
      <c r="Q62" s="29"/>
      <c r="R62" s="29"/>
      <c r="S62" s="29"/>
      <c r="T62" s="29"/>
      <c r="U62" s="29"/>
      <c r="V62" s="29"/>
      <c r="W62" s="29"/>
      <c r="X62" s="29"/>
      <c r="Y62" s="29"/>
      <c r="Z62" s="29"/>
    </row>
    <row r="63">
      <c r="A63" s="78" t="s">
        <v>76</v>
      </c>
      <c r="B63" s="38" t="s">
        <v>7</v>
      </c>
      <c r="C63" s="79">
        <v>1.0</v>
      </c>
      <c r="D63" s="79">
        <v>1.0</v>
      </c>
      <c r="E63" s="79">
        <v>1.0</v>
      </c>
      <c r="F63" s="79">
        <v>1.0</v>
      </c>
      <c r="G63" s="79">
        <v>1.0</v>
      </c>
      <c r="H63" s="74">
        <v>1.0</v>
      </c>
      <c r="I63" s="72">
        <v>1.0</v>
      </c>
      <c r="J63" s="75"/>
      <c r="K63" s="70"/>
      <c r="L63" s="70"/>
      <c r="M63" s="73"/>
      <c r="N63" s="70"/>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80" t="s">
        <v>77</v>
      </c>
      <c r="B65" s="81"/>
      <c r="C65" s="82">
        <v>1.0</v>
      </c>
      <c r="D65" s="82">
        <v>2.0</v>
      </c>
      <c r="E65" s="82">
        <v>3.0</v>
      </c>
      <c r="F65" s="82">
        <v>4.0</v>
      </c>
      <c r="G65" s="82">
        <v>5.0</v>
      </c>
      <c r="H65" s="29"/>
      <c r="I65" s="29"/>
      <c r="J65" s="29"/>
      <c r="K65" s="29"/>
      <c r="L65" s="29"/>
      <c r="M65" s="29"/>
      <c r="N65" s="29"/>
      <c r="O65" s="29"/>
      <c r="P65" s="29"/>
      <c r="Q65" s="29"/>
      <c r="R65" s="29"/>
      <c r="S65" s="29"/>
      <c r="T65" s="29"/>
      <c r="U65" s="29"/>
      <c r="V65" s="29"/>
      <c r="W65" s="29"/>
      <c r="X65" s="29"/>
      <c r="Y65" s="29"/>
      <c r="Z65" s="29"/>
    </row>
    <row r="66">
      <c r="A66" s="36"/>
      <c r="B66" s="29"/>
      <c r="C66" s="40"/>
      <c r="D66" s="40"/>
      <c r="E66" s="40"/>
      <c r="F66" s="40"/>
      <c r="G66" s="41"/>
      <c r="H66" s="29"/>
      <c r="I66" s="29"/>
      <c r="J66" s="29"/>
      <c r="K66" s="29"/>
      <c r="L66" s="29"/>
      <c r="M66" s="29"/>
      <c r="N66" s="29"/>
      <c r="O66" s="29"/>
      <c r="P66" s="29"/>
      <c r="Q66" s="29"/>
      <c r="R66" s="29"/>
      <c r="S66" s="29"/>
      <c r="T66" s="29"/>
      <c r="U66" s="29"/>
      <c r="V66" s="29"/>
      <c r="W66" s="29"/>
      <c r="X66" s="29"/>
      <c r="Y66" s="29"/>
      <c r="Z66" s="29"/>
    </row>
    <row r="67">
      <c r="A67" s="83" t="s">
        <v>78</v>
      </c>
      <c r="B67" s="83"/>
      <c r="C67" s="83">
        <f t="shared" ref="C67:I67" si="30">C30</f>
        <v>3955.3012</v>
      </c>
      <c r="D67" s="83">
        <f t="shared" si="30"/>
        <v>4714.80238</v>
      </c>
      <c r="E67" s="83">
        <f t="shared" si="30"/>
        <v>5457.364714</v>
      </c>
      <c r="F67" s="83">
        <f t="shared" si="30"/>
        <v>6274.524964</v>
      </c>
      <c r="G67" s="83">
        <f t="shared" si="30"/>
        <v>7172.460372</v>
      </c>
      <c r="H67" s="83">
        <f t="shared" si="30"/>
        <v>8157.811211</v>
      </c>
      <c r="I67" s="83">
        <f t="shared" si="30"/>
        <v>9237.713485</v>
      </c>
      <c r="J67" s="29"/>
      <c r="K67" s="29"/>
      <c r="L67" s="29"/>
      <c r="M67" s="29"/>
      <c r="N67" s="29"/>
      <c r="O67" s="29"/>
      <c r="P67" s="29"/>
      <c r="Q67" s="29"/>
      <c r="R67" s="29"/>
      <c r="S67" s="29"/>
      <c r="T67" s="29"/>
      <c r="U67" s="29"/>
      <c r="V67" s="29"/>
      <c r="W67" s="29"/>
      <c r="X67" s="29"/>
      <c r="Y67" s="29"/>
      <c r="Z67" s="29"/>
    </row>
    <row r="68">
      <c r="A68" s="83" t="s">
        <v>79</v>
      </c>
      <c r="B68" s="83"/>
      <c r="C68" s="83">
        <f t="shared" ref="C68:I68" si="31">-1*C27</f>
        <v>2080.464127</v>
      </c>
      <c r="D68" s="83">
        <f t="shared" si="31"/>
        <v>2277.962203</v>
      </c>
      <c r="E68" s="83">
        <f t="shared" si="31"/>
        <v>2492.220288</v>
      </c>
      <c r="F68" s="83">
        <f t="shared" si="31"/>
        <v>2724.572819</v>
      </c>
      <c r="G68" s="83">
        <f t="shared" si="31"/>
        <v>2976.460273</v>
      </c>
      <c r="H68" s="83">
        <f t="shared" si="31"/>
        <v>3249.433645</v>
      </c>
      <c r="I68" s="83">
        <f t="shared" si="31"/>
        <v>3545.162721</v>
      </c>
      <c r="J68" s="29"/>
      <c r="K68" s="29"/>
      <c r="L68" s="29"/>
      <c r="M68" s="29"/>
      <c r="N68" s="29"/>
      <c r="O68" s="29"/>
      <c r="P68" s="29"/>
      <c r="Q68" s="29"/>
      <c r="R68" s="29"/>
      <c r="S68" s="29"/>
      <c r="T68" s="29"/>
      <c r="U68" s="29"/>
      <c r="V68" s="29"/>
      <c r="W68" s="29"/>
      <c r="X68" s="29"/>
      <c r="Y68" s="29"/>
      <c r="Z68" s="29"/>
    </row>
    <row r="69">
      <c r="A69" s="84" t="s">
        <v>80</v>
      </c>
      <c r="B69" s="29"/>
      <c r="C69" s="83">
        <f t="shared" ref="C69:I69" si="32">-1*(C70*(1-$B$10))</f>
        <v>63.53946572</v>
      </c>
      <c r="D69" s="83">
        <f t="shared" si="32"/>
        <v>186.4298314</v>
      </c>
      <c r="E69" s="83">
        <f t="shared" si="32"/>
        <v>232.1694207</v>
      </c>
      <c r="F69" s="83">
        <f t="shared" si="32"/>
        <v>287.4875172</v>
      </c>
      <c r="G69" s="83">
        <f t="shared" si="32"/>
        <v>353.4041748</v>
      </c>
      <c r="H69" s="83">
        <f t="shared" si="32"/>
        <v>431.0258586</v>
      </c>
      <c r="I69" s="83">
        <f t="shared" si="32"/>
        <v>521.551999</v>
      </c>
      <c r="J69" s="29"/>
      <c r="K69" s="29"/>
      <c r="L69" s="29"/>
      <c r="M69" s="29"/>
      <c r="N69" s="29"/>
      <c r="O69" s="83"/>
      <c r="P69" s="83"/>
      <c r="Q69" s="29"/>
      <c r="R69" s="29"/>
      <c r="S69" s="29"/>
      <c r="T69" s="29"/>
      <c r="U69" s="29"/>
      <c r="V69" s="29"/>
      <c r="W69" s="29"/>
      <c r="X69" s="29"/>
      <c r="Y69" s="29"/>
      <c r="Z69" s="29"/>
    </row>
    <row r="70">
      <c r="A70" s="83" t="s">
        <v>81</v>
      </c>
      <c r="B70" s="29"/>
      <c r="C70" s="83">
        <f t="shared" ref="C70:I70" si="33">-1*C25-C26</f>
        <v>-84.71928839</v>
      </c>
      <c r="D70" s="83">
        <f t="shared" si="33"/>
        <v>-248.5731076</v>
      </c>
      <c r="E70" s="83">
        <f t="shared" si="33"/>
        <v>-309.5592248</v>
      </c>
      <c r="F70" s="83">
        <f t="shared" si="33"/>
        <v>-383.3166888</v>
      </c>
      <c r="G70" s="83">
        <f t="shared" si="33"/>
        <v>-471.2055686</v>
      </c>
      <c r="H70" s="83">
        <f t="shared" si="33"/>
        <v>-574.7011491</v>
      </c>
      <c r="I70" s="83">
        <f t="shared" si="33"/>
        <v>-695.4026702</v>
      </c>
      <c r="J70" s="29"/>
      <c r="K70" s="29"/>
      <c r="L70" s="29"/>
      <c r="M70" s="29"/>
      <c r="N70" s="29"/>
      <c r="O70" s="83"/>
      <c r="P70" s="83"/>
      <c r="Q70" s="29"/>
      <c r="R70" s="29"/>
      <c r="S70" s="29"/>
      <c r="T70" s="29"/>
      <c r="U70" s="29"/>
      <c r="V70" s="29"/>
      <c r="W70" s="29"/>
      <c r="X70" s="29"/>
      <c r="Y70" s="29"/>
      <c r="Z70" s="29"/>
    </row>
    <row r="71">
      <c r="A71" s="84" t="s">
        <v>82</v>
      </c>
      <c r="B71" s="29"/>
      <c r="C71" s="83">
        <f>(C36-B36)</f>
        <v>-322.5251231</v>
      </c>
      <c r="D71" s="83">
        <f t="shared" ref="D71:I71" si="34">-(D36-C36)</f>
        <v>-982.1558003</v>
      </c>
      <c r="E71" s="83">
        <f t="shared" si="34"/>
        <v>-1039.219052</v>
      </c>
      <c r="F71" s="83">
        <f t="shared" si="34"/>
        <v>-1099.597679</v>
      </c>
      <c r="G71" s="83">
        <f t="shared" si="34"/>
        <v>-1163.484304</v>
      </c>
      <c r="H71" s="83">
        <f t="shared" si="34"/>
        <v>-1231.082743</v>
      </c>
      <c r="I71" s="83">
        <f t="shared" si="34"/>
        <v>-1302.60865</v>
      </c>
      <c r="J71" s="29"/>
      <c r="K71" s="29"/>
      <c r="L71" s="29"/>
      <c r="M71" s="29"/>
      <c r="N71" s="29"/>
      <c r="O71" s="83"/>
      <c r="P71" s="83"/>
      <c r="Q71" s="29"/>
      <c r="R71" s="29"/>
      <c r="S71" s="29"/>
      <c r="T71" s="29"/>
      <c r="U71" s="29"/>
      <c r="V71" s="29"/>
      <c r="W71" s="29"/>
      <c r="X71" s="29"/>
      <c r="Y71" s="29"/>
      <c r="Z71" s="29"/>
    </row>
    <row r="72">
      <c r="A72" s="84" t="s">
        <v>83</v>
      </c>
      <c r="B72" s="29"/>
      <c r="C72" s="83">
        <f t="shared" ref="C72:I72" si="35">C44-B44</f>
        <v>2379.986436</v>
      </c>
      <c r="D72" s="83">
        <f t="shared" si="35"/>
        <v>1530.335782</v>
      </c>
      <c r="E72" s="83">
        <f t="shared" si="35"/>
        <v>1619.248291</v>
      </c>
      <c r="F72" s="83">
        <f t="shared" si="35"/>
        <v>1713.326617</v>
      </c>
      <c r="G72" s="83">
        <f t="shared" si="35"/>
        <v>1812.870893</v>
      </c>
      <c r="H72" s="83">
        <f t="shared" si="35"/>
        <v>1918.198692</v>
      </c>
      <c r="I72" s="83">
        <f t="shared" si="35"/>
        <v>2029.646036</v>
      </c>
      <c r="J72" s="29"/>
      <c r="K72" s="29"/>
      <c r="L72" s="29"/>
      <c r="M72" s="29"/>
      <c r="N72" s="29"/>
      <c r="O72" s="83"/>
      <c r="P72" s="83"/>
      <c r="Q72" s="29"/>
      <c r="R72" s="29"/>
      <c r="S72" s="29"/>
      <c r="T72" s="29"/>
      <c r="U72" s="29"/>
      <c r="V72" s="29"/>
      <c r="W72" s="29"/>
      <c r="X72" s="29"/>
      <c r="Y72" s="29"/>
      <c r="Z72" s="29"/>
    </row>
    <row r="73">
      <c r="A73" s="84" t="s">
        <v>84</v>
      </c>
      <c r="B73" s="29"/>
      <c r="C73" s="83">
        <f t="shared" ref="C73:I73" si="36">-(C39-B39)</f>
        <v>-2842.944057</v>
      </c>
      <c r="D73" s="83">
        <f t="shared" si="36"/>
        <v>-3084.848027</v>
      </c>
      <c r="E73" s="83">
        <f t="shared" si="36"/>
        <v>-3345.986178</v>
      </c>
      <c r="F73" s="83">
        <f t="shared" si="36"/>
        <v>-3627.942508</v>
      </c>
      <c r="G73" s="83">
        <f t="shared" si="36"/>
        <v>-3932.315741</v>
      </c>
      <c r="H73" s="83">
        <f t="shared" si="36"/>
        <v>-4260.824315</v>
      </c>
      <c r="I73" s="83">
        <f t="shared" si="36"/>
        <v>-4615.315189</v>
      </c>
      <c r="J73" s="29"/>
      <c r="K73" s="29"/>
      <c r="L73" s="29"/>
      <c r="M73" s="29"/>
      <c r="N73" s="29"/>
      <c r="O73" s="83"/>
      <c r="P73" s="83"/>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83"/>
      <c r="P74" s="83"/>
      <c r="Q74" s="29"/>
      <c r="R74" s="29"/>
      <c r="S74" s="29"/>
      <c r="T74" s="29"/>
      <c r="U74" s="29"/>
      <c r="V74" s="29"/>
      <c r="W74" s="29"/>
      <c r="X74" s="29"/>
      <c r="Y74" s="29"/>
      <c r="Z74" s="29"/>
    </row>
    <row r="75">
      <c r="A75" s="84" t="s">
        <v>85</v>
      </c>
      <c r="B75" s="29"/>
      <c r="C75" s="83">
        <f t="shared" ref="C75:I75" si="37">C67+C68+C69+C71+C72+C73</f>
        <v>5313.822049</v>
      </c>
      <c r="D75" s="83">
        <f t="shared" si="37"/>
        <v>4642.526369</v>
      </c>
      <c r="E75" s="83">
        <f t="shared" si="37"/>
        <v>5415.797482</v>
      </c>
      <c r="F75" s="83">
        <f t="shared" si="37"/>
        <v>6272.37173</v>
      </c>
      <c r="G75" s="83">
        <f t="shared" si="37"/>
        <v>7219.395668</v>
      </c>
      <c r="H75" s="83">
        <f t="shared" si="37"/>
        <v>8264.562349</v>
      </c>
      <c r="I75" s="83">
        <f t="shared" si="37"/>
        <v>9416.150402</v>
      </c>
      <c r="J75" s="83">
        <f>I75*(1+I58)</f>
        <v>9950.416862</v>
      </c>
      <c r="K75" s="83"/>
      <c r="L75" s="83"/>
      <c r="M75" s="83"/>
      <c r="N75" s="83"/>
      <c r="O75" s="83"/>
      <c r="P75" s="83"/>
      <c r="Q75" s="29"/>
      <c r="R75" s="29"/>
      <c r="S75" s="29"/>
      <c r="T75" s="29"/>
      <c r="U75" s="29"/>
      <c r="V75" s="29"/>
      <c r="W75" s="29"/>
      <c r="X75" s="29"/>
      <c r="Y75" s="29"/>
      <c r="Z75" s="29"/>
    </row>
    <row r="76">
      <c r="A76" s="36" t="s">
        <v>86</v>
      </c>
      <c r="B76" s="29"/>
      <c r="C76" s="85">
        <f>J75/(J57-I58)</f>
        <v>619553.4102</v>
      </c>
      <c r="D76" s="29"/>
      <c r="E76" s="29"/>
      <c r="F76" s="29"/>
      <c r="G76" s="35"/>
      <c r="H76" s="29"/>
      <c r="I76" s="29"/>
      <c r="J76" s="29"/>
      <c r="K76" s="29"/>
      <c r="L76" s="29"/>
      <c r="M76" s="29"/>
      <c r="N76" s="29"/>
      <c r="O76" s="29"/>
      <c r="P76" s="29"/>
      <c r="Q76" s="29"/>
      <c r="R76" s="29"/>
      <c r="S76" s="29"/>
      <c r="T76" s="29"/>
      <c r="U76" s="29"/>
      <c r="V76" s="29"/>
      <c r="W76" s="29"/>
      <c r="X76" s="29"/>
      <c r="Y76" s="29"/>
      <c r="Z76" s="29"/>
    </row>
    <row r="77">
      <c r="A77" s="36" t="s">
        <v>87</v>
      </c>
      <c r="B77" s="29"/>
      <c r="C77" s="83">
        <f t="shared" ref="C77:H77" si="38">C75</f>
        <v>5313.822049</v>
      </c>
      <c r="D77" s="83">
        <f t="shared" si="38"/>
        <v>4642.526369</v>
      </c>
      <c r="E77" s="83">
        <f t="shared" si="38"/>
        <v>5415.797482</v>
      </c>
      <c r="F77" s="83">
        <f t="shared" si="38"/>
        <v>6272.37173</v>
      </c>
      <c r="G77" s="83">
        <f t="shared" si="38"/>
        <v>7219.395668</v>
      </c>
      <c r="H77" s="83">
        <f t="shared" si="38"/>
        <v>8264.562349</v>
      </c>
      <c r="I77" s="83">
        <f>I75+C76</f>
        <v>628969.5606</v>
      </c>
      <c r="J77" s="83"/>
      <c r="K77" s="29"/>
      <c r="L77" s="29"/>
      <c r="M77" s="29"/>
      <c r="N77" s="29"/>
      <c r="O77" s="29"/>
      <c r="P77" s="29"/>
      <c r="Q77" s="29"/>
      <c r="R77" s="29"/>
      <c r="S77" s="29"/>
      <c r="T77" s="29"/>
      <c r="U77" s="29"/>
      <c r="V77" s="29"/>
      <c r="W77" s="29"/>
      <c r="X77" s="29"/>
      <c r="Y77" s="29"/>
      <c r="Z77" s="29"/>
    </row>
    <row r="78">
      <c r="A78" s="36" t="s">
        <v>88</v>
      </c>
      <c r="B78" s="86">
        <f t="array" ref="B78">NPV(J57,C77:I77)</f>
        <v>413200.9376</v>
      </c>
      <c r="C78" s="83"/>
      <c r="D78" s="83"/>
      <c r="E78" s="83"/>
      <c r="F78" s="83"/>
      <c r="G78" s="87"/>
      <c r="H78" s="29"/>
      <c r="I78" s="29"/>
      <c r="J78" s="29"/>
      <c r="K78" s="29"/>
      <c r="L78" s="29"/>
      <c r="M78" s="29"/>
      <c r="N78" s="29"/>
      <c r="O78" s="29"/>
      <c r="P78" s="29"/>
      <c r="Q78" s="29"/>
      <c r="R78" s="29"/>
      <c r="S78" s="29"/>
      <c r="T78" s="29"/>
      <c r="U78" s="29"/>
      <c r="V78" s="29"/>
      <c r="W78" s="29"/>
      <c r="X78" s="29"/>
      <c r="Y78" s="29"/>
      <c r="Z78" s="29"/>
    </row>
    <row r="79">
      <c r="A79" s="36" t="s">
        <v>89</v>
      </c>
      <c r="B79" s="86">
        <f>B78-(B45-B35)</f>
        <v>401353.6376</v>
      </c>
      <c r="C79" s="83"/>
      <c r="D79" s="83"/>
      <c r="E79" s="83"/>
      <c r="F79" s="83"/>
      <c r="G79" s="87"/>
      <c r="H79" s="29"/>
      <c r="I79" s="29"/>
      <c r="J79" s="29"/>
      <c r="K79" s="29"/>
      <c r="L79" s="29"/>
      <c r="M79" s="29"/>
      <c r="N79" s="29"/>
      <c r="O79" s="29"/>
      <c r="P79" s="29"/>
      <c r="Q79" s="29"/>
      <c r="R79" s="29"/>
      <c r="S79" s="29"/>
      <c r="T79" s="29"/>
      <c r="U79" s="29"/>
      <c r="V79" s="29"/>
      <c r="W79" s="29"/>
      <c r="X79" s="29"/>
      <c r="Y79" s="29"/>
      <c r="Z79" s="29"/>
    </row>
    <row r="80">
      <c r="A80" s="36" t="s">
        <v>90</v>
      </c>
      <c r="B80" s="83">
        <f>B79/J59</f>
        <v>291.3003612</v>
      </c>
      <c r="C80" s="83"/>
      <c r="D80" s="83"/>
      <c r="E80" s="83"/>
      <c r="F80" s="83"/>
      <c r="G80" s="87"/>
      <c r="H80" s="29"/>
      <c r="I80" s="29"/>
      <c r="J80" s="29"/>
      <c r="K80" s="29"/>
      <c r="L80" s="29"/>
      <c r="M80" s="29"/>
      <c r="N80" s="29"/>
      <c r="O80" s="29"/>
      <c r="P80" s="29"/>
      <c r="Q80" s="29"/>
      <c r="R80" s="29"/>
      <c r="S80" s="29"/>
      <c r="T80" s="29"/>
      <c r="U80" s="29"/>
      <c r="V80" s="29"/>
      <c r="W80" s="29"/>
      <c r="X80" s="29"/>
      <c r="Y80" s="29"/>
      <c r="Z80" s="29"/>
    </row>
    <row r="81">
      <c r="A81" s="43"/>
      <c r="B81" s="29"/>
      <c r="C81" s="83"/>
      <c r="D81" s="83"/>
      <c r="E81" s="83"/>
      <c r="F81" s="83"/>
      <c r="G81" s="87"/>
      <c r="H81" s="29"/>
      <c r="I81" s="29"/>
      <c r="J81" s="29"/>
      <c r="K81" s="29"/>
      <c r="L81" s="29"/>
      <c r="M81" s="29"/>
      <c r="N81" s="29"/>
      <c r="O81" s="29"/>
      <c r="P81" s="29"/>
      <c r="Q81" s="29"/>
      <c r="R81" s="29"/>
      <c r="S81" s="29"/>
      <c r="T81" s="29"/>
      <c r="U81" s="29"/>
      <c r="V81" s="29"/>
      <c r="W81" s="29"/>
      <c r="X81" s="29"/>
      <c r="Y81" s="29"/>
      <c r="Z81" s="29"/>
    </row>
    <row r="82">
      <c r="A82" s="36"/>
      <c r="B82" s="86"/>
      <c r="C82" s="83"/>
      <c r="D82" s="83"/>
      <c r="E82" s="83"/>
      <c r="F82" s="83"/>
      <c r="G82" s="87"/>
      <c r="H82" s="29"/>
      <c r="I82" s="29"/>
      <c r="J82" s="29"/>
      <c r="K82" s="29"/>
      <c r="L82" s="29"/>
      <c r="M82" s="29"/>
      <c r="N82" s="29"/>
      <c r="O82" s="29"/>
      <c r="P82" s="29"/>
      <c r="Q82" s="29"/>
      <c r="R82" s="29"/>
      <c r="S82" s="29"/>
      <c r="T82" s="29"/>
      <c r="U82" s="29"/>
      <c r="V82" s="29"/>
      <c r="W82" s="29"/>
      <c r="X82" s="29"/>
      <c r="Y82" s="29"/>
      <c r="Z82" s="29"/>
    </row>
    <row r="83">
      <c r="A83" s="36"/>
      <c r="B83" s="86"/>
      <c r="C83" s="83"/>
      <c r="D83" s="83"/>
      <c r="E83" s="83"/>
      <c r="F83" s="83"/>
      <c r="G83" s="87"/>
      <c r="H83" s="29"/>
      <c r="I83" s="29"/>
      <c r="J83" s="29"/>
      <c r="K83" s="29"/>
      <c r="L83" s="29"/>
      <c r="M83" s="29"/>
      <c r="N83" s="29"/>
      <c r="O83" s="29"/>
      <c r="P83" s="29"/>
      <c r="Q83" s="29"/>
      <c r="R83" s="29"/>
      <c r="S83" s="29"/>
      <c r="T83" s="29"/>
      <c r="U83" s="29"/>
      <c r="V83" s="29"/>
      <c r="W83" s="29"/>
      <c r="X83" s="29"/>
      <c r="Y83" s="29"/>
      <c r="Z83" s="29"/>
    </row>
    <row r="84">
      <c r="A84" s="36"/>
      <c r="B84" s="86"/>
      <c r="C84" s="83"/>
      <c r="D84" s="83"/>
      <c r="E84" s="83"/>
      <c r="F84" s="83"/>
      <c r="G84" s="87"/>
      <c r="H84" s="29"/>
      <c r="I84" s="29"/>
      <c r="J84" s="29"/>
      <c r="K84" s="29"/>
      <c r="L84" s="29"/>
      <c r="M84" s="29"/>
      <c r="N84" s="29"/>
      <c r="O84" s="29"/>
      <c r="P84" s="29"/>
      <c r="Q84" s="29"/>
      <c r="R84" s="29"/>
      <c r="S84" s="29"/>
      <c r="T84" s="29"/>
      <c r="U84" s="29"/>
      <c r="V84" s="29"/>
      <c r="W84" s="29"/>
      <c r="X84" s="29"/>
      <c r="Y84" s="29"/>
      <c r="Z84" s="29"/>
    </row>
    <row r="85">
      <c r="A85" s="88"/>
      <c r="B85" s="89"/>
      <c r="C85" s="90"/>
      <c r="D85" s="90"/>
      <c r="E85" s="90"/>
      <c r="F85" s="90"/>
      <c r="G85" s="91"/>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74">
        <v>2023.0</v>
      </c>
      <c r="C87" s="74">
        <v>2024.0</v>
      </c>
      <c r="D87" s="74">
        <v>2025.0</v>
      </c>
      <c r="E87" s="74">
        <v>2026.0</v>
      </c>
      <c r="F87" s="74">
        <v>2027.0</v>
      </c>
      <c r="G87" s="74">
        <v>2028.0</v>
      </c>
      <c r="H87" s="74"/>
      <c r="I87" s="29"/>
      <c r="J87" s="29"/>
      <c r="K87" s="29"/>
      <c r="L87" s="29"/>
      <c r="M87" s="29"/>
      <c r="N87" s="29"/>
      <c r="O87" s="29"/>
      <c r="P87" s="29"/>
      <c r="Q87" s="29"/>
      <c r="R87" s="29"/>
      <c r="S87" s="29"/>
      <c r="T87" s="29"/>
      <c r="U87" s="29"/>
      <c r="V87" s="29"/>
      <c r="W87" s="29"/>
      <c r="X87" s="29"/>
      <c r="Y87" s="29"/>
      <c r="Z87" s="29"/>
    </row>
    <row r="88">
      <c r="A88" s="74" t="s">
        <v>91</v>
      </c>
      <c r="B88" s="29"/>
      <c r="C88" s="92">
        <f t="shared" ref="C88:H88" si="39">(C52-$M$54)*B50</f>
        <v>585.2322081</v>
      </c>
      <c r="D88" s="92">
        <f t="shared" si="39"/>
        <v>851.4448292</v>
      </c>
      <c r="E88" s="92">
        <f t="shared" si="39"/>
        <v>1077.063394</v>
      </c>
      <c r="F88" s="92">
        <f t="shared" si="39"/>
        <v>1312.102903</v>
      </c>
      <c r="G88" s="92">
        <f t="shared" si="39"/>
        <v>1557.179988</v>
      </c>
      <c r="H88" s="92">
        <f t="shared" si="39"/>
        <v>1812.819872</v>
      </c>
      <c r="I88" s="29"/>
      <c r="J88" s="29"/>
      <c r="K88" s="29"/>
      <c r="L88" s="29"/>
      <c r="M88" s="29"/>
      <c r="N88" s="29"/>
      <c r="O88" s="29"/>
      <c r="P88" s="29"/>
      <c r="Q88" s="29"/>
      <c r="R88" s="29"/>
      <c r="S88" s="29"/>
      <c r="T88" s="29"/>
      <c r="U88" s="29"/>
      <c r="V88" s="29"/>
      <c r="W88" s="29"/>
      <c r="X88" s="29"/>
      <c r="Y88" s="29"/>
      <c r="Z88" s="29"/>
    </row>
    <row r="89">
      <c r="A89" s="74" t="s">
        <v>92</v>
      </c>
      <c r="B89" s="29"/>
      <c r="C89" s="29"/>
      <c r="D89" s="29"/>
      <c r="E89" s="29"/>
      <c r="F89" s="92">
        <f>G88/($J$57-$I$58)</f>
        <v>96956.35721</v>
      </c>
      <c r="H89" s="29"/>
      <c r="I89" s="29"/>
      <c r="J89" s="29"/>
      <c r="K89" s="29"/>
      <c r="L89" s="29"/>
      <c r="M89" s="29"/>
      <c r="N89" s="29"/>
      <c r="O89" s="29"/>
      <c r="P89" s="29"/>
      <c r="Q89" s="29"/>
      <c r="R89" s="29"/>
      <c r="S89" s="29"/>
      <c r="T89" s="29"/>
      <c r="U89" s="29"/>
      <c r="V89" s="29"/>
      <c r="W89" s="29"/>
      <c r="X89" s="29"/>
      <c r="Y89" s="29"/>
      <c r="Z89" s="29"/>
    </row>
    <row r="90">
      <c r="A90" s="74" t="s">
        <v>93</v>
      </c>
      <c r="B90" s="40">
        <f>B50</f>
        <v>29264.2</v>
      </c>
      <c r="C90" s="92">
        <f t="shared" ref="C90:F90" si="40">SUM(C88:C89)</f>
        <v>585.2322081</v>
      </c>
      <c r="D90" s="92">
        <f t="shared" si="40"/>
        <v>851.4448292</v>
      </c>
      <c r="E90" s="92">
        <f t="shared" si="40"/>
        <v>1077.063394</v>
      </c>
      <c r="F90" s="92">
        <f t="shared" si="40"/>
        <v>98268.46011</v>
      </c>
      <c r="G90" s="29"/>
      <c r="H90" s="29"/>
      <c r="I90" s="29"/>
      <c r="J90" s="29"/>
      <c r="K90" s="29"/>
      <c r="L90" s="29"/>
      <c r="M90" s="29"/>
      <c r="N90" s="29"/>
      <c r="O90" s="29"/>
      <c r="P90" s="29"/>
      <c r="Q90" s="29"/>
      <c r="R90" s="29"/>
      <c r="S90" s="29"/>
      <c r="T90" s="29"/>
      <c r="U90" s="29"/>
      <c r="V90" s="29"/>
      <c r="W90" s="29"/>
      <c r="X90" s="29"/>
      <c r="Y90" s="29"/>
      <c r="Z90" s="29"/>
    </row>
    <row r="91">
      <c r="A91" s="74" t="s">
        <v>94</v>
      </c>
      <c r="B91" s="93">
        <f t="array" ref="B91">NPV($J$57,C90:F90)+B90</f>
        <v>105610.792</v>
      </c>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74" t="s">
        <v>95</v>
      </c>
      <c r="B92" s="94">
        <f>B91/J59</f>
        <v>76.65175787</v>
      </c>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95" t="s">
        <v>96</v>
      </c>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outlineLevelRow="2"/>
  <cols>
    <col customWidth="1" min="1" max="1" width="32.75"/>
    <col customWidth="1" hidden="1" min="2" max="2" width="7.63"/>
    <col customWidth="1" min="3" max="11" width="10.38"/>
    <col customWidth="1" min="12" max="12" width="11.5"/>
    <col customWidth="1" min="13" max="13" width="13.25"/>
    <col customWidth="1" min="14" max="15" width="12.13"/>
    <col customWidth="1" min="16" max="26" width="7.63"/>
  </cols>
  <sheetData>
    <row r="1">
      <c r="A1" s="96"/>
      <c r="B1" s="96"/>
      <c r="C1" s="96"/>
      <c r="D1" s="96"/>
      <c r="E1" s="96"/>
      <c r="F1" s="96"/>
      <c r="G1" s="96"/>
      <c r="H1" s="96"/>
      <c r="I1" s="96"/>
      <c r="J1" s="96"/>
      <c r="K1" s="96"/>
      <c r="L1" s="96"/>
    </row>
    <row r="2">
      <c r="A2" s="97" t="s">
        <v>98</v>
      </c>
      <c r="B2" s="97"/>
      <c r="C2" s="97"/>
      <c r="D2" s="97"/>
      <c r="E2" s="97"/>
      <c r="F2" s="97"/>
      <c r="G2" s="97"/>
      <c r="H2" s="97"/>
      <c r="I2" s="97"/>
      <c r="J2" s="97"/>
      <c r="K2" s="97"/>
      <c r="L2" s="97"/>
    </row>
    <row r="3">
      <c r="A3" s="98"/>
      <c r="B3" s="98"/>
      <c r="C3" s="98"/>
      <c r="D3" s="98"/>
      <c r="E3" s="98"/>
      <c r="F3" s="98"/>
      <c r="G3" s="98"/>
      <c r="H3" s="98"/>
      <c r="I3" s="98"/>
      <c r="J3" s="98"/>
      <c r="K3" s="98"/>
      <c r="L3" s="98"/>
    </row>
    <row r="4">
      <c r="A4" s="99" t="s">
        <v>99</v>
      </c>
      <c r="B4" s="99"/>
      <c r="C4" s="100" t="s">
        <v>100</v>
      </c>
      <c r="D4" s="100" t="s">
        <v>101</v>
      </c>
      <c r="E4" s="100" t="s">
        <v>102</v>
      </c>
      <c r="F4" s="100" t="s">
        <v>103</v>
      </c>
      <c r="G4" s="100" t="s">
        <v>104</v>
      </c>
      <c r="H4" s="100" t="s">
        <v>105</v>
      </c>
      <c r="I4" s="100" t="s">
        <v>106</v>
      </c>
      <c r="J4" s="100" t="s">
        <v>107</v>
      </c>
      <c r="K4" s="100" t="s">
        <v>28</v>
      </c>
      <c r="L4" s="100" t="s">
        <v>108</v>
      </c>
    </row>
    <row r="5">
      <c r="A5" s="101" t="s">
        <v>109</v>
      </c>
      <c r="B5" s="101"/>
      <c r="C5" s="102" t="s">
        <v>110</v>
      </c>
      <c r="D5" s="102" t="s">
        <v>111</v>
      </c>
      <c r="E5" s="102" t="s">
        <v>112</v>
      </c>
      <c r="F5" s="102" t="s">
        <v>113</v>
      </c>
      <c r="G5" s="102" t="s">
        <v>114</v>
      </c>
      <c r="H5" s="102" t="s">
        <v>115</v>
      </c>
      <c r="I5" s="102" t="s">
        <v>116</v>
      </c>
      <c r="J5" s="102" t="s">
        <v>117</v>
      </c>
      <c r="K5" s="102" t="s">
        <v>118</v>
      </c>
      <c r="L5" s="102" t="s">
        <v>119</v>
      </c>
    </row>
    <row r="6">
      <c r="A6" s="103" t="s">
        <v>120</v>
      </c>
      <c r="B6" s="104"/>
      <c r="C6" s="104"/>
      <c r="D6" s="104"/>
      <c r="E6" s="104"/>
      <c r="F6" s="104"/>
      <c r="G6" s="104"/>
      <c r="H6" s="104"/>
      <c r="I6" s="104"/>
      <c r="J6" s="104"/>
      <c r="K6" s="104"/>
      <c r="L6" s="105"/>
    </row>
    <row r="7" outlineLevel="1">
      <c r="A7" s="106" t="s">
        <v>121</v>
      </c>
      <c r="B7" s="107"/>
      <c r="C7" s="107"/>
      <c r="D7" s="107"/>
      <c r="E7" s="107"/>
      <c r="F7" s="107"/>
      <c r="G7" s="107"/>
      <c r="H7" s="107"/>
      <c r="I7" s="107"/>
      <c r="J7" s="107"/>
      <c r="K7" s="107"/>
      <c r="L7" s="108"/>
    </row>
    <row r="8" outlineLevel="2">
      <c r="A8" s="109" t="s">
        <v>122</v>
      </c>
      <c r="B8" s="109" t="s">
        <v>123</v>
      </c>
      <c r="C8" s="110">
        <v>2173.338</v>
      </c>
      <c r="D8" s="110">
        <v>2312.694</v>
      </c>
      <c r="E8" s="110">
        <v>1831.109</v>
      </c>
      <c r="F8" s="110">
        <v>2493.983</v>
      </c>
      <c r="G8" s="110">
        <v>1882.873</v>
      </c>
      <c r="H8" s="110">
        <v>2036.14</v>
      </c>
      <c r="I8" s="110">
        <v>2245.261</v>
      </c>
      <c r="J8" s="110">
        <v>2850.11</v>
      </c>
      <c r="K8" s="110">
        <v>2451.318</v>
      </c>
      <c r="L8" s="111">
        <v>4499.534</v>
      </c>
    </row>
    <row r="9" outlineLevel="2">
      <c r="A9" s="109" t="s">
        <v>124</v>
      </c>
      <c r="B9" s="109" t="s">
        <v>125</v>
      </c>
      <c r="C9" s="110">
        <v>1409.075</v>
      </c>
      <c r="D9" s="110">
        <v>1625.837</v>
      </c>
      <c r="E9" s="110">
        <v>1610.95</v>
      </c>
      <c r="F9" s="110">
        <v>1734.033</v>
      </c>
      <c r="G9" s="110">
        <v>1792.375</v>
      </c>
      <c r="H9" s="110">
        <v>1595.347</v>
      </c>
      <c r="I9" s="110">
        <v>1644.29</v>
      </c>
      <c r="J9" s="110">
        <v>1821.88</v>
      </c>
      <c r="K9" s="110">
        <v>2039.904</v>
      </c>
      <c r="L9" s="111">
        <v>2040.538</v>
      </c>
    </row>
    <row r="10" outlineLevel="2">
      <c r="A10" s="109" t="s">
        <v>126</v>
      </c>
      <c r="B10" s="109" t="s">
        <v>127</v>
      </c>
      <c r="C10" s="110">
        <v>-90.065</v>
      </c>
      <c r="D10" s="110">
        <v>174.034</v>
      </c>
      <c r="E10" s="110">
        <v>31.719</v>
      </c>
      <c r="F10" s="110">
        <v>-151.764</v>
      </c>
      <c r="G10" s="110">
        <v>120.351</v>
      </c>
      <c r="H10" s="110">
        <v>-1084.926</v>
      </c>
      <c r="I10" s="110">
        <v>-1427.513</v>
      </c>
      <c r="J10" s="110">
        <v>-977.001</v>
      </c>
      <c r="K10" s="110">
        <v>-1849.692</v>
      </c>
      <c r="L10" s="111">
        <v>785.672</v>
      </c>
    </row>
    <row r="11" outlineLevel="2">
      <c r="A11" s="109" t="s">
        <v>128</v>
      </c>
      <c r="B11" s="109" t="s">
        <v>129</v>
      </c>
      <c r="C11" s="110">
        <v>-26.887</v>
      </c>
      <c r="D11" s="110">
        <v>32.889</v>
      </c>
      <c r="E11" s="110">
        <v>-53.299</v>
      </c>
      <c r="F11" s="110">
        <v>-237.961</v>
      </c>
      <c r="G11" s="110">
        <v>-86.594</v>
      </c>
      <c r="H11" s="110" t="s">
        <v>130</v>
      </c>
      <c r="I11" s="110" t="s">
        <v>130</v>
      </c>
      <c r="J11" s="110" t="s">
        <v>130</v>
      </c>
      <c r="K11" s="110" t="s">
        <v>130</v>
      </c>
      <c r="L11" s="111"/>
    </row>
    <row r="12" outlineLevel="2">
      <c r="A12" s="109" t="s">
        <v>131</v>
      </c>
      <c r="B12" s="109" t="s">
        <v>132</v>
      </c>
      <c r="C12" s="110">
        <v>-63.178</v>
      </c>
      <c r="D12" s="110">
        <v>141.145</v>
      </c>
      <c r="E12" s="110">
        <v>85.018</v>
      </c>
      <c r="F12" s="110">
        <v>86.197</v>
      </c>
      <c r="G12" s="110">
        <v>206.945</v>
      </c>
      <c r="H12" s="110">
        <v>-1084.926</v>
      </c>
      <c r="I12" s="110">
        <v>-1427.513</v>
      </c>
      <c r="J12" s="110">
        <v>-977.001</v>
      </c>
      <c r="K12" s="110">
        <v>-1849.692</v>
      </c>
      <c r="L12" s="111">
        <v>785.672</v>
      </c>
    </row>
    <row r="13" outlineLevel="2">
      <c r="A13" s="109" t="s">
        <v>133</v>
      </c>
      <c r="B13" s="109" t="s">
        <v>134</v>
      </c>
      <c r="C13" s="110">
        <v>193.405</v>
      </c>
      <c r="D13" s="110">
        <v>348.292</v>
      </c>
      <c r="E13" s="110">
        <v>-59.541</v>
      </c>
      <c r="F13" s="110">
        <v>146.876</v>
      </c>
      <c r="G13" s="110">
        <v>-29.002</v>
      </c>
      <c r="H13" s="110">
        <v>-148.065</v>
      </c>
      <c r="I13" s="110">
        <v>265.124</v>
      </c>
      <c r="J13" s="110">
        <v>27.626</v>
      </c>
      <c r="K13" s="110">
        <v>313.546</v>
      </c>
      <c r="L13" s="111">
        <v>-3410.45</v>
      </c>
    </row>
    <row r="14" outlineLevel="2">
      <c r="A14" s="109" t="s">
        <v>135</v>
      </c>
      <c r="B14" s="109" t="s">
        <v>136</v>
      </c>
      <c r="C14" s="110">
        <v>9.492</v>
      </c>
      <c r="D14" s="110">
        <v>134.085</v>
      </c>
      <c r="E14" s="110">
        <v>-166.118</v>
      </c>
      <c r="F14" s="110">
        <v>-29.366</v>
      </c>
      <c r="G14" s="110">
        <v>-166.78</v>
      </c>
      <c r="H14" s="110">
        <v>257.588</v>
      </c>
      <c r="I14" s="110">
        <v>5.027</v>
      </c>
      <c r="J14" s="110">
        <v>118.652</v>
      </c>
      <c r="K14" s="110">
        <v>-532.432</v>
      </c>
      <c r="L14" s="111"/>
    </row>
    <row r="15" outlineLevel="2">
      <c r="A15" s="109" t="s">
        <v>137</v>
      </c>
      <c r="B15" s="109" t="s">
        <v>138</v>
      </c>
      <c r="C15" s="110">
        <v>-171.001</v>
      </c>
      <c r="D15" s="110">
        <v>-68.912</v>
      </c>
      <c r="E15" s="110">
        <v>-246.326</v>
      </c>
      <c r="F15" s="110">
        <v>-171.148</v>
      </c>
      <c r="G15" s="110">
        <v>-166.902</v>
      </c>
      <c r="H15" s="110">
        <v>-163.109</v>
      </c>
      <c r="I15" s="110">
        <v>-242.769</v>
      </c>
      <c r="J15" s="110">
        <v>-725.285</v>
      </c>
      <c r="K15" s="110">
        <v>-350.55</v>
      </c>
      <c r="L15" s="111"/>
    </row>
    <row r="16" outlineLevel="2">
      <c r="A16" s="109" t="s">
        <v>139</v>
      </c>
      <c r="B16" s="109" t="s">
        <v>140</v>
      </c>
      <c r="C16" s="110">
        <v>150.058</v>
      </c>
      <c r="D16" s="110">
        <v>120.381</v>
      </c>
      <c r="E16" s="110">
        <v>145.957</v>
      </c>
      <c r="F16" s="110">
        <v>46.648</v>
      </c>
      <c r="G16" s="110">
        <v>94.887</v>
      </c>
      <c r="H16" s="110">
        <v>-129.053</v>
      </c>
      <c r="I16" s="110">
        <v>384.142</v>
      </c>
      <c r="J16" s="110">
        <v>152.399</v>
      </c>
      <c r="K16" s="110">
        <v>712.4</v>
      </c>
      <c r="L16" s="111"/>
    </row>
    <row r="17" outlineLevel="2">
      <c r="A17" s="109" t="s">
        <v>141</v>
      </c>
      <c r="B17" s="109" t="s">
        <v>142</v>
      </c>
      <c r="C17" s="110">
        <v>204.856</v>
      </c>
      <c r="D17" s="110">
        <v>162.738</v>
      </c>
      <c r="E17" s="110">
        <v>206.946</v>
      </c>
      <c r="F17" s="110">
        <v>300.742</v>
      </c>
      <c r="G17" s="110">
        <v>209.793</v>
      </c>
      <c r="H17" s="110">
        <v>-113.491</v>
      </c>
      <c r="I17" s="110">
        <v>118.724</v>
      </c>
      <c r="J17" s="110">
        <v>481.86</v>
      </c>
      <c r="K17" s="110">
        <v>484.128</v>
      </c>
      <c r="L17" s="111">
        <v>-3410.45</v>
      </c>
    </row>
    <row r="18" outlineLevel="2">
      <c r="A18" s="109" t="s">
        <v>143</v>
      </c>
      <c r="B18" s="109" t="s">
        <v>144</v>
      </c>
      <c r="C18" s="110">
        <v>0.0</v>
      </c>
      <c r="D18" s="110">
        <v>0.0</v>
      </c>
      <c r="E18" s="110">
        <v>0.0</v>
      </c>
      <c r="F18" s="110">
        <v>0.0</v>
      </c>
      <c r="G18" s="110">
        <v>0.0</v>
      </c>
      <c r="H18" s="110">
        <v>0.0</v>
      </c>
      <c r="I18" s="110">
        <v>0.0</v>
      </c>
      <c r="J18" s="110">
        <v>0.0</v>
      </c>
      <c r="K18" s="110">
        <v>0.0</v>
      </c>
      <c r="L18" s="111">
        <v>0.0</v>
      </c>
    </row>
    <row r="19" outlineLevel="1">
      <c r="A19" s="106" t="s">
        <v>121</v>
      </c>
      <c r="B19" s="106" t="s">
        <v>145</v>
      </c>
      <c r="C19" s="112">
        <v>3685.753</v>
      </c>
      <c r="D19" s="112">
        <v>4460.857</v>
      </c>
      <c r="E19" s="112">
        <v>3414.237</v>
      </c>
      <c r="F19" s="112">
        <v>4223.128</v>
      </c>
      <c r="G19" s="112">
        <v>3766.597</v>
      </c>
      <c r="H19" s="112">
        <v>2398.496</v>
      </c>
      <c r="I19" s="112">
        <v>2727.162</v>
      </c>
      <c r="J19" s="112">
        <v>3722.615</v>
      </c>
      <c r="K19" s="112">
        <v>2955.076</v>
      </c>
      <c r="L19" s="113">
        <v>3915.294</v>
      </c>
    </row>
    <row r="20" outlineLevel="1">
      <c r="A20" s="106"/>
      <c r="B20" s="107"/>
      <c r="C20" s="107"/>
      <c r="D20" s="107"/>
      <c r="E20" s="107"/>
      <c r="F20" s="107"/>
      <c r="G20" s="107"/>
      <c r="H20" s="107"/>
      <c r="I20" s="107"/>
      <c r="J20" s="107"/>
      <c r="K20" s="107"/>
      <c r="L20" s="108"/>
    </row>
    <row r="21" outlineLevel="1">
      <c r="A21" s="106" t="s">
        <v>146</v>
      </c>
      <c r="B21" s="107"/>
      <c r="C21" s="107"/>
      <c r="D21" s="107"/>
      <c r="E21" s="107"/>
      <c r="F21" s="107"/>
      <c r="G21" s="107"/>
      <c r="H21" s="107"/>
      <c r="I21" s="107"/>
      <c r="J21" s="107"/>
      <c r="K21" s="107"/>
      <c r="L21" s="108"/>
    </row>
    <row r="22" outlineLevel="2">
      <c r="A22" s="109" t="s">
        <v>147</v>
      </c>
      <c r="B22" s="109" t="s">
        <v>148</v>
      </c>
      <c r="C22" s="110">
        <v>-1104.771</v>
      </c>
      <c r="D22" s="110">
        <v>-1240.398</v>
      </c>
      <c r="E22" s="110">
        <v>-2261.921</v>
      </c>
      <c r="F22" s="110">
        <v>-2315.615</v>
      </c>
      <c r="G22" s="110">
        <v>-2288.376</v>
      </c>
      <c r="H22" s="110">
        <v>-2307.434</v>
      </c>
      <c r="I22" s="110">
        <v>-2355.704</v>
      </c>
      <c r="J22" s="110">
        <v>-2250.363</v>
      </c>
      <c r="K22" s="110">
        <v>-1990.235</v>
      </c>
      <c r="L22" s="111">
        <v>-2533.807</v>
      </c>
    </row>
    <row r="23" outlineLevel="2">
      <c r="A23" s="109" t="s">
        <v>149</v>
      </c>
      <c r="B23" s="109" t="s">
        <v>150</v>
      </c>
      <c r="C23" s="110">
        <v>41.547</v>
      </c>
      <c r="D23" s="110">
        <v>42.147</v>
      </c>
      <c r="E23" s="110">
        <v>1279.516</v>
      </c>
      <c r="F23" s="110">
        <v>1283.092</v>
      </c>
      <c r="G23" s="110">
        <v>1450.511</v>
      </c>
      <c r="H23" s="110">
        <v>1439.142</v>
      </c>
      <c r="I23" s="110">
        <v>1412.241</v>
      </c>
      <c r="J23" s="110">
        <v>1579.881</v>
      </c>
      <c r="K23" s="110">
        <v>1715.597</v>
      </c>
      <c r="L23" s="111">
        <v>1941.642</v>
      </c>
    </row>
    <row r="24" outlineLevel="2">
      <c r="A24" s="114" t="s">
        <v>151</v>
      </c>
      <c r="B24" s="114" t="s">
        <v>152</v>
      </c>
      <c r="C24" s="115">
        <v>41.547</v>
      </c>
      <c r="D24" s="115">
        <v>42.147</v>
      </c>
      <c r="E24" s="115">
        <v>1279.516</v>
      </c>
      <c r="F24" s="115">
        <v>1283.092</v>
      </c>
      <c r="G24" s="115">
        <v>1450.511</v>
      </c>
      <c r="H24" s="115">
        <v>1439.142</v>
      </c>
      <c r="I24" s="115">
        <v>1412.241</v>
      </c>
      <c r="J24" s="115">
        <v>1579.881</v>
      </c>
      <c r="K24" s="115">
        <v>1715.597</v>
      </c>
      <c r="L24" s="116">
        <v>1941.642</v>
      </c>
    </row>
    <row r="25" outlineLevel="2">
      <c r="A25" s="114" t="s">
        <v>153</v>
      </c>
      <c r="B25" s="114" t="s">
        <v>154</v>
      </c>
      <c r="C25" s="115">
        <v>0.0</v>
      </c>
      <c r="D25" s="115">
        <v>0.0</v>
      </c>
      <c r="E25" s="115">
        <v>0.0</v>
      </c>
      <c r="F25" s="115">
        <v>0.0</v>
      </c>
      <c r="G25" s="115">
        <v>0.0</v>
      </c>
      <c r="H25" s="115">
        <v>0.0</v>
      </c>
      <c r="I25" s="115">
        <v>0.0</v>
      </c>
      <c r="J25" s="115">
        <v>0.0</v>
      </c>
      <c r="K25" s="115">
        <v>0.0</v>
      </c>
      <c r="L25" s="116">
        <v>0.0</v>
      </c>
    </row>
    <row r="26" outlineLevel="2">
      <c r="A26" s="109" t="s">
        <v>155</v>
      </c>
      <c r="B26" s="109" t="s">
        <v>156</v>
      </c>
      <c r="C26" s="110">
        <v>-1146.318</v>
      </c>
      <c r="D26" s="110">
        <v>-1282.545</v>
      </c>
      <c r="E26" s="110">
        <v>-3541.437</v>
      </c>
      <c r="F26" s="110">
        <v>-3598.707</v>
      </c>
      <c r="G26" s="110">
        <v>-3738.887</v>
      </c>
      <c r="H26" s="110">
        <v>-3746.576</v>
      </c>
      <c r="I26" s="110">
        <v>-3767.945</v>
      </c>
      <c r="J26" s="110">
        <v>-3830.244</v>
      </c>
      <c r="K26" s="110">
        <v>-3705.832</v>
      </c>
      <c r="L26" s="111">
        <v>-4475.449</v>
      </c>
    </row>
    <row r="27" outlineLevel="2">
      <c r="A27" s="114" t="s">
        <v>157</v>
      </c>
      <c r="B27" s="114" t="s">
        <v>158</v>
      </c>
      <c r="C27" s="115">
        <v>-1146.318</v>
      </c>
      <c r="D27" s="115">
        <v>-1282.545</v>
      </c>
      <c r="E27" s="115">
        <v>-3541.437</v>
      </c>
      <c r="F27" s="115">
        <v>-3598.707</v>
      </c>
      <c r="G27" s="115">
        <v>-3738.887</v>
      </c>
      <c r="H27" s="115">
        <v>-3441.584</v>
      </c>
      <c r="I27" s="115">
        <v>-3489.498</v>
      </c>
      <c r="J27" s="115">
        <v>-3484.159</v>
      </c>
      <c r="K27" s="115">
        <v>-3357.552</v>
      </c>
      <c r="L27" s="116">
        <v>-4146.002</v>
      </c>
    </row>
    <row r="28" outlineLevel="2">
      <c r="A28" s="114" t="s">
        <v>159</v>
      </c>
      <c r="B28" s="114" t="s">
        <v>160</v>
      </c>
      <c r="C28" s="115">
        <v>0.0</v>
      </c>
      <c r="D28" s="115">
        <v>0.0</v>
      </c>
      <c r="E28" s="115">
        <v>0.0</v>
      </c>
      <c r="F28" s="115">
        <v>0.0</v>
      </c>
      <c r="G28" s="115">
        <v>0.0</v>
      </c>
      <c r="H28" s="115">
        <v>-304.992</v>
      </c>
      <c r="I28" s="115">
        <v>-278.447</v>
      </c>
      <c r="J28" s="115">
        <v>-346.085</v>
      </c>
      <c r="K28" s="115">
        <v>-348.28</v>
      </c>
      <c r="L28" s="116">
        <v>-329.447</v>
      </c>
    </row>
    <row r="29" outlineLevel="2">
      <c r="A29" s="109" t="s">
        <v>161</v>
      </c>
      <c r="B29" s="109" t="s">
        <v>162</v>
      </c>
      <c r="C29" s="110">
        <v>-2595.328</v>
      </c>
      <c r="D29" s="110">
        <v>-880.03</v>
      </c>
      <c r="E29" s="110">
        <v>-1324.18</v>
      </c>
      <c r="F29" s="110">
        <v>-1541.582</v>
      </c>
      <c r="G29" s="110">
        <v>-167.064</v>
      </c>
      <c r="H29" s="110">
        <v>-29.689</v>
      </c>
      <c r="I29" s="110">
        <v>-667.253</v>
      </c>
      <c r="J29" s="110">
        <v>-225.274</v>
      </c>
      <c r="K29" s="110">
        <v>183.515</v>
      </c>
      <c r="L29" s="111">
        <v>203.113</v>
      </c>
    </row>
    <row r="30" outlineLevel="2">
      <c r="A30" s="109" t="s">
        <v>163</v>
      </c>
      <c r="B30" s="109" t="s">
        <v>164</v>
      </c>
      <c r="C30" s="110">
        <v>3486.424</v>
      </c>
      <c r="D30" s="110">
        <v>4527.542</v>
      </c>
      <c r="E30" s="110">
        <v>1901.541</v>
      </c>
      <c r="F30" s="110">
        <v>2523.538</v>
      </c>
      <c r="G30" s="110">
        <v>2698.798</v>
      </c>
      <c r="H30" s="110">
        <v>2375.648</v>
      </c>
      <c r="I30" s="110">
        <v>2061.918</v>
      </c>
      <c r="J30" s="110">
        <v>2202.637</v>
      </c>
      <c r="K30" s="110">
        <v>1333.729</v>
      </c>
      <c r="L30" s="111">
        <v>2175.128</v>
      </c>
    </row>
    <row r="31" outlineLevel="2">
      <c r="A31" s="109" t="s">
        <v>165</v>
      </c>
      <c r="B31" s="109" t="s">
        <v>166</v>
      </c>
      <c r="C31" s="110">
        <v>-6081.752</v>
      </c>
      <c r="D31" s="110">
        <v>-5407.572</v>
      </c>
      <c r="E31" s="110">
        <v>-3225.721</v>
      </c>
      <c r="F31" s="110">
        <v>-4065.12</v>
      </c>
      <c r="G31" s="110">
        <v>-2865.862</v>
      </c>
      <c r="H31" s="110">
        <v>-2405.337</v>
      </c>
      <c r="I31" s="110">
        <v>-2729.171</v>
      </c>
      <c r="J31" s="110">
        <v>-2427.911</v>
      </c>
      <c r="K31" s="110">
        <v>-1150.214</v>
      </c>
      <c r="L31" s="111">
        <v>-1972.015</v>
      </c>
    </row>
    <row r="32" outlineLevel="2">
      <c r="A32" s="109" t="s">
        <v>167</v>
      </c>
      <c r="B32" s="109" t="s">
        <v>168</v>
      </c>
      <c r="C32" s="110">
        <v>0.0</v>
      </c>
      <c r="D32" s="110">
        <v>0.0</v>
      </c>
      <c r="E32" s="110">
        <v>44.274</v>
      </c>
      <c r="F32" s="110">
        <v>-0.576</v>
      </c>
      <c r="G32" s="110">
        <v>5.01</v>
      </c>
      <c r="H32" s="110">
        <v>0.0</v>
      </c>
      <c r="I32" s="110">
        <v>0.0</v>
      </c>
      <c r="J32" s="110">
        <v>0.0</v>
      </c>
      <c r="K32" s="110">
        <v>0.0</v>
      </c>
      <c r="L32" s="111">
        <v>0.0</v>
      </c>
    </row>
    <row r="33" outlineLevel="2">
      <c r="A33" s="109" t="s">
        <v>169</v>
      </c>
      <c r="B33" s="109" t="s">
        <v>170</v>
      </c>
      <c r="C33" s="110">
        <v>0.0</v>
      </c>
      <c r="D33" s="110">
        <v>0.0</v>
      </c>
      <c r="E33" s="110">
        <v>0.0</v>
      </c>
      <c r="F33" s="110">
        <v>0.0</v>
      </c>
      <c r="G33" s="110">
        <v>0.0</v>
      </c>
      <c r="H33" s="110">
        <v>0.0</v>
      </c>
      <c r="I33" s="110">
        <v>0.0</v>
      </c>
      <c r="J33" s="110">
        <v>0.0</v>
      </c>
      <c r="K33" s="110">
        <v>0.0</v>
      </c>
      <c r="L33" s="111">
        <v>0.0</v>
      </c>
    </row>
    <row r="34" outlineLevel="2">
      <c r="A34" s="109" t="s">
        <v>171</v>
      </c>
      <c r="B34" s="109" t="s">
        <v>172</v>
      </c>
      <c r="C34" s="110">
        <v>0.0</v>
      </c>
      <c r="D34" s="110">
        <v>0.0</v>
      </c>
      <c r="E34" s="110">
        <v>0.0</v>
      </c>
      <c r="F34" s="110">
        <v>0.0</v>
      </c>
      <c r="G34" s="110">
        <v>0.0</v>
      </c>
      <c r="H34" s="110">
        <v>0.0</v>
      </c>
      <c r="I34" s="110">
        <v>0.0</v>
      </c>
      <c r="J34" s="110">
        <v>0.0</v>
      </c>
      <c r="K34" s="110">
        <v>0.0</v>
      </c>
      <c r="L34" s="111">
        <v>0.0</v>
      </c>
    </row>
    <row r="35" outlineLevel="2">
      <c r="A35" s="109" t="s">
        <v>173</v>
      </c>
      <c r="B35" s="109" t="s">
        <v>174</v>
      </c>
      <c r="C35" s="110">
        <v>0.0</v>
      </c>
      <c r="D35" s="110">
        <v>0.0</v>
      </c>
      <c r="E35" s="110">
        <v>44.274</v>
      </c>
      <c r="F35" s="110">
        <v>-0.576</v>
      </c>
      <c r="G35" s="110">
        <v>5.01</v>
      </c>
      <c r="H35" s="110">
        <v>0.0</v>
      </c>
      <c r="I35" s="110">
        <v>0.0</v>
      </c>
      <c r="J35" s="110">
        <v>0.0</v>
      </c>
      <c r="K35" s="110">
        <v>0.0</v>
      </c>
      <c r="L35" s="111">
        <v>0.0</v>
      </c>
    </row>
    <row r="36" outlineLevel="2">
      <c r="A36" s="109" t="s">
        <v>175</v>
      </c>
      <c r="B36" s="109" t="s">
        <v>176</v>
      </c>
      <c r="C36" s="110">
        <v>-113.391</v>
      </c>
      <c r="D36" s="110">
        <v>-1062.116</v>
      </c>
      <c r="E36" s="110">
        <v>571.888</v>
      </c>
      <c r="F36" s="110">
        <v>197.681</v>
      </c>
      <c r="G36" s="110">
        <v>-246.811</v>
      </c>
      <c r="H36" s="110">
        <v>212.473</v>
      </c>
      <c r="I36" s="110">
        <v>-1661.218</v>
      </c>
      <c r="J36" s="110">
        <v>1898.141</v>
      </c>
      <c r="K36" s="110">
        <v>207.83</v>
      </c>
      <c r="L36" s="111">
        <v>-1984.732</v>
      </c>
    </row>
    <row r="37" outlineLevel="2">
      <c r="A37" s="109" t="s">
        <v>143</v>
      </c>
      <c r="B37" s="109" t="s">
        <v>177</v>
      </c>
      <c r="C37" s="110">
        <v>0.0</v>
      </c>
      <c r="D37" s="110">
        <v>0.0</v>
      </c>
      <c r="E37" s="110">
        <v>0.0</v>
      </c>
      <c r="F37" s="110">
        <v>0.0</v>
      </c>
      <c r="G37" s="110">
        <v>0.0</v>
      </c>
      <c r="H37" s="110">
        <v>0.0</v>
      </c>
      <c r="I37" s="110">
        <v>0.0</v>
      </c>
      <c r="J37" s="110">
        <v>0.0</v>
      </c>
      <c r="K37" s="110">
        <v>0.0</v>
      </c>
      <c r="L37" s="111">
        <v>0.0</v>
      </c>
    </row>
    <row r="38" outlineLevel="1">
      <c r="A38" s="106" t="s">
        <v>146</v>
      </c>
      <c r="B38" s="106" t="s">
        <v>178</v>
      </c>
      <c r="C38" s="112">
        <v>-3813.49</v>
      </c>
      <c r="D38" s="112">
        <v>-3182.544</v>
      </c>
      <c r="E38" s="112">
        <v>-2969.939</v>
      </c>
      <c r="F38" s="112">
        <v>-3660.092</v>
      </c>
      <c r="G38" s="112">
        <v>-2697.241</v>
      </c>
      <c r="H38" s="112">
        <v>-2124.65</v>
      </c>
      <c r="I38" s="112">
        <v>-4684.175</v>
      </c>
      <c r="J38" s="112">
        <v>-577.496</v>
      </c>
      <c r="K38" s="112">
        <v>-1598.89</v>
      </c>
      <c r="L38" s="113">
        <v>-4315.426</v>
      </c>
    </row>
    <row r="39" outlineLevel="1">
      <c r="A39" s="106"/>
      <c r="B39" s="107"/>
      <c r="C39" s="107"/>
      <c r="D39" s="107"/>
      <c r="E39" s="107"/>
      <c r="F39" s="107"/>
      <c r="G39" s="107"/>
      <c r="H39" s="107"/>
      <c r="I39" s="107"/>
      <c r="J39" s="107"/>
      <c r="K39" s="107"/>
      <c r="L39" s="108"/>
    </row>
    <row r="40" outlineLevel="1">
      <c r="A40" s="106" t="s">
        <v>179</v>
      </c>
      <c r="B40" s="107"/>
      <c r="C40" s="107"/>
      <c r="D40" s="107"/>
      <c r="E40" s="107"/>
      <c r="F40" s="107"/>
      <c r="G40" s="107"/>
      <c r="H40" s="107"/>
      <c r="I40" s="107"/>
      <c r="J40" s="107"/>
      <c r="K40" s="107"/>
      <c r="L40" s="108"/>
    </row>
    <row r="41" outlineLevel="2">
      <c r="A41" s="109" t="s">
        <v>180</v>
      </c>
      <c r="B41" s="109" t="s">
        <v>181</v>
      </c>
      <c r="C41" s="110">
        <v>-554.933</v>
      </c>
      <c r="D41" s="110">
        <v>-704.728</v>
      </c>
      <c r="E41" s="110">
        <v>-634.475</v>
      </c>
      <c r="F41" s="110">
        <v>-626.892</v>
      </c>
      <c r="G41" s="110">
        <v>-644.806</v>
      </c>
      <c r="H41" s="110">
        <v>-618.801</v>
      </c>
      <c r="I41" s="110">
        <v>-625.514</v>
      </c>
      <c r="J41" s="110">
        <v>-709.872</v>
      </c>
      <c r="K41" s="110">
        <v>-727.98</v>
      </c>
      <c r="L41" s="111">
        <v>-880.197</v>
      </c>
    </row>
    <row r="42" outlineLevel="2">
      <c r="A42" s="109" t="s">
        <v>182</v>
      </c>
      <c r="B42" s="109" t="s">
        <v>183</v>
      </c>
      <c r="C42" s="110">
        <v>1278.057</v>
      </c>
      <c r="D42" s="110">
        <v>658.767</v>
      </c>
      <c r="E42" s="110">
        <v>1030.929</v>
      </c>
      <c r="F42" s="110">
        <v>689.339</v>
      </c>
      <c r="G42" s="110">
        <v>722.971</v>
      </c>
      <c r="H42" s="110">
        <v>1512.689</v>
      </c>
      <c r="I42" s="110">
        <v>3201.402</v>
      </c>
      <c r="J42" s="110">
        <v>-1300.203</v>
      </c>
      <c r="K42" s="110">
        <v>1163.574</v>
      </c>
      <c r="L42" s="111">
        <v>3295.62</v>
      </c>
    </row>
    <row r="43" outlineLevel="2">
      <c r="A43" s="109" t="s">
        <v>184</v>
      </c>
      <c r="B43" s="109" t="s">
        <v>185</v>
      </c>
      <c r="C43" s="110">
        <v>-288.724</v>
      </c>
      <c r="D43" s="110">
        <v>-10.903</v>
      </c>
      <c r="E43" s="110">
        <v>273.037</v>
      </c>
      <c r="F43" s="110">
        <v>347.738</v>
      </c>
      <c r="G43" s="110">
        <v>164.282</v>
      </c>
      <c r="H43" s="110">
        <v>279.033</v>
      </c>
      <c r="I43" s="110">
        <v>-1038.438</v>
      </c>
      <c r="J43" s="110">
        <v>-579.216</v>
      </c>
      <c r="K43" s="110">
        <v>239.689</v>
      </c>
      <c r="L43" s="111">
        <v>503.103</v>
      </c>
    </row>
    <row r="44" outlineLevel="2">
      <c r="A44" s="109" t="s">
        <v>186</v>
      </c>
      <c r="B44" s="109" t="s">
        <v>187</v>
      </c>
      <c r="C44" s="110">
        <v>5029.018</v>
      </c>
      <c r="D44" s="110">
        <v>4845.872</v>
      </c>
      <c r="E44" s="110">
        <v>4603.446</v>
      </c>
      <c r="F44" s="110">
        <v>4793.939</v>
      </c>
      <c r="G44" s="110">
        <v>5000.921</v>
      </c>
      <c r="H44" s="110">
        <v>5690.569</v>
      </c>
      <c r="I44" s="110">
        <v>9656.216</v>
      </c>
      <c r="J44" s="110">
        <v>8122.678</v>
      </c>
      <c r="K44" s="110">
        <v>9276.918</v>
      </c>
      <c r="L44" s="111">
        <v>11096.225</v>
      </c>
    </row>
    <row r="45" outlineLevel="2">
      <c r="A45" s="109" t="s">
        <v>188</v>
      </c>
      <c r="B45" s="109" t="s">
        <v>189</v>
      </c>
      <c r="C45" s="110">
        <v>-3462.237</v>
      </c>
      <c r="D45" s="110">
        <v>-4176.202</v>
      </c>
      <c r="E45" s="110">
        <v>-3845.554</v>
      </c>
      <c r="F45" s="110">
        <v>-4452.338</v>
      </c>
      <c r="G45" s="110">
        <v>-4442.232</v>
      </c>
      <c r="H45" s="110">
        <v>-4456.913</v>
      </c>
      <c r="I45" s="110">
        <v>-5416.376</v>
      </c>
      <c r="J45" s="110">
        <v>-8843.665</v>
      </c>
      <c r="K45" s="110">
        <v>-8353.033</v>
      </c>
      <c r="L45" s="111">
        <v>-8303.708</v>
      </c>
    </row>
    <row r="46" outlineLevel="2">
      <c r="A46" s="109" t="s">
        <v>190</v>
      </c>
      <c r="B46" s="109" t="s">
        <v>191</v>
      </c>
      <c r="C46" s="110">
        <v>-347.784</v>
      </c>
      <c r="D46" s="110">
        <v>-303.256</v>
      </c>
      <c r="E46" s="110">
        <v>-703.986</v>
      </c>
      <c r="F46" s="110">
        <v>-447.818</v>
      </c>
      <c r="G46" s="110">
        <v>-549.637</v>
      </c>
      <c r="H46" s="110">
        <v>-476.128</v>
      </c>
      <c r="I46" s="110">
        <v>199.884</v>
      </c>
      <c r="J46" s="110">
        <v>-404.718</v>
      </c>
      <c r="K46" s="110">
        <v>-431.099</v>
      </c>
      <c r="L46" s="111">
        <v>-286.106</v>
      </c>
    </row>
    <row r="47" outlineLevel="2">
      <c r="A47" s="109" t="s">
        <v>192</v>
      </c>
      <c r="B47" s="109" t="s">
        <v>193</v>
      </c>
      <c r="C47" s="110">
        <v>0.0</v>
      </c>
      <c r="D47" s="110">
        <v>474.917</v>
      </c>
      <c r="E47" s="110">
        <v>0.0</v>
      </c>
      <c r="F47" s="110">
        <v>0.0</v>
      </c>
      <c r="G47" s="110">
        <v>0.0</v>
      </c>
      <c r="H47" s="110" t="s">
        <v>130</v>
      </c>
      <c r="I47" s="110">
        <v>199.884</v>
      </c>
      <c r="J47" s="110">
        <v>0.0</v>
      </c>
      <c r="K47" s="110">
        <v>0.0</v>
      </c>
      <c r="L47" s="111">
        <v>0.0</v>
      </c>
    </row>
    <row r="48" outlineLevel="2">
      <c r="A48" s="109" t="s">
        <v>194</v>
      </c>
      <c r="B48" s="109" t="s">
        <v>195</v>
      </c>
      <c r="C48" s="110">
        <v>-347.784</v>
      </c>
      <c r="D48" s="110">
        <v>-778.173</v>
      </c>
      <c r="E48" s="110">
        <v>-703.986</v>
      </c>
      <c r="F48" s="110">
        <v>-447.818</v>
      </c>
      <c r="G48" s="110">
        <v>-549.637</v>
      </c>
      <c r="H48" s="110">
        <v>-476.128</v>
      </c>
      <c r="I48" s="110" t="s">
        <v>130</v>
      </c>
      <c r="J48" s="110">
        <v>-404.718</v>
      </c>
      <c r="K48" s="110">
        <v>-431.099</v>
      </c>
      <c r="L48" s="111">
        <v>-286.106</v>
      </c>
    </row>
    <row r="49" outlineLevel="2">
      <c r="A49" s="109" t="s">
        <v>196</v>
      </c>
      <c r="B49" s="109" t="s">
        <v>197</v>
      </c>
      <c r="C49" s="110">
        <v>-69.295</v>
      </c>
      <c r="D49" s="110">
        <v>-74.354</v>
      </c>
      <c r="E49" s="110">
        <v>-67.633</v>
      </c>
      <c r="F49" s="110">
        <v>-63.764</v>
      </c>
      <c r="G49" s="110">
        <v>-69.367</v>
      </c>
      <c r="H49" s="110">
        <v>-54.954</v>
      </c>
      <c r="I49" s="110">
        <v>-36.598</v>
      </c>
      <c r="J49" s="110">
        <v>-51.723</v>
      </c>
      <c r="K49" s="110">
        <v>-60.675</v>
      </c>
      <c r="L49" s="111">
        <v>-53.854</v>
      </c>
    </row>
    <row r="50" outlineLevel="2">
      <c r="A50" s="109" t="s">
        <v>143</v>
      </c>
      <c r="B50" s="109" t="s">
        <v>198</v>
      </c>
      <c r="C50" s="110">
        <v>0.0</v>
      </c>
      <c r="D50" s="110">
        <v>0.0</v>
      </c>
      <c r="E50" s="110">
        <v>0.0</v>
      </c>
      <c r="F50" s="110">
        <v>0.0</v>
      </c>
      <c r="G50" s="110">
        <v>0.0</v>
      </c>
      <c r="H50" s="110">
        <v>0.0</v>
      </c>
      <c r="I50" s="110">
        <v>0.0</v>
      </c>
      <c r="J50" s="110">
        <v>0.0</v>
      </c>
      <c r="K50" s="110">
        <v>0.0</v>
      </c>
      <c r="L50" s="111">
        <v>0.0</v>
      </c>
    </row>
    <row r="51" outlineLevel="1">
      <c r="A51" s="106" t="s">
        <v>179</v>
      </c>
      <c r="B51" s="106" t="s">
        <v>199</v>
      </c>
      <c r="C51" s="112">
        <v>306.045</v>
      </c>
      <c r="D51" s="112">
        <v>-423.571</v>
      </c>
      <c r="E51" s="112">
        <v>-375.165</v>
      </c>
      <c r="F51" s="112">
        <v>-449.135</v>
      </c>
      <c r="G51" s="112">
        <v>-540.839</v>
      </c>
      <c r="H51" s="112">
        <v>362.806</v>
      </c>
      <c r="I51" s="112">
        <v>2739.174</v>
      </c>
      <c r="J51" s="112">
        <v>-2466.516</v>
      </c>
      <c r="K51" s="112">
        <v>-56.18</v>
      </c>
      <c r="L51" s="113">
        <v>2075.463</v>
      </c>
    </row>
    <row r="52" outlineLevel="2">
      <c r="A52" s="106"/>
      <c r="B52" s="107"/>
      <c r="C52" s="107"/>
      <c r="D52" s="107"/>
      <c r="E52" s="107"/>
      <c r="F52" s="107"/>
      <c r="G52" s="107"/>
      <c r="H52" s="107"/>
      <c r="I52" s="107"/>
      <c r="J52" s="107"/>
      <c r="K52" s="107"/>
      <c r="L52" s="108"/>
    </row>
    <row r="53" outlineLevel="2">
      <c r="A53" s="109" t="s">
        <v>200</v>
      </c>
      <c r="B53" s="109" t="s">
        <v>201</v>
      </c>
      <c r="C53" s="110">
        <v>65.079</v>
      </c>
      <c r="D53" s="110">
        <v>-199.871</v>
      </c>
      <c r="E53" s="110">
        <v>-13.486</v>
      </c>
      <c r="F53" s="110">
        <v>-43.588</v>
      </c>
      <c r="G53" s="110">
        <v>-41.641</v>
      </c>
      <c r="H53" s="110">
        <v>-141.007</v>
      </c>
      <c r="I53" s="110">
        <v>220.245</v>
      </c>
      <c r="J53" s="110">
        <v>334.195</v>
      </c>
      <c r="K53" s="110">
        <v>103.305</v>
      </c>
      <c r="L53" s="111">
        <v>-114.266</v>
      </c>
    </row>
    <row r="54" outlineLevel="2">
      <c r="A54" s="106"/>
      <c r="B54" s="107"/>
      <c r="C54" s="107"/>
      <c r="D54" s="107"/>
      <c r="E54" s="107"/>
      <c r="F54" s="107"/>
      <c r="G54" s="107"/>
      <c r="H54" s="107"/>
      <c r="I54" s="107"/>
      <c r="J54" s="107"/>
      <c r="K54" s="107"/>
      <c r="L54" s="108"/>
    </row>
    <row r="55" outlineLevel="1">
      <c r="A55" s="106" t="s">
        <v>202</v>
      </c>
      <c r="B55" s="106" t="s">
        <v>203</v>
      </c>
      <c r="C55" s="112">
        <v>243.387</v>
      </c>
      <c r="D55" s="112">
        <v>654.871</v>
      </c>
      <c r="E55" s="112">
        <v>55.647</v>
      </c>
      <c r="F55" s="112">
        <v>70.313</v>
      </c>
      <c r="G55" s="112">
        <v>486.876</v>
      </c>
      <c r="H55" s="112">
        <v>495.645</v>
      </c>
      <c r="I55" s="112">
        <v>1002.406</v>
      </c>
      <c r="J55" s="112">
        <v>1012.798</v>
      </c>
      <c r="K55" s="112">
        <v>1403.311</v>
      </c>
      <c r="L55" s="113">
        <v>1561.065</v>
      </c>
    </row>
    <row r="56" outlineLevel="1">
      <c r="A56" s="106"/>
      <c r="B56" s="107"/>
      <c r="C56" s="107"/>
      <c r="D56" s="107"/>
      <c r="E56" s="107"/>
      <c r="F56" s="107"/>
      <c r="G56" s="107"/>
      <c r="H56" s="107"/>
      <c r="I56" s="107"/>
      <c r="J56" s="107"/>
      <c r="K56" s="107"/>
      <c r="L56" s="108"/>
    </row>
    <row r="57" outlineLevel="1">
      <c r="A57" s="106" t="s">
        <v>204</v>
      </c>
      <c r="B57" s="106" t="s">
        <v>205</v>
      </c>
      <c r="C57" s="112">
        <v>1145.808</v>
      </c>
      <c r="D57" s="112">
        <v>884.589</v>
      </c>
      <c r="E57" s="112">
        <v>854.6</v>
      </c>
      <c r="F57" s="112">
        <v>500.214</v>
      </c>
      <c r="G57" s="112">
        <v>836.619</v>
      </c>
      <c r="H57" s="112">
        <v>777.522</v>
      </c>
      <c r="I57" s="112">
        <v>810.117</v>
      </c>
      <c r="J57" s="112">
        <v>809.763</v>
      </c>
      <c r="K57" s="112">
        <v>1297.224</v>
      </c>
      <c r="L57" s="113">
        <v>1051.95</v>
      </c>
    </row>
    <row r="58" outlineLevel="1">
      <c r="A58" s="106"/>
      <c r="B58" s="106"/>
      <c r="C58" s="112"/>
      <c r="D58" s="112"/>
      <c r="E58" s="112"/>
      <c r="F58" s="112"/>
      <c r="G58" s="112"/>
      <c r="H58" s="112"/>
      <c r="I58" s="112"/>
      <c r="J58" s="112"/>
      <c r="K58" s="112"/>
      <c r="L58" s="113"/>
    </row>
    <row r="59" outlineLevel="1">
      <c r="A59" s="106" t="s">
        <v>206</v>
      </c>
      <c r="B59" s="106" t="s">
        <v>207</v>
      </c>
      <c r="C59" s="112">
        <v>369.77</v>
      </c>
      <c r="D59" s="112">
        <v>381.28</v>
      </c>
      <c r="E59" s="112">
        <v>362.602</v>
      </c>
      <c r="F59" s="112">
        <v>422.72</v>
      </c>
      <c r="G59" s="112">
        <v>507.812</v>
      </c>
      <c r="H59" s="112">
        <v>506.307</v>
      </c>
      <c r="I59" s="112">
        <v>459.181</v>
      </c>
      <c r="J59" s="112">
        <v>418.043</v>
      </c>
      <c r="K59" s="112">
        <v>593.216</v>
      </c>
      <c r="L59" s="113">
        <v>967.836</v>
      </c>
    </row>
    <row r="60" outlineLevel="1">
      <c r="A60" s="106"/>
      <c r="B60" s="107"/>
      <c r="C60" s="107"/>
      <c r="D60" s="107"/>
      <c r="E60" s="107"/>
      <c r="F60" s="107"/>
      <c r="G60" s="107"/>
      <c r="H60" s="107"/>
      <c r="I60" s="107"/>
      <c r="J60" s="107"/>
      <c r="K60" s="107"/>
      <c r="L60" s="108"/>
    </row>
    <row r="61">
      <c r="A61" s="106" t="s">
        <v>208</v>
      </c>
      <c r="B61" s="107"/>
      <c r="C61" s="107"/>
      <c r="D61" s="107"/>
      <c r="E61" s="107"/>
      <c r="F61" s="107"/>
      <c r="G61" s="107"/>
      <c r="H61" s="107"/>
      <c r="I61" s="107"/>
      <c r="J61" s="107"/>
      <c r="K61" s="107"/>
      <c r="L61" s="108"/>
    </row>
    <row r="62">
      <c r="A62" s="109" t="s">
        <v>209</v>
      </c>
      <c r="B62" s="109" t="s">
        <v>209</v>
      </c>
      <c r="C62" s="110">
        <v>4159.639</v>
      </c>
      <c r="D62" s="110">
        <v>4479.808</v>
      </c>
      <c r="E62" s="110">
        <v>3605.322</v>
      </c>
      <c r="F62" s="110">
        <v>4133.895</v>
      </c>
      <c r="G62" s="110">
        <v>4259.92</v>
      </c>
      <c r="H62" s="110">
        <v>3994.579</v>
      </c>
      <c r="I62" s="110">
        <v>3842.038</v>
      </c>
      <c r="J62" s="110">
        <v>4817.577</v>
      </c>
      <c r="K62" s="110">
        <v>4764.929</v>
      </c>
      <c r="L62" s="111">
        <v>6907.706</v>
      </c>
    </row>
    <row r="63">
      <c r="A63" s="109" t="s">
        <v>210</v>
      </c>
      <c r="B63" s="109" t="s">
        <v>211</v>
      </c>
      <c r="C63" s="117">
        <v>15.2734</v>
      </c>
      <c r="D63" s="117">
        <v>15.7722</v>
      </c>
      <c r="E63" s="117">
        <v>13.0641</v>
      </c>
      <c r="F63" s="117">
        <v>14.0707</v>
      </c>
      <c r="G63" s="117">
        <v>14.0937</v>
      </c>
      <c r="H63" s="117">
        <v>13.3748</v>
      </c>
      <c r="I63" s="117">
        <v>14.1176</v>
      </c>
      <c r="J63" s="117">
        <v>15.3526</v>
      </c>
      <c r="K63" s="117">
        <v>12.8247</v>
      </c>
      <c r="L63" s="118">
        <v>15.802412029286</v>
      </c>
    </row>
    <row r="64">
      <c r="A64" s="109" t="s">
        <v>212</v>
      </c>
      <c r="B64" s="109" t="s">
        <v>213</v>
      </c>
      <c r="C64" s="110" t="s">
        <v>130</v>
      </c>
      <c r="D64" s="110" t="s">
        <v>130</v>
      </c>
      <c r="E64" s="110" t="s">
        <v>130</v>
      </c>
      <c r="F64" s="110" t="s">
        <v>130</v>
      </c>
      <c r="G64" s="110" t="s">
        <v>130</v>
      </c>
      <c r="H64" s="110">
        <v>798.458</v>
      </c>
      <c r="I64" s="110">
        <v>776.748</v>
      </c>
      <c r="J64" s="110">
        <v>835.739</v>
      </c>
      <c r="K64" s="110">
        <v>1516.404</v>
      </c>
      <c r="L64" s="111">
        <v>2054.978</v>
      </c>
    </row>
    <row r="65">
      <c r="A65" s="109" t="s">
        <v>214</v>
      </c>
      <c r="B65" s="109" t="s">
        <v>215</v>
      </c>
      <c r="C65" s="110">
        <v>2539.435</v>
      </c>
      <c r="D65" s="110">
        <v>3178.312</v>
      </c>
      <c r="E65" s="110">
        <v>-127.2</v>
      </c>
      <c r="F65" s="110">
        <v>624.421</v>
      </c>
      <c r="G65" s="110">
        <v>27.71</v>
      </c>
      <c r="H65" s="110">
        <v>-1043.088</v>
      </c>
      <c r="I65" s="110">
        <v>-762.336</v>
      </c>
      <c r="J65" s="110">
        <v>238.456</v>
      </c>
      <c r="K65" s="110">
        <v>-402.476</v>
      </c>
      <c r="L65" s="111">
        <v>-230.708</v>
      </c>
    </row>
    <row r="66">
      <c r="A66" s="119" t="s">
        <v>216</v>
      </c>
      <c r="B66" s="119" t="s">
        <v>217</v>
      </c>
      <c r="C66" s="120">
        <v>2555.2421</v>
      </c>
      <c r="D66" s="120">
        <v>3203.2928</v>
      </c>
      <c r="E66" s="120">
        <v>-106.2616</v>
      </c>
      <c r="F66" s="120">
        <v>646.697</v>
      </c>
      <c r="G66" s="120">
        <v>47.6803</v>
      </c>
      <c r="H66" s="120">
        <v>-1009.7432</v>
      </c>
      <c r="I66" s="120">
        <v>-729.3179</v>
      </c>
      <c r="J66" s="120">
        <v>264.7721</v>
      </c>
      <c r="K66" s="120">
        <v>-366.6077</v>
      </c>
      <c r="L66" s="120">
        <v>-160.246445760487</v>
      </c>
      <c r="M66" s="121">
        <f t="array" ref="M66">NPV(7.28%,G66:L66)</f>
        <v>-1586.815436</v>
      </c>
      <c r="N66" s="122"/>
      <c r="O66" s="122"/>
      <c r="P66" s="122"/>
      <c r="Q66" s="122"/>
      <c r="R66" s="122"/>
      <c r="S66" s="122"/>
      <c r="T66" s="122"/>
      <c r="U66" s="122"/>
      <c r="V66" s="122"/>
      <c r="W66" s="122"/>
      <c r="X66" s="122"/>
      <c r="Y66" s="122"/>
      <c r="Z66" s="122"/>
    </row>
    <row r="67">
      <c r="A67" s="119" t="s">
        <v>218</v>
      </c>
      <c r="B67" s="119" t="s">
        <v>219</v>
      </c>
      <c r="C67" s="120">
        <v>3859.039</v>
      </c>
      <c r="D67" s="120">
        <v>4356.556</v>
      </c>
      <c r="E67" s="120">
        <v>2184.397</v>
      </c>
      <c r="F67" s="120">
        <v>2595.507</v>
      </c>
      <c r="G67" s="120">
        <v>2197.353</v>
      </c>
      <c r="H67" s="120">
        <v>1410.67</v>
      </c>
      <c r="I67" s="120">
        <v>3851.307</v>
      </c>
      <c r="J67" s="120">
        <v>518.134</v>
      </c>
      <c r="K67" s="120">
        <v>2476.695</v>
      </c>
      <c r="L67" s="120">
        <v>5006.554</v>
      </c>
      <c r="M67" s="122"/>
      <c r="N67" s="122"/>
      <c r="O67" s="122"/>
      <c r="P67" s="122"/>
      <c r="Q67" s="122"/>
      <c r="R67" s="122"/>
      <c r="S67" s="122"/>
      <c r="T67" s="122"/>
      <c r="U67" s="122"/>
      <c r="V67" s="122"/>
      <c r="W67" s="122"/>
      <c r="X67" s="122"/>
      <c r="Y67" s="122"/>
      <c r="Z67" s="122"/>
    </row>
    <row r="68">
      <c r="A68" s="109" t="s">
        <v>220</v>
      </c>
      <c r="B68" s="109" t="s">
        <v>221</v>
      </c>
      <c r="C68" s="117">
        <v>160.7822</v>
      </c>
      <c r="D68" s="117">
        <v>204.3073</v>
      </c>
      <c r="E68" s="117">
        <v>-8.4572</v>
      </c>
      <c r="F68" s="117">
        <v>42.3715</v>
      </c>
      <c r="G68" s="117">
        <v>1.93</v>
      </c>
      <c r="H68" s="117">
        <v>-74.5351</v>
      </c>
      <c r="I68" s="117">
        <v>-54.5444</v>
      </c>
      <c r="J68" s="117">
        <v>17.1707</v>
      </c>
      <c r="K68" s="117">
        <v>-29.4673</v>
      </c>
      <c r="L68" s="118">
        <v>-17.2945865351584</v>
      </c>
    </row>
    <row r="69">
      <c r="A69" s="109" t="s">
        <v>222</v>
      </c>
      <c r="B69" s="109" t="s">
        <v>223</v>
      </c>
      <c r="C69" s="117">
        <v>10.4278</v>
      </c>
      <c r="D69" s="117">
        <v>5.8265</v>
      </c>
      <c r="E69" s="117" t="s">
        <v>130</v>
      </c>
      <c r="F69" s="117">
        <v>32.2151</v>
      </c>
      <c r="G69" s="117">
        <v>672.2353</v>
      </c>
      <c r="H69" s="117" t="s">
        <v>130</v>
      </c>
      <c r="I69" s="117" t="s">
        <v>130</v>
      </c>
      <c r="J69" s="117">
        <v>129.4353</v>
      </c>
      <c r="K69" s="117" t="s">
        <v>130</v>
      </c>
      <c r="L69" s="118"/>
    </row>
    <row r="70">
      <c r="A70" s="109" t="s">
        <v>224</v>
      </c>
      <c r="B70" s="109" t="s">
        <v>225</v>
      </c>
      <c r="C70" s="117">
        <v>1.6959</v>
      </c>
      <c r="D70" s="117">
        <v>1.9289</v>
      </c>
      <c r="E70" s="117">
        <v>1.8646</v>
      </c>
      <c r="F70" s="117">
        <v>1.6933</v>
      </c>
      <c r="G70" s="117">
        <v>2.0005</v>
      </c>
      <c r="H70" s="117">
        <v>1.178</v>
      </c>
      <c r="I70" s="117">
        <v>1.2146</v>
      </c>
      <c r="J70" s="117">
        <v>1.3061</v>
      </c>
      <c r="K70" s="117">
        <v>1.2055</v>
      </c>
      <c r="L70" s="118">
        <v>0.374176433591052</v>
      </c>
    </row>
    <row r="71">
      <c r="A71" s="123" t="s">
        <v>226</v>
      </c>
      <c r="B71" s="123"/>
      <c r="C71" s="123" t="s">
        <v>227</v>
      </c>
      <c r="D71" s="123"/>
      <c r="E71" s="123"/>
      <c r="F71" s="123"/>
      <c r="G71" s="123"/>
      <c r="H71" s="123"/>
      <c r="I71" s="123"/>
      <c r="J71" s="123"/>
      <c r="K71" s="123"/>
      <c r="L71" s="123"/>
    </row>
    <row r="72">
      <c r="A72" s="19" t="s">
        <v>228</v>
      </c>
      <c r="L72" s="124" t="s">
        <v>229</v>
      </c>
      <c r="M72" s="124" t="s">
        <v>230</v>
      </c>
      <c r="N72" s="124" t="s">
        <v>231</v>
      </c>
      <c r="O72" s="124" t="s">
        <v>232</v>
      </c>
    </row>
    <row r="73">
      <c r="A73" s="19" t="s">
        <v>233</v>
      </c>
      <c r="C73" s="19" t="s">
        <v>234</v>
      </c>
      <c r="D73" s="125">
        <f t="shared" ref="D73:L73" si="1">(D65-C65)/C65</f>
        <v>0.2515823402</v>
      </c>
      <c r="E73" s="125">
        <f t="shared" si="1"/>
        <v>-1.040021244</v>
      </c>
      <c r="F73" s="125">
        <f t="shared" si="1"/>
        <v>-5.908970126</v>
      </c>
      <c r="G73" s="125">
        <f t="shared" si="1"/>
        <v>-0.955622889</v>
      </c>
      <c r="H73" s="125">
        <f t="shared" si="1"/>
        <v>-38.64301696</v>
      </c>
      <c r="I73" s="125">
        <f t="shared" si="1"/>
        <v>-0.2691546638</v>
      </c>
      <c r="J73" s="125">
        <f t="shared" si="1"/>
        <v>-1.312796457</v>
      </c>
      <c r="K73" s="125">
        <f t="shared" si="1"/>
        <v>-2.687841782</v>
      </c>
      <c r="L73" s="126">
        <f t="shared" si="1"/>
        <v>-0.4267782427</v>
      </c>
      <c r="M73" s="126">
        <f t="shared" ref="M73:M75" si="3">AVERAGE(D73:L73)</f>
        <v>-5.66584667</v>
      </c>
      <c r="N73" s="126">
        <f t="shared" ref="N73:N75" si="4">AVERAGE(G73:K73)</f>
        <v>-8.773686551</v>
      </c>
      <c r="O73" s="126">
        <f t="shared" ref="O73:O75" si="5">AVERAGE(I73:K73)</f>
        <v>-1.423264301</v>
      </c>
    </row>
    <row r="74">
      <c r="A74" s="19" t="s">
        <v>235</v>
      </c>
      <c r="C74" s="19" t="s">
        <v>234</v>
      </c>
      <c r="D74" s="125">
        <f t="shared" ref="D74:L74" si="2">(D66-C66)/C66</f>
        <v>0.2536161642</v>
      </c>
      <c r="E74" s="125">
        <f t="shared" si="2"/>
        <v>-1.033172615</v>
      </c>
      <c r="F74" s="125">
        <f t="shared" si="2"/>
        <v>-7.085895563</v>
      </c>
      <c r="G74" s="125">
        <f t="shared" si="2"/>
        <v>-0.9262710357</v>
      </c>
      <c r="H74" s="125">
        <f t="shared" si="2"/>
        <v>-22.17736675</v>
      </c>
      <c r="I74" s="125">
        <f t="shared" si="2"/>
        <v>-0.2777194241</v>
      </c>
      <c r="J74" s="125">
        <f t="shared" si="2"/>
        <v>-1.363040726</v>
      </c>
      <c r="K74" s="125">
        <f t="shared" si="2"/>
        <v>-2.384616053</v>
      </c>
      <c r="L74" s="126">
        <f t="shared" si="2"/>
        <v>-0.5628939442</v>
      </c>
      <c r="M74" s="126">
        <f t="shared" si="3"/>
        <v>-3.950817772</v>
      </c>
      <c r="N74" s="126">
        <f t="shared" si="4"/>
        <v>-5.425802798</v>
      </c>
      <c r="O74" s="126">
        <f t="shared" si="5"/>
        <v>-1.341792068</v>
      </c>
    </row>
    <row r="75">
      <c r="A75" s="19" t="s">
        <v>236</v>
      </c>
      <c r="C75" s="19" t="s">
        <v>234</v>
      </c>
      <c r="D75" s="125">
        <f t="shared" ref="D75:L75" si="6">(D67-C67)/C67</f>
        <v>0.1289225115</v>
      </c>
      <c r="E75" s="125">
        <f t="shared" si="6"/>
        <v>-0.4985954502</v>
      </c>
      <c r="F75" s="125">
        <f t="shared" si="6"/>
        <v>0.1882029686</v>
      </c>
      <c r="G75" s="125">
        <f t="shared" si="6"/>
        <v>-0.153401243</v>
      </c>
      <c r="H75" s="125">
        <f t="shared" si="6"/>
        <v>-0.3580139377</v>
      </c>
      <c r="I75" s="125">
        <f t="shared" si="6"/>
        <v>1.73012611</v>
      </c>
      <c r="J75" s="125">
        <f t="shared" si="6"/>
        <v>-0.8654654121</v>
      </c>
      <c r="K75" s="125">
        <f t="shared" si="6"/>
        <v>3.780027946</v>
      </c>
      <c r="L75" s="126">
        <f t="shared" si="6"/>
        <v>1.021465703</v>
      </c>
      <c r="M75" s="126">
        <f t="shared" si="3"/>
        <v>0.5525854664</v>
      </c>
      <c r="N75" s="126">
        <f t="shared" si="4"/>
        <v>0.8266546928</v>
      </c>
      <c r="O75" s="126">
        <f t="shared" si="5"/>
        <v>1.548229548</v>
      </c>
    </row>
    <row r="76"/>
    <row r="77">
      <c r="A77" s="19" t="s">
        <v>237</v>
      </c>
    </row>
    <row r="78">
      <c r="A78" s="19" t="s">
        <v>238</v>
      </c>
    </row>
    <row r="79">
      <c r="A79" s="19" t="s">
        <v>239</v>
      </c>
    </row>
    <row r="80">
      <c r="A80" s="19" t="s">
        <v>240</v>
      </c>
    </row>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outlineLevelCol="1" outlineLevelRow="1"/>
  <cols>
    <col customWidth="1" min="1" max="1" width="30.75"/>
    <col customWidth="1" hidden="1" min="2" max="2" width="7.63"/>
    <col customWidth="1" min="3" max="7" width="14.88" outlineLevel="1"/>
    <col customWidth="1" min="8" max="10" width="14.88"/>
    <col customWidth="1" min="11" max="12" width="10.38"/>
    <col customWidth="1" min="13" max="26" width="7.63"/>
  </cols>
  <sheetData>
    <row r="1">
      <c r="A1" s="96"/>
      <c r="B1" s="96"/>
      <c r="C1" s="96"/>
      <c r="D1" s="96"/>
      <c r="E1" s="96"/>
      <c r="F1" s="96"/>
      <c r="G1" s="96"/>
      <c r="H1" s="96"/>
      <c r="I1" s="96"/>
      <c r="J1" s="96"/>
      <c r="K1" s="96"/>
      <c r="L1" s="96"/>
    </row>
    <row r="2">
      <c r="A2" s="97" t="s">
        <v>241</v>
      </c>
      <c r="B2" s="97"/>
      <c r="C2" s="97"/>
      <c r="D2" s="97"/>
      <c r="E2" s="97"/>
      <c r="F2" s="97"/>
      <c r="G2" s="97"/>
      <c r="H2" s="97"/>
      <c r="I2" s="97"/>
      <c r="J2" s="97"/>
      <c r="K2" s="97"/>
      <c r="L2" s="97"/>
    </row>
    <row r="3">
      <c r="A3" s="98"/>
      <c r="B3" s="98"/>
      <c r="C3" s="98"/>
      <c r="D3" s="98"/>
      <c r="E3" s="98"/>
      <c r="F3" s="98"/>
      <c r="G3" s="98"/>
      <c r="H3" s="98"/>
      <c r="I3" s="98"/>
      <c r="J3" s="98"/>
      <c r="K3" s="98"/>
      <c r="L3" s="98"/>
    </row>
    <row r="4">
      <c r="A4" s="99" t="s">
        <v>99</v>
      </c>
      <c r="B4" s="99"/>
      <c r="C4" s="100" t="s">
        <v>102</v>
      </c>
      <c r="D4" s="100" t="s">
        <v>103</v>
      </c>
      <c r="E4" s="100" t="s">
        <v>104</v>
      </c>
      <c r="F4" s="100" t="s">
        <v>105</v>
      </c>
      <c r="G4" s="100" t="s">
        <v>106</v>
      </c>
      <c r="H4" s="100" t="s">
        <v>107</v>
      </c>
      <c r="I4" s="100" t="s">
        <v>28</v>
      </c>
      <c r="J4" s="100" t="s">
        <v>108</v>
      </c>
      <c r="K4" s="100" t="s">
        <v>242</v>
      </c>
      <c r="L4" s="100" t="s">
        <v>243</v>
      </c>
    </row>
    <row r="5">
      <c r="A5" s="101" t="s">
        <v>109</v>
      </c>
      <c r="B5" s="101"/>
      <c r="C5" s="102" t="s">
        <v>112</v>
      </c>
      <c r="D5" s="102" t="s">
        <v>113</v>
      </c>
      <c r="E5" s="102" t="s">
        <v>114</v>
      </c>
      <c r="F5" s="102" t="s">
        <v>115</v>
      </c>
      <c r="G5" s="102" t="s">
        <v>116</v>
      </c>
      <c r="H5" s="102" t="s">
        <v>117</v>
      </c>
      <c r="I5" s="102" t="s">
        <v>118</v>
      </c>
      <c r="J5" s="102" t="s">
        <v>119</v>
      </c>
      <c r="K5" s="102" t="s">
        <v>244</v>
      </c>
      <c r="L5" s="102" t="s">
        <v>245</v>
      </c>
      <c r="M5" s="19" t="s">
        <v>246</v>
      </c>
    </row>
    <row r="6">
      <c r="A6" s="106" t="s">
        <v>247</v>
      </c>
      <c r="B6" s="106" t="s">
        <v>248</v>
      </c>
      <c r="C6" s="112">
        <v>27597.193</v>
      </c>
      <c r="D6" s="112">
        <v>29379.51</v>
      </c>
      <c r="E6" s="112">
        <v>30225.681</v>
      </c>
      <c r="F6" s="112">
        <v>29866.547</v>
      </c>
      <c r="G6" s="112">
        <v>27214.593</v>
      </c>
      <c r="H6" s="112">
        <v>31379.507</v>
      </c>
      <c r="I6" s="112">
        <v>37154.298</v>
      </c>
      <c r="J6" s="113">
        <v>43712.985</v>
      </c>
      <c r="K6" s="112">
        <v>44405.421263</v>
      </c>
      <c r="L6" s="112">
        <v>46200.852105</v>
      </c>
      <c r="M6" s="127">
        <f>AVERAGE(G6:J6)</f>
        <v>34865.34575</v>
      </c>
    </row>
    <row r="7" outlineLevel="1">
      <c r="A7" s="109" t="s">
        <v>249</v>
      </c>
      <c r="B7" s="109" t="s">
        <v>250</v>
      </c>
      <c r="C7" s="110">
        <v>25813.496</v>
      </c>
      <c r="D7" s="110">
        <v>27420.276</v>
      </c>
      <c r="E7" s="110">
        <v>28105.338</v>
      </c>
      <c r="F7" s="110">
        <v>27693.693</v>
      </c>
      <c r="G7" s="110">
        <v>25077.398</v>
      </c>
      <c r="H7" s="110">
        <v>29073.428</v>
      </c>
      <c r="I7" s="110">
        <v>34367.619</v>
      </c>
      <c r="J7" s="111">
        <v>40495.536</v>
      </c>
      <c r="K7" s="110"/>
      <c r="L7" s="110"/>
      <c r="M7" s="127">
        <f>AVERAGE(D7:J7)</f>
        <v>30319.04114</v>
      </c>
    </row>
    <row r="8" outlineLevel="1">
      <c r="A8" s="128" t="s">
        <v>251</v>
      </c>
      <c r="B8" s="109"/>
      <c r="C8" s="110"/>
      <c r="D8" s="129">
        <f t="shared" ref="D8:J8" si="1">(D7-C7)/C7</f>
        <v>0.06224573378</v>
      </c>
      <c r="E8" s="129">
        <f t="shared" si="1"/>
        <v>0.02498377478</v>
      </c>
      <c r="F8" s="129">
        <f t="shared" si="1"/>
        <v>-0.01464650594</v>
      </c>
      <c r="G8" s="129">
        <f t="shared" si="1"/>
        <v>-0.09447259345</v>
      </c>
      <c r="H8" s="129">
        <f t="shared" si="1"/>
        <v>0.1593478717</v>
      </c>
      <c r="I8" s="129">
        <f t="shared" si="1"/>
        <v>0.1820972401</v>
      </c>
      <c r="J8" s="129">
        <f t="shared" si="1"/>
        <v>0.178304962</v>
      </c>
      <c r="K8" s="129">
        <f>(J6-I6)/I6</f>
        <v>0.1765256606</v>
      </c>
      <c r="L8" s="129" t="str">
        <f>(L7-K7)/K7</f>
        <v>#DIV/0!</v>
      </c>
      <c r="M8" s="125">
        <f>AVERAGE(D8,H8,I8,J8)</f>
        <v>0.1454989519</v>
      </c>
    </row>
    <row r="9" outlineLevel="1">
      <c r="A9" s="109" t="s">
        <v>252</v>
      </c>
      <c r="B9" s="109" t="s">
        <v>253</v>
      </c>
      <c r="C9" s="110">
        <v>1783.697</v>
      </c>
      <c r="D9" s="110">
        <v>1959.234</v>
      </c>
      <c r="E9" s="110">
        <v>2120.343</v>
      </c>
      <c r="F9" s="110">
        <v>2172.854</v>
      </c>
      <c r="G9" s="110">
        <v>2137.195</v>
      </c>
      <c r="H9" s="110">
        <v>2306.079</v>
      </c>
      <c r="I9" s="110">
        <v>2786.679</v>
      </c>
      <c r="J9" s="111">
        <v>3217.449</v>
      </c>
      <c r="K9" s="110"/>
      <c r="L9" s="110"/>
    </row>
    <row r="10">
      <c r="A10" s="109" t="s">
        <v>254</v>
      </c>
      <c r="B10" s="109" t="s">
        <v>255</v>
      </c>
      <c r="C10" s="110">
        <v>22734.336</v>
      </c>
      <c r="D10" s="110">
        <v>23889.153</v>
      </c>
      <c r="E10" s="110">
        <v>24781.785</v>
      </c>
      <c r="F10" s="110">
        <v>24485.351</v>
      </c>
      <c r="G10" s="110">
        <v>22382.22</v>
      </c>
      <c r="H10" s="110">
        <v>25407.834</v>
      </c>
      <c r="I10" s="110">
        <v>30841.282</v>
      </c>
      <c r="J10" s="111">
        <v>35030.01</v>
      </c>
      <c r="K10" s="110"/>
      <c r="L10" s="110"/>
    </row>
    <row r="11" outlineLevel="1">
      <c r="A11" s="109" t="s">
        <v>256</v>
      </c>
      <c r="B11" s="109" t="s">
        <v>257</v>
      </c>
      <c r="C11" s="110">
        <v>21543.035</v>
      </c>
      <c r="D11" s="110">
        <v>22600.474</v>
      </c>
      <c r="E11" s="110">
        <v>23389.495</v>
      </c>
      <c r="F11" s="110">
        <v>23103.596</v>
      </c>
      <c r="G11" s="110">
        <v>21199.89</v>
      </c>
      <c r="H11" s="110">
        <v>24250.784</v>
      </c>
      <c r="I11" s="110">
        <v>29128.561</v>
      </c>
      <c r="J11" s="111">
        <v>33039.004</v>
      </c>
      <c r="K11" s="110"/>
      <c r="L11" s="110"/>
      <c r="N11" s="130">
        <f>J11/J6</f>
        <v>0.7558166984</v>
      </c>
    </row>
    <row r="12" outlineLevel="1">
      <c r="A12" s="109" t="s">
        <v>258</v>
      </c>
      <c r="B12" s="109" t="s">
        <v>259</v>
      </c>
      <c r="C12" s="110">
        <v>1191.301</v>
      </c>
      <c r="D12" s="110">
        <v>1288.679</v>
      </c>
      <c r="E12" s="110">
        <v>1392.29</v>
      </c>
      <c r="F12" s="110">
        <v>1381.755</v>
      </c>
      <c r="G12" s="110">
        <v>1182.33</v>
      </c>
      <c r="H12" s="110">
        <v>1157.05</v>
      </c>
      <c r="I12" s="110">
        <v>1712.721</v>
      </c>
      <c r="J12" s="111">
        <v>1991.006</v>
      </c>
      <c r="K12" s="110"/>
      <c r="L12" s="110"/>
      <c r="N12" s="130">
        <f>I10/I6</f>
        <v>0.8300865219</v>
      </c>
    </row>
    <row r="13">
      <c r="A13" s="106" t="s">
        <v>260</v>
      </c>
      <c r="B13" s="106" t="s">
        <v>261</v>
      </c>
      <c r="C13" s="112">
        <v>4862.857</v>
      </c>
      <c r="D13" s="112">
        <v>5490.357</v>
      </c>
      <c r="E13" s="112">
        <v>5443.896</v>
      </c>
      <c r="F13" s="112">
        <v>5381.196</v>
      </c>
      <c r="G13" s="112">
        <v>4832.373</v>
      </c>
      <c r="H13" s="112">
        <v>5971.673</v>
      </c>
      <c r="I13" s="112">
        <v>6313.016</v>
      </c>
      <c r="J13" s="113">
        <v>8682.975</v>
      </c>
      <c r="K13" s="112">
        <v>8965.89860721233</v>
      </c>
      <c r="L13" s="112">
        <v>9649.97197917135</v>
      </c>
    </row>
    <row r="14">
      <c r="A14" s="109" t="s">
        <v>262</v>
      </c>
      <c r="B14" s="109" t="s">
        <v>263</v>
      </c>
      <c r="C14" s="110">
        <v>0.0</v>
      </c>
      <c r="D14" s="110">
        <v>0.0</v>
      </c>
      <c r="E14" s="110">
        <v>0.0</v>
      </c>
      <c r="F14" s="110">
        <v>0.0</v>
      </c>
      <c r="G14" s="110">
        <v>0.0</v>
      </c>
      <c r="H14" s="110">
        <v>0.0</v>
      </c>
      <c r="I14" s="110">
        <v>0.0</v>
      </c>
      <c r="J14" s="111">
        <v>0.0</v>
      </c>
      <c r="K14" s="110"/>
      <c r="L14" s="110"/>
    </row>
    <row r="15">
      <c r="A15" s="109" t="s">
        <v>264</v>
      </c>
      <c r="B15" s="109" t="s">
        <v>265</v>
      </c>
      <c r="C15" s="110">
        <v>2837.812</v>
      </c>
      <c r="D15" s="110">
        <v>3055.206</v>
      </c>
      <c r="E15" s="110">
        <v>2940.449</v>
      </c>
      <c r="F15" s="110">
        <v>2967.157</v>
      </c>
      <c r="G15" s="110">
        <v>2634.555</v>
      </c>
      <c r="H15" s="110">
        <v>2968.271</v>
      </c>
      <c r="I15" s="110">
        <v>3587.991</v>
      </c>
      <c r="J15" s="111">
        <v>3815.807</v>
      </c>
      <c r="K15" s="110"/>
      <c r="L15" s="110"/>
    </row>
    <row r="16" hidden="1" outlineLevel="1">
      <c r="A16" s="109" t="s">
        <v>266</v>
      </c>
      <c r="B16" s="109" t="s">
        <v>267</v>
      </c>
      <c r="C16" s="110">
        <v>1830.957</v>
      </c>
      <c r="D16" s="110">
        <v>2026.226</v>
      </c>
      <c r="E16" s="110">
        <v>1927.469</v>
      </c>
      <c r="F16" s="110">
        <v>1871.596</v>
      </c>
      <c r="G16" s="110">
        <v>1544.201</v>
      </c>
      <c r="H16" s="110">
        <v>1851.715</v>
      </c>
      <c r="I16" s="110">
        <v>2346.304</v>
      </c>
      <c r="J16" s="111">
        <v>2595.621</v>
      </c>
      <c r="K16" s="110"/>
      <c r="L16" s="110"/>
    </row>
    <row r="17" hidden="1" outlineLevel="1">
      <c r="A17" s="114" t="s">
        <v>268</v>
      </c>
      <c r="B17" s="114" t="s">
        <v>269</v>
      </c>
      <c r="C17" s="115">
        <v>448.78</v>
      </c>
      <c r="D17" s="115">
        <v>509.653</v>
      </c>
      <c r="E17" s="115">
        <v>490.093</v>
      </c>
      <c r="F17" s="115" t="s">
        <v>130</v>
      </c>
      <c r="G17" s="115" t="s">
        <v>130</v>
      </c>
      <c r="H17" s="115" t="s">
        <v>130</v>
      </c>
      <c r="I17" s="115" t="s">
        <v>130</v>
      </c>
      <c r="J17" s="116"/>
      <c r="K17" s="115"/>
      <c r="L17" s="115"/>
    </row>
    <row r="18" hidden="1" outlineLevel="1">
      <c r="A18" s="114" t="s">
        <v>270</v>
      </c>
      <c r="B18" s="114" t="s">
        <v>271</v>
      </c>
      <c r="C18" s="115">
        <v>1382.177</v>
      </c>
      <c r="D18" s="115">
        <v>1516.573</v>
      </c>
      <c r="E18" s="115">
        <v>1437.376</v>
      </c>
      <c r="F18" s="115" t="s">
        <v>130</v>
      </c>
      <c r="G18" s="115" t="s">
        <v>130</v>
      </c>
      <c r="H18" s="115" t="s">
        <v>130</v>
      </c>
      <c r="I18" s="115" t="s">
        <v>130</v>
      </c>
      <c r="J18" s="116"/>
      <c r="K18" s="115"/>
      <c r="L18" s="115"/>
    </row>
    <row r="19" hidden="1" outlineLevel="1">
      <c r="A19" s="109" t="s">
        <v>272</v>
      </c>
      <c r="B19" s="109" t="s">
        <v>273</v>
      </c>
      <c r="C19" s="110">
        <v>1037.528</v>
      </c>
      <c r="D19" s="110">
        <v>1064.269</v>
      </c>
      <c r="E19" s="110">
        <v>1048.882</v>
      </c>
      <c r="F19" s="110">
        <v>1110.369</v>
      </c>
      <c r="G19" s="110">
        <v>1090.424</v>
      </c>
      <c r="H19" s="110">
        <v>1124.262</v>
      </c>
      <c r="I19" s="110">
        <v>1241.686</v>
      </c>
      <c r="J19" s="111">
        <v>1220.186</v>
      </c>
      <c r="K19" s="110"/>
      <c r="L19" s="110"/>
    </row>
    <row r="20" hidden="1" outlineLevel="1">
      <c r="A20" s="109" t="s">
        <v>274</v>
      </c>
      <c r="B20" s="109" t="s">
        <v>275</v>
      </c>
      <c r="C20" s="110">
        <v>-30.673</v>
      </c>
      <c r="D20" s="110">
        <v>-35.289</v>
      </c>
      <c r="E20" s="110">
        <v>-35.902</v>
      </c>
      <c r="F20" s="110">
        <v>-14.808</v>
      </c>
      <c r="G20" s="110">
        <v>-0.07</v>
      </c>
      <c r="H20" s="110">
        <v>-7.706</v>
      </c>
      <c r="I20" s="110">
        <v>0.001</v>
      </c>
      <c r="J20" s="111">
        <v>0.0</v>
      </c>
      <c r="K20" s="110"/>
      <c r="L20" s="110"/>
    </row>
    <row r="21" collapsed="1">
      <c r="A21" s="106" t="s">
        <v>276</v>
      </c>
      <c r="B21" s="106" t="s">
        <v>277</v>
      </c>
      <c r="C21" s="112">
        <v>2025.045</v>
      </c>
      <c r="D21" s="112">
        <v>2435.151</v>
      </c>
      <c r="E21" s="112">
        <v>2503.447</v>
      </c>
      <c r="F21" s="112">
        <v>2414.039</v>
      </c>
      <c r="G21" s="112">
        <v>2197.818</v>
      </c>
      <c r="H21" s="112">
        <v>3003.402</v>
      </c>
      <c r="I21" s="112">
        <v>2725.025</v>
      </c>
      <c r="J21" s="113">
        <v>4867.168</v>
      </c>
      <c r="K21" s="112">
        <v>5134.3895</v>
      </c>
      <c r="L21" s="112">
        <v>5343.650579</v>
      </c>
    </row>
    <row r="22">
      <c r="A22" s="109" t="s">
        <v>278</v>
      </c>
      <c r="B22" s="109" t="s">
        <v>279</v>
      </c>
      <c r="C22" s="110">
        <v>-206.526</v>
      </c>
      <c r="D22" s="110">
        <v>-221.413</v>
      </c>
      <c r="E22" s="110">
        <v>-157.392</v>
      </c>
      <c r="F22" s="110">
        <v>-393.71</v>
      </c>
      <c r="G22" s="110">
        <v>-734.606</v>
      </c>
      <c r="H22" s="110">
        <v>-994.835</v>
      </c>
      <c r="I22" s="110">
        <v>-943.708</v>
      </c>
      <c r="J22" s="111">
        <v>-1289.356</v>
      </c>
      <c r="K22" s="110"/>
      <c r="L22" s="110"/>
    </row>
    <row r="23" hidden="1" outlineLevel="1">
      <c r="A23" s="109" t="s">
        <v>280</v>
      </c>
      <c r="B23" s="109" t="s">
        <v>281</v>
      </c>
      <c r="C23" s="110" t="s">
        <v>130</v>
      </c>
      <c r="D23" s="110" t="s">
        <v>130</v>
      </c>
      <c r="E23" s="110" t="s">
        <v>130</v>
      </c>
      <c r="F23" s="110">
        <v>-77.716</v>
      </c>
      <c r="G23" s="110">
        <v>-63.179</v>
      </c>
      <c r="H23" s="110">
        <v>-64.98</v>
      </c>
      <c r="I23" s="110">
        <v>-181.317</v>
      </c>
      <c r="J23" s="111"/>
      <c r="K23" s="110"/>
      <c r="L23" s="110"/>
    </row>
    <row r="24" hidden="1" outlineLevel="1">
      <c r="A24" s="114" t="s">
        <v>282</v>
      </c>
      <c r="B24" s="114" t="s">
        <v>283</v>
      </c>
      <c r="C24" s="115">
        <v>29.353</v>
      </c>
      <c r="D24" s="115">
        <v>27.586</v>
      </c>
      <c r="E24" s="115">
        <v>28.078</v>
      </c>
      <c r="F24" s="115">
        <v>44.114</v>
      </c>
      <c r="G24" s="115">
        <v>42.421</v>
      </c>
      <c r="H24" s="115">
        <v>36.532</v>
      </c>
      <c r="I24" s="115">
        <v>52.785</v>
      </c>
      <c r="J24" s="116"/>
      <c r="K24" s="115"/>
      <c r="L24" s="115"/>
    </row>
    <row r="25" hidden="1" outlineLevel="1">
      <c r="A25" s="114" t="s">
        <v>284</v>
      </c>
      <c r="B25" s="114" t="s">
        <v>285</v>
      </c>
      <c r="C25" s="115" t="s">
        <v>130</v>
      </c>
      <c r="D25" s="115" t="s">
        <v>130</v>
      </c>
      <c r="E25" s="115" t="s">
        <v>130</v>
      </c>
      <c r="F25" s="115">
        <v>121.83</v>
      </c>
      <c r="G25" s="115">
        <v>105.6</v>
      </c>
      <c r="H25" s="115">
        <v>101.512</v>
      </c>
      <c r="I25" s="115">
        <v>234.102</v>
      </c>
      <c r="J25" s="116"/>
      <c r="K25" s="115"/>
      <c r="L25" s="115"/>
    </row>
    <row r="26" hidden="1" outlineLevel="1">
      <c r="A26" s="109" t="s">
        <v>286</v>
      </c>
      <c r="B26" s="109" t="s">
        <v>287</v>
      </c>
      <c r="C26" s="110">
        <v>-158.983</v>
      </c>
      <c r="D26" s="110">
        <v>-179.541</v>
      </c>
      <c r="E26" s="110">
        <v>-225.495</v>
      </c>
      <c r="F26" s="110">
        <v>-110.243</v>
      </c>
      <c r="G26" s="110">
        <v>-88.837</v>
      </c>
      <c r="H26" s="110">
        <v>-94.833</v>
      </c>
      <c r="I26" s="110">
        <v>-109.308</v>
      </c>
      <c r="J26" s="111"/>
      <c r="K26" s="110"/>
      <c r="L26" s="110"/>
    </row>
    <row r="27" hidden="1" outlineLevel="1">
      <c r="A27" s="109" t="s">
        <v>288</v>
      </c>
      <c r="B27" s="109" t="s">
        <v>289</v>
      </c>
      <c r="C27" s="110">
        <v>-33.601</v>
      </c>
      <c r="D27" s="110">
        <v>-22.664</v>
      </c>
      <c r="E27" s="110">
        <v>-12.4</v>
      </c>
      <c r="F27" s="110">
        <v>94.619</v>
      </c>
      <c r="G27" s="110">
        <v>-15.142</v>
      </c>
      <c r="H27" s="110">
        <v>-216.187</v>
      </c>
      <c r="I27" s="110">
        <v>-124.516</v>
      </c>
      <c r="J27" s="111">
        <v>-51.475</v>
      </c>
      <c r="K27" s="110"/>
      <c r="L27" s="110"/>
    </row>
    <row r="28" hidden="1" outlineLevel="1">
      <c r="A28" s="109" t="s">
        <v>290</v>
      </c>
      <c r="B28" s="109" t="s">
        <v>291</v>
      </c>
      <c r="C28" s="110">
        <v>-362.06</v>
      </c>
      <c r="D28" s="110">
        <v>-470.083</v>
      </c>
      <c r="E28" s="110">
        <v>-360.066</v>
      </c>
      <c r="F28" s="110">
        <v>-310.247</v>
      </c>
      <c r="G28" s="110">
        <v>-351.029</v>
      </c>
      <c r="H28" s="110">
        <v>-560.346</v>
      </c>
      <c r="I28" s="110">
        <v>-643.063</v>
      </c>
      <c r="J28" s="111">
        <v>-764.528</v>
      </c>
      <c r="K28" s="110"/>
      <c r="L28" s="110"/>
    </row>
    <row r="29" hidden="1" outlineLevel="1">
      <c r="A29" s="109" t="s">
        <v>292</v>
      </c>
      <c r="B29" s="109" t="s">
        <v>293</v>
      </c>
      <c r="C29" s="110">
        <v>318.765</v>
      </c>
      <c r="D29" s="110">
        <v>423.289</v>
      </c>
      <c r="E29" s="110">
        <v>412.491</v>
      </c>
      <c r="F29" s="110">
        <v>9.877</v>
      </c>
      <c r="G29" s="110">
        <v>-216.419</v>
      </c>
      <c r="H29" s="110">
        <v>-58.489</v>
      </c>
      <c r="I29" s="110">
        <v>114.496</v>
      </c>
      <c r="J29" s="111">
        <v>-473.353</v>
      </c>
      <c r="K29" s="110"/>
      <c r="L29" s="110"/>
    </row>
    <row r="30" collapsed="1">
      <c r="A30" s="106" t="s">
        <v>294</v>
      </c>
      <c r="B30" s="106" t="s">
        <v>295</v>
      </c>
      <c r="C30" s="112">
        <v>2231.571</v>
      </c>
      <c r="D30" s="112">
        <v>2656.564</v>
      </c>
      <c r="E30" s="112">
        <v>2660.839</v>
      </c>
      <c r="F30" s="112">
        <v>2807.749</v>
      </c>
      <c r="G30" s="112">
        <v>2932.424</v>
      </c>
      <c r="H30" s="112">
        <v>3998.237</v>
      </c>
      <c r="I30" s="112">
        <v>3668.733</v>
      </c>
      <c r="J30" s="113">
        <v>6156.524</v>
      </c>
      <c r="K30" s="112">
        <v>6407.819222</v>
      </c>
      <c r="L30" s="112">
        <v>6558.786056</v>
      </c>
    </row>
    <row r="31">
      <c r="A31" s="109" t="s">
        <v>296</v>
      </c>
      <c r="B31" s="109" t="s">
        <v>297</v>
      </c>
      <c r="C31" s="110">
        <v>37.746</v>
      </c>
      <c r="D31" s="110">
        <v>36.135</v>
      </c>
      <c r="E31" s="110">
        <v>375.374</v>
      </c>
      <c r="F31" s="110">
        <v>14.807</v>
      </c>
      <c r="G31" s="110">
        <v>0.07</v>
      </c>
      <c r="H31" s="110">
        <v>7.705</v>
      </c>
      <c r="I31" s="110">
        <v>0.0</v>
      </c>
      <c r="J31" s="111">
        <v>0.0</v>
      </c>
      <c r="K31" s="110"/>
      <c r="L31" s="110"/>
    </row>
    <row r="32" hidden="1" outlineLevel="1">
      <c r="A32" s="109" t="s">
        <v>298</v>
      </c>
      <c r="B32" s="109" t="s">
        <v>299</v>
      </c>
      <c r="C32" s="110">
        <v>30.673</v>
      </c>
      <c r="D32" s="110">
        <v>35.289</v>
      </c>
      <c r="E32" s="110">
        <v>35.902</v>
      </c>
      <c r="F32" s="110" t="s">
        <v>130</v>
      </c>
      <c r="G32" s="110" t="s">
        <v>130</v>
      </c>
      <c r="H32" s="110" t="s">
        <v>130</v>
      </c>
      <c r="I32" s="110" t="s">
        <v>130</v>
      </c>
      <c r="J32" s="111"/>
      <c r="K32" s="110"/>
      <c r="L32" s="110"/>
    </row>
    <row r="33" hidden="1" outlineLevel="1">
      <c r="A33" s="109" t="s">
        <v>300</v>
      </c>
      <c r="B33" s="109" t="s">
        <v>301</v>
      </c>
      <c r="C33" s="110" t="s">
        <v>130</v>
      </c>
      <c r="D33" s="110" t="s">
        <v>130</v>
      </c>
      <c r="E33" s="110" t="s">
        <v>130</v>
      </c>
      <c r="F33" s="110">
        <v>14.807</v>
      </c>
      <c r="G33" s="110">
        <v>0.07</v>
      </c>
      <c r="H33" s="110">
        <v>7.705</v>
      </c>
      <c r="I33" s="110" t="s">
        <v>130</v>
      </c>
      <c r="J33" s="111"/>
      <c r="K33" s="110"/>
      <c r="L33" s="110"/>
    </row>
    <row r="34" hidden="1" outlineLevel="1">
      <c r="A34" s="109" t="s">
        <v>302</v>
      </c>
      <c r="B34" s="109" t="s">
        <v>303</v>
      </c>
      <c r="C34" s="110" t="s">
        <v>130</v>
      </c>
      <c r="D34" s="110" t="s">
        <v>130</v>
      </c>
      <c r="E34" s="110" t="s">
        <v>130</v>
      </c>
      <c r="F34" s="110" t="s">
        <v>130</v>
      </c>
      <c r="G34" s="110" t="s">
        <v>130</v>
      </c>
      <c r="H34" s="110" t="s">
        <v>130</v>
      </c>
      <c r="I34" s="110" t="s">
        <v>130</v>
      </c>
      <c r="J34" s="111"/>
      <c r="K34" s="110"/>
      <c r="L34" s="110"/>
    </row>
    <row r="35" hidden="1" outlineLevel="1">
      <c r="A35" s="109" t="s">
        <v>304</v>
      </c>
      <c r="B35" s="109" t="s">
        <v>305</v>
      </c>
      <c r="C35" s="110">
        <v>7.073</v>
      </c>
      <c r="D35" s="110">
        <v>0.846</v>
      </c>
      <c r="E35" s="110">
        <v>339.472</v>
      </c>
      <c r="F35" s="110" t="s">
        <v>130</v>
      </c>
      <c r="G35" s="110" t="s">
        <v>130</v>
      </c>
      <c r="H35" s="110" t="s">
        <v>130</v>
      </c>
      <c r="I35" s="110" t="s">
        <v>130</v>
      </c>
      <c r="J35" s="111"/>
      <c r="K35" s="110"/>
      <c r="L35" s="110"/>
    </row>
    <row r="36" collapsed="1">
      <c r="A36" s="106" t="s">
        <v>306</v>
      </c>
      <c r="B36" s="106" t="s">
        <v>295</v>
      </c>
      <c r="C36" s="112">
        <v>2193.825</v>
      </c>
      <c r="D36" s="112">
        <v>2620.429</v>
      </c>
      <c r="E36" s="112">
        <v>2285.465</v>
      </c>
      <c r="F36" s="112">
        <v>2792.942</v>
      </c>
      <c r="G36" s="112">
        <v>2932.354</v>
      </c>
      <c r="H36" s="112">
        <v>3990.532</v>
      </c>
      <c r="I36" s="112">
        <v>3668.733</v>
      </c>
      <c r="J36" s="113">
        <v>6156.524</v>
      </c>
      <c r="K36" s="112">
        <v>6407.819222</v>
      </c>
      <c r="L36" s="112">
        <v>6558.786056</v>
      </c>
    </row>
    <row r="37">
      <c r="A37" s="109" t="s">
        <v>307</v>
      </c>
      <c r="B37" s="109" t="s">
        <v>308</v>
      </c>
      <c r="C37" s="110">
        <v>628.9</v>
      </c>
      <c r="D37" s="110">
        <v>504.406</v>
      </c>
      <c r="E37" s="110">
        <v>659.944</v>
      </c>
      <c r="F37" s="110">
        <v>681.817</v>
      </c>
      <c r="G37" s="110">
        <v>649.975</v>
      </c>
      <c r="H37" s="110">
        <v>1115.918</v>
      </c>
      <c r="I37" s="110">
        <v>1175.765</v>
      </c>
      <c r="J37" s="111">
        <v>1596.054</v>
      </c>
      <c r="K37" s="110"/>
      <c r="L37" s="110"/>
    </row>
    <row r="38" hidden="1" outlineLevel="1">
      <c r="A38" s="109" t="s">
        <v>309</v>
      </c>
      <c r="B38" s="109" t="s">
        <v>310</v>
      </c>
      <c r="C38" s="110" t="s">
        <v>130</v>
      </c>
      <c r="D38" s="110" t="s">
        <v>130</v>
      </c>
      <c r="E38" s="110" t="s">
        <v>130</v>
      </c>
      <c r="F38" s="110">
        <v>489.05</v>
      </c>
      <c r="G38" s="110">
        <v>926.088</v>
      </c>
      <c r="H38" s="110">
        <v>1190.782</v>
      </c>
      <c r="I38" s="110">
        <v>843.674</v>
      </c>
      <c r="J38" s="111"/>
      <c r="K38" s="110"/>
      <c r="L38" s="110"/>
    </row>
    <row r="39" hidden="1" outlineLevel="1">
      <c r="A39" s="109" t="s">
        <v>311</v>
      </c>
      <c r="B39" s="109" t="s">
        <v>312</v>
      </c>
      <c r="C39" s="110" t="s">
        <v>130</v>
      </c>
      <c r="D39" s="110" t="s">
        <v>130</v>
      </c>
      <c r="E39" s="110" t="s">
        <v>130</v>
      </c>
      <c r="F39" s="110">
        <v>192.767</v>
      </c>
      <c r="G39" s="110">
        <v>-276.113</v>
      </c>
      <c r="H39" s="110">
        <v>-74.864</v>
      </c>
      <c r="I39" s="110">
        <v>332.091</v>
      </c>
      <c r="J39" s="111"/>
      <c r="K39" s="110"/>
      <c r="L39" s="110"/>
    </row>
    <row r="40" collapsed="1">
      <c r="A40" s="109" t="s">
        <v>313</v>
      </c>
      <c r="B40" s="109" t="s">
        <v>314</v>
      </c>
      <c r="C40" s="110">
        <v>-362.06</v>
      </c>
      <c r="D40" s="110">
        <v>-470.083</v>
      </c>
      <c r="E40" s="110">
        <v>-360.066</v>
      </c>
      <c r="F40" s="110" t="s">
        <v>130</v>
      </c>
      <c r="G40" s="110" t="s">
        <v>130</v>
      </c>
      <c r="H40" s="110" t="s">
        <v>130</v>
      </c>
      <c r="I40" s="110" t="s">
        <v>130</v>
      </c>
      <c r="J40" s="111"/>
      <c r="K40" s="110"/>
      <c r="L40" s="110"/>
    </row>
    <row r="41">
      <c r="A41" s="106" t="s">
        <v>315</v>
      </c>
      <c r="B41" s="106" t="s">
        <v>316</v>
      </c>
      <c r="C41" s="112">
        <v>1926.985</v>
      </c>
      <c r="D41" s="112">
        <v>2586.106</v>
      </c>
      <c r="E41" s="112">
        <v>1985.587</v>
      </c>
      <c r="F41" s="112">
        <v>2111.125</v>
      </c>
      <c r="G41" s="112">
        <v>2282.379</v>
      </c>
      <c r="H41" s="112">
        <v>2874.614</v>
      </c>
      <c r="I41" s="112">
        <v>2492.968</v>
      </c>
      <c r="J41" s="113">
        <v>4560.47</v>
      </c>
      <c r="K41" s="112">
        <v>4683.018167</v>
      </c>
      <c r="L41" s="112">
        <v>4676.978111</v>
      </c>
    </row>
    <row r="42">
      <c r="A42" s="109" t="s">
        <v>317</v>
      </c>
      <c r="B42" s="109" t="s">
        <v>318</v>
      </c>
      <c r="C42" s="110">
        <v>0.0</v>
      </c>
      <c r="D42" s="110">
        <v>0.0</v>
      </c>
      <c r="E42" s="110">
        <v>0.0</v>
      </c>
      <c r="F42" s="110">
        <v>0.0</v>
      </c>
      <c r="G42" s="110">
        <v>0.0</v>
      </c>
      <c r="H42" s="110">
        <v>0.0</v>
      </c>
      <c r="I42" s="110">
        <v>0.0</v>
      </c>
      <c r="J42" s="111">
        <v>0.0</v>
      </c>
      <c r="K42" s="110"/>
      <c r="L42" s="110"/>
    </row>
    <row r="43" hidden="1" outlineLevel="1">
      <c r="A43" s="109" t="s">
        <v>319</v>
      </c>
      <c r="B43" s="109" t="s">
        <v>320</v>
      </c>
      <c r="C43" s="110">
        <v>0.0</v>
      </c>
      <c r="D43" s="110">
        <v>0.0</v>
      </c>
      <c r="E43" s="110">
        <v>0.0</v>
      </c>
      <c r="F43" s="110">
        <v>0.0</v>
      </c>
      <c r="G43" s="110">
        <v>0.0</v>
      </c>
      <c r="H43" s="110">
        <v>0.0</v>
      </c>
      <c r="I43" s="110">
        <v>0.0</v>
      </c>
      <c r="J43" s="111">
        <v>0.0</v>
      </c>
      <c r="K43" s="110"/>
      <c r="L43" s="110"/>
    </row>
    <row r="44" hidden="1" outlineLevel="1">
      <c r="A44" s="109" t="s">
        <v>321</v>
      </c>
      <c r="B44" s="109" t="s">
        <v>322</v>
      </c>
      <c r="C44" s="110">
        <v>0.0</v>
      </c>
      <c r="D44" s="110">
        <v>0.0</v>
      </c>
      <c r="E44" s="110">
        <v>0.0</v>
      </c>
      <c r="F44" s="110">
        <v>0.0</v>
      </c>
      <c r="G44" s="110">
        <v>0.0</v>
      </c>
      <c r="H44" s="110">
        <v>0.0</v>
      </c>
      <c r="I44" s="110">
        <v>0.0</v>
      </c>
      <c r="J44" s="111">
        <v>0.0</v>
      </c>
      <c r="K44" s="110"/>
      <c r="L44" s="110"/>
    </row>
    <row r="45" collapsed="1">
      <c r="A45" s="106" t="s">
        <v>323</v>
      </c>
      <c r="B45" s="106" t="s">
        <v>324</v>
      </c>
      <c r="C45" s="112">
        <v>1926.985</v>
      </c>
      <c r="D45" s="112">
        <v>2586.106</v>
      </c>
      <c r="E45" s="112">
        <v>1985.587</v>
      </c>
      <c r="F45" s="112">
        <v>2111.125</v>
      </c>
      <c r="G45" s="112">
        <v>2282.379</v>
      </c>
      <c r="H45" s="112">
        <v>2874.614</v>
      </c>
      <c r="I45" s="112">
        <v>2492.968</v>
      </c>
      <c r="J45" s="113">
        <v>4560.47</v>
      </c>
      <c r="K45" s="112"/>
      <c r="L45" s="112"/>
    </row>
    <row r="46">
      <c r="A46" s="109" t="s">
        <v>325</v>
      </c>
      <c r="B46" s="109" t="s">
        <v>326</v>
      </c>
      <c r="C46" s="110">
        <v>95.876</v>
      </c>
      <c r="D46" s="110">
        <v>92.123</v>
      </c>
      <c r="E46" s="110">
        <v>102.714</v>
      </c>
      <c r="F46" s="110">
        <v>74.985</v>
      </c>
      <c r="G46" s="110">
        <v>37.118</v>
      </c>
      <c r="H46" s="110">
        <v>24.504</v>
      </c>
      <c r="I46" s="110">
        <v>41.65</v>
      </c>
      <c r="J46" s="111">
        <v>60.936</v>
      </c>
      <c r="K46" s="110"/>
      <c r="L46" s="110"/>
    </row>
    <row r="47">
      <c r="A47" s="106" t="s">
        <v>327</v>
      </c>
      <c r="B47" s="106" t="s">
        <v>328</v>
      </c>
      <c r="C47" s="112">
        <v>1831.109</v>
      </c>
      <c r="D47" s="112">
        <v>2493.983</v>
      </c>
      <c r="E47" s="112">
        <v>1882.873</v>
      </c>
      <c r="F47" s="112">
        <v>2036.14</v>
      </c>
      <c r="G47" s="112">
        <v>2245.261</v>
      </c>
      <c r="H47" s="112">
        <v>2850.11</v>
      </c>
      <c r="I47" s="112">
        <v>2451.318</v>
      </c>
      <c r="J47" s="113">
        <v>4499.534</v>
      </c>
      <c r="K47" s="112">
        <v>4683.018167</v>
      </c>
      <c r="L47" s="112">
        <v>4676.978111</v>
      </c>
    </row>
    <row r="48">
      <c r="A48" s="109" t="s">
        <v>329</v>
      </c>
      <c r="B48" s="109" t="s">
        <v>330</v>
      </c>
      <c r="C48" s="110">
        <v>4.946</v>
      </c>
      <c r="D48" s="110">
        <v>7.442</v>
      </c>
      <c r="E48" s="110">
        <v>9.938</v>
      </c>
      <c r="F48" s="110">
        <v>0.0</v>
      </c>
      <c r="G48" s="110">
        <v>0.0</v>
      </c>
      <c r="H48" s="110">
        <v>0.0</v>
      </c>
      <c r="I48" s="110">
        <v>0.0</v>
      </c>
      <c r="J48" s="111">
        <v>0.0</v>
      </c>
      <c r="K48" s="110"/>
      <c r="L48" s="110"/>
    </row>
    <row r="49">
      <c r="A49" s="109" t="s">
        <v>331</v>
      </c>
      <c r="B49" s="109" t="s">
        <v>332</v>
      </c>
      <c r="C49" s="110">
        <v>4.849</v>
      </c>
      <c r="D49" s="110">
        <v>4.849</v>
      </c>
      <c r="E49" s="110">
        <v>4.85</v>
      </c>
      <c r="F49" s="110">
        <v>0.0</v>
      </c>
      <c r="G49" s="110">
        <v>0.0</v>
      </c>
      <c r="H49" s="110">
        <v>0.0</v>
      </c>
      <c r="I49" s="110">
        <v>0.0</v>
      </c>
      <c r="J49" s="111">
        <v>0.0</v>
      </c>
      <c r="K49" s="110"/>
      <c r="L49" s="110"/>
    </row>
    <row r="50">
      <c r="A50" s="106" t="s">
        <v>333</v>
      </c>
      <c r="B50" s="106" t="s">
        <v>334</v>
      </c>
      <c r="C50" s="112">
        <v>1821.314</v>
      </c>
      <c r="D50" s="112">
        <v>2481.692</v>
      </c>
      <c r="E50" s="112">
        <v>1868.085</v>
      </c>
      <c r="F50" s="112">
        <v>2036.14</v>
      </c>
      <c r="G50" s="112">
        <v>2245.261</v>
      </c>
      <c r="H50" s="112">
        <v>2850.11</v>
      </c>
      <c r="I50" s="112">
        <v>2451.318</v>
      </c>
      <c r="J50" s="113">
        <v>4499.534</v>
      </c>
      <c r="K50" s="112">
        <v>4683.018167</v>
      </c>
      <c r="L50" s="112">
        <v>4676.978111</v>
      </c>
    </row>
    <row r="51">
      <c r="A51" s="106"/>
      <c r="B51" s="107"/>
      <c r="C51" s="107"/>
      <c r="D51" s="107"/>
      <c r="E51" s="107"/>
      <c r="F51" s="107"/>
      <c r="G51" s="107"/>
      <c r="H51" s="107"/>
      <c r="I51" s="107"/>
      <c r="J51" s="108"/>
      <c r="K51" s="107"/>
      <c r="L51" s="107"/>
    </row>
    <row r="52">
      <c r="A52" s="106" t="s">
        <v>335</v>
      </c>
      <c r="B52" s="106" t="s">
        <v>334</v>
      </c>
      <c r="C52" s="112">
        <v>1847.321</v>
      </c>
      <c r="D52" s="112">
        <v>2506.589</v>
      </c>
      <c r="E52" s="112">
        <v>2127.4684</v>
      </c>
      <c r="F52" s="112">
        <v>2046.3716</v>
      </c>
      <c r="G52" s="112">
        <v>2245.3094</v>
      </c>
      <c r="H52" s="112">
        <v>2855.4342</v>
      </c>
      <c r="I52" s="112">
        <v>2451.318</v>
      </c>
      <c r="J52" s="113">
        <v>4499.534</v>
      </c>
      <c r="K52" s="112">
        <v>4684.127737</v>
      </c>
      <c r="L52" s="112">
        <v>4699.942421</v>
      </c>
    </row>
    <row r="53">
      <c r="A53" s="109" t="s">
        <v>336</v>
      </c>
      <c r="B53" s="109" t="s">
        <v>337</v>
      </c>
      <c r="C53" s="110">
        <v>26.007</v>
      </c>
      <c r="D53" s="110">
        <v>24.897</v>
      </c>
      <c r="E53" s="110">
        <v>259.3834</v>
      </c>
      <c r="F53" s="110">
        <v>10.2316</v>
      </c>
      <c r="G53" s="110">
        <v>0.0484</v>
      </c>
      <c r="H53" s="110">
        <v>5.3242</v>
      </c>
      <c r="I53" s="110">
        <v>0.0</v>
      </c>
      <c r="J53" s="111">
        <v>0.0</v>
      </c>
      <c r="K53" s="110"/>
      <c r="L53" s="110"/>
    </row>
    <row r="54">
      <c r="A54" s="109" t="s">
        <v>338</v>
      </c>
      <c r="B54" s="109" t="s">
        <v>318</v>
      </c>
      <c r="C54" s="110">
        <v>0.0</v>
      </c>
      <c r="D54" s="110">
        <v>0.0</v>
      </c>
      <c r="E54" s="110">
        <v>0.0</v>
      </c>
      <c r="F54" s="110">
        <v>0.0</v>
      </c>
      <c r="G54" s="110">
        <v>0.0</v>
      </c>
      <c r="H54" s="110">
        <v>0.0</v>
      </c>
      <c r="I54" s="110">
        <v>0.0</v>
      </c>
      <c r="J54" s="111">
        <v>0.0</v>
      </c>
      <c r="K54" s="110"/>
      <c r="L54" s="110"/>
    </row>
    <row r="55">
      <c r="A55" s="106"/>
      <c r="B55" s="107"/>
      <c r="C55" s="107"/>
      <c r="D55" s="107"/>
      <c r="E55" s="107"/>
      <c r="F55" s="107"/>
      <c r="G55" s="107"/>
      <c r="H55" s="107"/>
      <c r="I55" s="107"/>
      <c r="J55" s="108"/>
      <c r="K55" s="107"/>
      <c r="L55" s="107"/>
    </row>
    <row r="56">
      <c r="A56" s="109" t="s">
        <v>339</v>
      </c>
      <c r="B56" s="109" t="s">
        <v>340</v>
      </c>
      <c r="C56" s="110">
        <v>15040.44</v>
      </c>
      <c r="D56" s="110">
        <v>14736.825</v>
      </c>
      <c r="E56" s="110">
        <v>14357.67</v>
      </c>
      <c r="F56" s="110">
        <v>13994.59</v>
      </c>
      <c r="G56" s="110">
        <v>13976.44</v>
      </c>
      <c r="H56" s="110">
        <v>13887.348</v>
      </c>
      <c r="I56" s="110">
        <v>13658.3827</v>
      </c>
      <c r="J56" s="111">
        <v>13494.135</v>
      </c>
      <c r="K56" s="110"/>
      <c r="L56" s="110"/>
    </row>
    <row r="57">
      <c r="A57" s="106" t="s">
        <v>341</v>
      </c>
      <c r="B57" s="106" t="s">
        <v>342</v>
      </c>
      <c r="C57" s="131">
        <v>121.094</v>
      </c>
      <c r="D57" s="131">
        <v>168.4</v>
      </c>
      <c r="E57" s="131">
        <v>130.11</v>
      </c>
      <c r="F57" s="131">
        <v>145.494</v>
      </c>
      <c r="G57" s="131">
        <v>160.646</v>
      </c>
      <c r="H57" s="131">
        <v>205.23</v>
      </c>
      <c r="I57" s="131">
        <v>179.47</v>
      </c>
      <c r="J57" s="132">
        <v>332.54</v>
      </c>
      <c r="K57" s="131">
        <v>343.257</v>
      </c>
      <c r="L57" s="131">
        <v>343.977</v>
      </c>
    </row>
    <row r="58">
      <c r="A58" s="106" t="s">
        <v>343</v>
      </c>
      <c r="B58" s="106" t="s">
        <v>344</v>
      </c>
      <c r="C58" s="131">
        <v>121.094</v>
      </c>
      <c r="D58" s="131">
        <v>168.4</v>
      </c>
      <c r="E58" s="131">
        <v>130.11</v>
      </c>
      <c r="F58" s="131">
        <v>145.494</v>
      </c>
      <c r="G58" s="131">
        <v>160.646</v>
      </c>
      <c r="H58" s="131">
        <v>205.23</v>
      </c>
      <c r="I58" s="131">
        <v>179.47</v>
      </c>
      <c r="J58" s="132">
        <v>332.54</v>
      </c>
      <c r="K58" s="131">
        <v>343.257</v>
      </c>
      <c r="L58" s="131">
        <v>343.977</v>
      </c>
    </row>
    <row r="59">
      <c r="A59" s="106" t="s">
        <v>345</v>
      </c>
      <c r="B59" s="106" t="s">
        <v>346</v>
      </c>
      <c r="C59" s="131">
        <v>122.8236</v>
      </c>
      <c r="D59" s="131">
        <v>170.0902</v>
      </c>
      <c r="E59" s="131">
        <v>148.1764</v>
      </c>
      <c r="F59" s="131">
        <v>146.2259</v>
      </c>
      <c r="G59" s="131">
        <v>160.6496</v>
      </c>
      <c r="H59" s="131">
        <v>205.6141</v>
      </c>
      <c r="I59" s="131">
        <v>179.47</v>
      </c>
      <c r="J59" s="132">
        <v>332.54</v>
      </c>
      <c r="K59" s="131">
        <v>343.482</v>
      </c>
      <c r="L59" s="131">
        <v>345.784</v>
      </c>
    </row>
    <row r="60">
      <c r="A60" s="106"/>
      <c r="B60" s="107"/>
      <c r="C60" s="107"/>
      <c r="D60" s="107"/>
      <c r="E60" s="107"/>
      <c r="F60" s="107"/>
      <c r="G60" s="107"/>
      <c r="H60" s="107"/>
      <c r="I60" s="107"/>
      <c r="J60" s="108"/>
      <c r="K60" s="107"/>
      <c r="L60" s="107"/>
    </row>
    <row r="61">
      <c r="A61" s="109" t="s">
        <v>347</v>
      </c>
      <c r="B61" s="109" t="s">
        <v>348</v>
      </c>
      <c r="C61" s="110">
        <v>15279.13</v>
      </c>
      <c r="D61" s="110">
        <v>14973.83</v>
      </c>
      <c r="E61" s="110">
        <v>14593.37</v>
      </c>
      <c r="F61" s="110">
        <v>14230.09</v>
      </c>
      <c r="G61" s="110">
        <v>14206.135</v>
      </c>
      <c r="H61" s="110">
        <v>13887.659</v>
      </c>
      <c r="I61" s="110">
        <v>13658.382</v>
      </c>
      <c r="J61" s="111">
        <v>13494.135</v>
      </c>
      <c r="K61" s="110"/>
      <c r="L61" s="110"/>
    </row>
    <row r="62">
      <c r="A62" s="106" t="s">
        <v>349</v>
      </c>
      <c r="B62" s="106" t="s">
        <v>350</v>
      </c>
      <c r="C62" s="131">
        <v>119.844</v>
      </c>
      <c r="D62" s="131">
        <v>166.556</v>
      </c>
      <c r="E62" s="131">
        <v>129.022</v>
      </c>
      <c r="F62" s="131">
        <v>144.02</v>
      </c>
      <c r="G62" s="131">
        <v>158.934</v>
      </c>
      <c r="H62" s="131">
        <v>205.23</v>
      </c>
      <c r="I62" s="131">
        <v>179.47</v>
      </c>
      <c r="J62" s="132">
        <v>332.54</v>
      </c>
      <c r="K62" s="131">
        <v>343.257</v>
      </c>
      <c r="L62" s="131">
        <v>343.977</v>
      </c>
    </row>
    <row r="63">
      <c r="A63" s="106" t="s">
        <v>351</v>
      </c>
      <c r="B63" s="106" t="s">
        <v>352</v>
      </c>
      <c r="C63" s="131">
        <v>119.844</v>
      </c>
      <c r="D63" s="131">
        <v>166.556</v>
      </c>
      <c r="E63" s="131">
        <v>129.022</v>
      </c>
      <c r="F63" s="131">
        <v>144.02</v>
      </c>
      <c r="G63" s="131">
        <v>158.934</v>
      </c>
      <c r="H63" s="131">
        <v>205.23</v>
      </c>
      <c r="I63" s="131">
        <v>179.47</v>
      </c>
      <c r="J63" s="132">
        <v>332.54</v>
      </c>
      <c r="K63" s="131">
        <v>343.257</v>
      </c>
      <c r="L63" s="131">
        <v>343.977</v>
      </c>
    </row>
    <row r="64">
      <c r="A64" s="106" t="s">
        <v>353</v>
      </c>
      <c r="B64" s="106" t="s">
        <v>354</v>
      </c>
      <c r="C64" s="131">
        <v>121.5461</v>
      </c>
      <c r="D64" s="131">
        <v>168.2187</v>
      </c>
      <c r="E64" s="131">
        <v>146.7961</v>
      </c>
      <c r="F64" s="131">
        <v>144.739</v>
      </c>
      <c r="G64" s="131">
        <v>158.9374</v>
      </c>
      <c r="H64" s="131">
        <v>205.6134</v>
      </c>
      <c r="I64" s="131">
        <v>179.47</v>
      </c>
      <c r="J64" s="132">
        <v>332.54</v>
      </c>
      <c r="K64" s="131">
        <v>343.482</v>
      </c>
      <c r="L64" s="131">
        <v>345.784</v>
      </c>
    </row>
    <row r="65">
      <c r="A65" s="106"/>
      <c r="B65" s="107"/>
      <c r="C65" s="107"/>
      <c r="D65" s="107"/>
      <c r="E65" s="107"/>
      <c r="F65" s="107"/>
      <c r="G65" s="107"/>
      <c r="H65" s="107"/>
      <c r="I65" s="107"/>
      <c r="J65" s="108"/>
      <c r="K65" s="107"/>
      <c r="L65" s="107"/>
    </row>
    <row r="66">
      <c r="A66" s="106" t="s">
        <v>208</v>
      </c>
      <c r="B66" s="107"/>
      <c r="C66" s="107"/>
      <c r="D66" s="107"/>
      <c r="E66" s="107"/>
      <c r="F66" s="107"/>
      <c r="G66" s="107"/>
      <c r="H66" s="107"/>
      <c r="I66" s="107"/>
      <c r="J66" s="108"/>
      <c r="K66" s="107"/>
      <c r="L66" s="107"/>
    </row>
    <row r="67">
      <c r="A67" s="109" t="s">
        <v>355</v>
      </c>
      <c r="B67" s="109" t="s">
        <v>356</v>
      </c>
      <c r="C67" s="133" t="s">
        <v>357</v>
      </c>
      <c r="D67" s="133" t="s">
        <v>357</v>
      </c>
      <c r="E67" s="133" t="s">
        <v>357</v>
      </c>
      <c r="F67" s="133" t="s">
        <v>358</v>
      </c>
      <c r="G67" s="133" t="s">
        <v>358</v>
      </c>
      <c r="H67" s="133" t="s">
        <v>358</v>
      </c>
      <c r="I67" s="133" t="s">
        <v>358</v>
      </c>
      <c r="J67" s="134"/>
      <c r="K67" s="133"/>
      <c r="L67" s="133"/>
    </row>
    <row r="68">
      <c r="A68" s="109" t="s">
        <v>209</v>
      </c>
      <c r="B68" s="109" t="s">
        <v>209</v>
      </c>
      <c r="C68" s="110">
        <v>3635.995</v>
      </c>
      <c r="D68" s="110">
        <v>4169.184</v>
      </c>
      <c r="E68" s="110">
        <v>4295.822</v>
      </c>
      <c r="F68" s="110">
        <v>4009.386</v>
      </c>
      <c r="G68" s="110">
        <v>3842.108</v>
      </c>
      <c r="H68" s="110">
        <v>4825.282</v>
      </c>
      <c r="I68" s="110">
        <v>4764.929</v>
      </c>
      <c r="J68" s="111">
        <v>6907.706</v>
      </c>
      <c r="K68" s="110">
        <v>6759.328308</v>
      </c>
      <c r="L68" s="110">
        <v>7072.026923</v>
      </c>
    </row>
    <row r="69">
      <c r="A69" s="109" t="s">
        <v>359</v>
      </c>
      <c r="B69" s="109" t="s">
        <v>211</v>
      </c>
      <c r="C69" s="117">
        <v>13.1752</v>
      </c>
      <c r="D69" s="117">
        <v>14.1908</v>
      </c>
      <c r="E69" s="117">
        <v>14.2125</v>
      </c>
      <c r="F69" s="117">
        <v>13.4243</v>
      </c>
      <c r="G69" s="117">
        <v>14.1178</v>
      </c>
      <c r="H69" s="117">
        <v>15.3772</v>
      </c>
      <c r="I69" s="117">
        <v>12.8247</v>
      </c>
      <c r="J69" s="118">
        <v>15.802412029286</v>
      </c>
      <c r="K69" s="117">
        <v>15.2218538091701</v>
      </c>
      <c r="L69" s="117">
        <v>15.3071352600327</v>
      </c>
    </row>
    <row r="70">
      <c r="A70" s="109" t="s">
        <v>360</v>
      </c>
      <c r="B70" s="109" t="s">
        <v>360</v>
      </c>
      <c r="C70" s="110" t="s">
        <v>130</v>
      </c>
      <c r="D70" s="110" t="s">
        <v>130</v>
      </c>
      <c r="E70" s="110" t="s">
        <v>130</v>
      </c>
      <c r="F70" s="110">
        <v>2388.966</v>
      </c>
      <c r="G70" s="110">
        <v>2203.732</v>
      </c>
      <c r="H70" s="110">
        <v>3006.781</v>
      </c>
      <c r="I70" s="110">
        <v>2753.799</v>
      </c>
      <c r="J70" s="111"/>
      <c r="K70" s="110"/>
      <c r="L70" s="110"/>
    </row>
    <row r="71">
      <c r="A71" s="109" t="s">
        <v>361</v>
      </c>
      <c r="B71" s="109" t="s">
        <v>361</v>
      </c>
      <c r="C71" s="110">
        <v>2025.045</v>
      </c>
      <c r="D71" s="110">
        <v>2435.151</v>
      </c>
      <c r="E71" s="110">
        <v>2503.447</v>
      </c>
      <c r="F71" s="110">
        <v>2414.039</v>
      </c>
      <c r="G71" s="110">
        <v>2197.818</v>
      </c>
      <c r="H71" s="110">
        <v>3003.402</v>
      </c>
      <c r="I71" s="110">
        <v>2725.025</v>
      </c>
      <c r="J71" s="111">
        <v>4867.168</v>
      </c>
      <c r="K71" s="110">
        <v>5134.3895</v>
      </c>
      <c r="L71" s="110">
        <v>5343.650579</v>
      </c>
    </row>
    <row r="72">
      <c r="A72" s="109" t="s">
        <v>362</v>
      </c>
      <c r="B72" s="109" t="s">
        <v>363</v>
      </c>
      <c r="C72" s="117">
        <v>17.6208</v>
      </c>
      <c r="D72" s="117">
        <v>18.6877</v>
      </c>
      <c r="E72" s="117">
        <v>18.0108</v>
      </c>
      <c r="F72" s="117">
        <v>18.0175</v>
      </c>
      <c r="G72" s="117">
        <v>17.7566</v>
      </c>
      <c r="H72" s="117">
        <v>19.0305</v>
      </c>
      <c r="I72" s="117">
        <v>16.9913</v>
      </c>
      <c r="J72" s="118">
        <v>19.8636057455239</v>
      </c>
      <c r="K72" s="117">
        <v>20.191</v>
      </c>
      <c r="L72" s="117">
        <v>20.887</v>
      </c>
    </row>
    <row r="73">
      <c r="A73" s="109" t="s">
        <v>364</v>
      </c>
      <c r="B73" s="109" t="s">
        <v>365</v>
      </c>
      <c r="C73" s="117">
        <v>7.3379</v>
      </c>
      <c r="D73" s="117">
        <v>8.2886</v>
      </c>
      <c r="E73" s="117">
        <v>8.2825</v>
      </c>
      <c r="F73" s="117">
        <v>8.0828</v>
      </c>
      <c r="G73" s="117">
        <v>8.0759</v>
      </c>
      <c r="H73" s="117">
        <v>9.5712</v>
      </c>
      <c r="I73" s="117">
        <v>7.3343</v>
      </c>
      <c r="J73" s="118">
        <v>11.1343757467032</v>
      </c>
      <c r="K73" s="117">
        <v>11.5625285245929</v>
      </c>
      <c r="L73" s="117">
        <v>11.5661299208412</v>
      </c>
    </row>
    <row r="74">
      <c r="A74" s="109" t="s">
        <v>366</v>
      </c>
      <c r="B74" s="109" t="s">
        <v>367</v>
      </c>
      <c r="C74" s="117">
        <v>6.7294</v>
      </c>
      <c r="D74" s="117">
        <v>8.5736</v>
      </c>
      <c r="E74" s="117">
        <v>7.0875</v>
      </c>
      <c r="F74" s="117">
        <v>6.8517</v>
      </c>
      <c r="G74" s="117">
        <v>8.2504</v>
      </c>
      <c r="H74" s="117">
        <v>9.0997</v>
      </c>
      <c r="I74" s="117">
        <v>6.5977</v>
      </c>
      <c r="J74" s="118">
        <v>10.2933579118424</v>
      </c>
      <c r="K74" s="117">
        <v>10.5485492621662</v>
      </c>
      <c r="L74" s="117">
        <v>10.1728479170006</v>
      </c>
    </row>
    <row r="75">
      <c r="A75" s="109" t="s">
        <v>368</v>
      </c>
      <c r="B75" s="109" t="s">
        <v>369</v>
      </c>
      <c r="C75" s="110">
        <v>2193.825</v>
      </c>
      <c r="D75" s="110">
        <v>2620.429</v>
      </c>
      <c r="E75" s="110">
        <v>2285.465</v>
      </c>
      <c r="F75" s="110">
        <v>2792.942</v>
      </c>
      <c r="G75" s="110">
        <v>2932.354</v>
      </c>
      <c r="H75" s="110">
        <v>3990.532</v>
      </c>
      <c r="I75" s="110">
        <v>3668.733</v>
      </c>
      <c r="J75" s="111">
        <v>6156.524</v>
      </c>
      <c r="K75" s="110"/>
      <c r="L75" s="110"/>
    </row>
    <row r="76">
      <c r="A76" s="109" t="s">
        <v>370</v>
      </c>
      <c r="B76" s="109" t="s">
        <v>371</v>
      </c>
      <c r="C76" s="117">
        <v>7.57238897502E7</v>
      </c>
      <c r="D76" s="117">
        <v>7.95925217542E7</v>
      </c>
      <c r="E76" s="117">
        <v>8.14993960148E7</v>
      </c>
      <c r="F76" s="117">
        <v>8.25254747767E7</v>
      </c>
      <c r="G76" s="117">
        <v>7.42993614227E7</v>
      </c>
      <c r="H76" s="117">
        <v>8.41686591545E7</v>
      </c>
      <c r="I76" s="117">
        <v>9.90160779245E7</v>
      </c>
      <c r="J76" s="118">
        <v>1.15197303036095E8</v>
      </c>
      <c r="K76" s="117"/>
      <c r="L76" s="117"/>
    </row>
    <row r="77">
      <c r="A77" s="109" t="s">
        <v>372</v>
      </c>
      <c r="B77" s="109" t="s">
        <v>373</v>
      </c>
      <c r="C77" s="117">
        <v>42.0</v>
      </c>
      <c r="D77" s="117">
        <v>44.0</v>
      </c>
      <c r="E77" s="117">
        <v>44.0</v>
      </c>
      <c r="F77" s="117">
        <v>44.0</v>
      </c>
      <c r="G77" s="117">
        <v>48.0</v>
      </c>
      <c r="H77" s="117">
        <v>52.0</v>
      </c>
      <c r="I77" s="117">
        <v>60.0</v>
      </c>
      <c r="J77" s="118"/>
      <c r="K77" s="117">
        <v>83.15</v>
      </c>
      <c r="L77" s="117">
        <v>91.35</v>
      </c>
    </row>
    <row r="78">
      <c r="A78" s="109" t="s">
        <v>374</v>
      </c>
      <c r="B78" s="109" t="s">
        <v>375</v>
      </c>
      <c r="C78" s="110">
        <v>627.551</v>
      </c>
      <c r="D78" s="110">
        <v>642.669</v>
      </c>
      <c r="E78" s="110">
        <v>626.819</v>
      </c>
      <c r="F78" s="110">
        <v>610.846</v>
      </c>
      <c r="G78" s="110">
        <v>671.029</v>
      </c>
      <c r="H78" s="110">
        <v>718.211</v>
      </c>
      <c r="I78" s="110">
        <v>816.968</v>
      </c>
      <c r="J78" s="111"/>
      <c r="K78" s="110"/>
      <c r="L78" s="110"/>
    </row>
    <row r="79">
      <c r="A79" s="109" t="s">
        <v>376</v>
      </c>
      <c r="B79" s="109" t="s">
        <v>377</v>
      </c>
      <c r="C79" s="110" t="s">
        <v>130</v>
      </c>
      <c r="D79" s="110" t="s">
        <v>130</v>
      </c>
      <c r="E79" s="110" t="s">
        <v>130</v>
      </c>
      <c r="F79" s="110">
        <v>3403.555</v>
      </c>
      <c r="G79" s="110">
        <v>3281.292</v>
      </c>
      <c r="H79" s="110">
        <v>3550.882</v>
      </c>
      <c r="I79" s="110">
        <v>3985.518</v>
      </c>
      <c r="J79" s="111"/>
      <c r="K79" s="110"/>
      <c r="L79" s="110"/>
    </row>
    <row r="80">
      <c r="A80" s="109" t="s">
        <v>378</v>
      </c>
      <c r="B80" s="109" t="s">
        <v>379</v>
      </c>
      <c r="C80" s="110" t="s">
        <v>130</v>
      </c>
      <c r="D80" s="110" t="s">
        <v>130</v>
      </c>
      <c r="E80" s="110" t="s">
        <v>130</v>
      </c>
      <c r="F80" s="110">
        <v>1620.42</v>
      </c>
      <c r="G80" s="110">
        <v>1638.376</v>
      </c>
      <c r="H80" s="110">
        <v>1818.501</v>
      </c>
      <c r="I80" s="110">
        <v>2011.13</v>
      </c>
      <c r="J80" s="111"/>
      <c r="K80" s="110"/>
      <c r="L80" s="110"/>
    </row>
    <row r="81">
      <c r="A81" s="128" t="s">
        <v>380</v>
      </c>
      <c r="B81" s="109"/>
      <c r="C81" s="110"/>
      <c r="D81" s="110"/>
      <c r="E81" s="110"/>
      <c r="F81" s="129">
        <f t="shared" ref="F81:I81" si="2">F80/F6</f>
        <v>0.05425535131</v>
      </c>
      <c r="G81" s="129">
        <f t="shared" si="2"/>
        <v>0.06020211289</v>
      </c>
      <c r="H81" s="129">
        <f t="shared" si="2"/>
        <v>0.05795186648</v>
      </c>
      <c r="I81" s="129">
        <f t="shared" si="2"/>
        <v>0.05412913467</v>
      </c>
      <c r="J81" s="135">
        <f>AVERAGE(F81:I81)</f>
        <v>0.05663461634</v>
      </c>
      <c r="K81" s="110"/>
      <c r="L81" s="110"/>
    </row>
    <row r="82">
      <c r="A82" s="109" t="s">
        <v>381</v>
      </c>
      <c r="B82" s="109" t="s">
        <v>382</v>
      </c>
      <c r="C82" s="110">
        <v>92.321</v>
      </c>
      <c r="D82" s="110">
        <v>112.934</v>
      </c>
      <c r="E82" s="110">
        <v>115.503</v>
      </c>
      <c r="F82" s="110">
        <v>44.627</v>
      </c>
      <c r="G82" s="110">
        <v>84.821</v>
      </c>
      <c r="H82" s="110">
        <v>90.568</v>
      </c>
      <c r="I82" s="110">
        <v>97.025</v>
      </c>
      <c r="J82" s="111"/>
      <c r="K82" s="110"/>
      <c r="L82" s="110"/>
    </row>
    <row r="83">
      <c r="A83" s="123" t="s">
        <v>226</v>
      </c>
      <c r="B83" s="123"/>
      <c r="C83" s="123" t="s">
        <v>227</v>
      </c>
      <c r="D83" s="123"/>
      <c r="E83" s="123"/>
      <c r="F83" s="123"/>
      <c r="G83" s="123"/>
      <c r="H83" s="123"/>
      <c r="I83" s="123"/>
      <c r="J83" s="123"/>
      <c r="K83" s="123"/>
      <c r="L83" s="123"/>
    </row>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outlineLevelCol="1" outlineLevelRow="1"/>
  <cols>
    <col customWidth="1" min="1" max="1" width="30.75"/>
    <col customWidth="1" hidden="1" min="2" max="2" width="7.63"/>
    <col customWidth="1" min="3" max="10" width="10.38" outlineLevel="1"/>
    <col customWidth="1" min="11" max="12" width="10.38"/>
    <col customWidth="1" min="13" max="26" width="7.63"/>
  </cols>
  <sheetData>
    <row r="1">
      <c r="A1" s="96"/>
      <c r="B1" s="96"/>
      <c r="C1" s="96"/>
      <c r="D1" s="96"/>
      <c r="E1" s="96"/>
      <c r="F1" s="96"/>
      <c r="G1" s="96"/>
      <c r="H1" s="96"/>
      <c r="I1" s="96"/>
      <c r="J1" s="96"/>
      <c r="K1" s="96"/>
      <c r="L1" s="96"/>
    </row>
    <row r="2">
      <c r="A2" s="97" t="s">
        <v>98</v>
      </c>
      <c r="B2" s="97"/>
      <c r="C2" s="97"/>
      <c r="D2" s="97"/>
      <c r="E2" s="97"/>
      <c r="F2" s="97"/>
      <c r="G2" s="97"/>
      <c r="H2" s="97"/>
      <c r="I2" s="97"/>
      <c r="J2" s="97"/>
      <c r="K2" s="97"/>
      <c r="L2" s="97"/>
    </row>
    <row r="3">
      <c r="A3" s="98"/>
      <c r="B3" s="98"/>
      <c r="C3" s="98"/>
      <c r="D3" s="98"/>
      <c r="E3" s="98"/>
      <c r="F3" s="98"/>
      <c r="G3" s="98"/>
      <c r="H3" s="98"/>
      <c r="I3" s="98"/>
      <c r="J3" s="98"/>
      <c r="K3" s="98"/>
      <c r="L3" s="98"/>
    </row>
    <row r="4">
      <c r="A4" s="99" t="s">
        <v>99</v>
      </c>
      <c r="B4" s="99"/>
      <c r="C4" s="100" t="s">
        <v>383</v>
      </c>
      <c r="D4" s="100" t="s">
        <v>100</v>
      </c>
      <c r="E4" s="100" t="s">
        <v>101</v>
      </c>
      <c r="F4" s="100" t="s">
        <v>102</v>
      </c>
      <c r="G4" s="100" t="s">
        <v>103</v>
      </c>
      <c r="H4" s="100" t="s">
        <v>104</v>
      </c>
      <c r="I4" s="100" t="s">
        <v>105</v>
      </c>
      <c r="J4" s="100" t="s">
        <v>106</v>
      </c>
      <c r="K4" s="100" t="s">
        <v>107</v>
      </c>
      <c r="L4" s="100" t="s">
        <v>28</v>
      </c>
    </row>
    <row r="5">
      <c r="A5" s="101" t="s">
        <v>109</v>
      </c>
      <c r="B5" s="101"/>
      <c r="C5" s="102" t="s">
        <v>384</v>
      </c>
      <c r="D5" s="102" t="s">
        <v>110</v>
      </c>
      <c r="E5" s="102" t="s">
        <v>111</v>
      </c>
      <c r="F5" s="102" t="s">
        <v>112</v>
      </c>
      <c r="G5" s="102" t="s">
        <v>113</v>
      </c>
      <c r="H5" s="102" t="s">
        <v>114</v>
      </c>
      <c r="I5" s="102" t="s">
        <v>115</v>
      </c>
      <c r="J5" s="102" t="s">
        <v>116</v>
      </c>
      <c r="K5" s="102" t="s">
        <v>117</v>
      </c>
      <c r="L5" s="102" t="s">
        <v>118</v>
      </c>
      <c r="M5" s="19" t="s">
        <v>385</v>
      </c>
    </row>
    <row r="6">
      <c r="A6" s="106" t="s">
        <v>386</v>
      </c>
      <c r="B6" s="107"/>
      <c r="C6" s="107"/>
      <c r="D6" s="107"/>
      <c r="E6" s="107"/>
      <c r="F6" s="107"/>
      <c r="G6" s="107"/>
      <c r="H6" s="107"/>
      <c r="I6" s="107"/>
      <c r="J6" s="107"/>
      <c r="K6" s="107"/>
      <c r="L6" s="107"/>
    </row>
    <row r="7">
      <c r="A7" s="109" t="s">
        <v>387</v>
      </c>
      <c r="B7" s="109" t="s">
        <v>388</v>
      </c>
      <c r="C7" s="110">
        <v>4268.254</v>
      </c>
      <c r="D7" s="110">
        <v>5215.977</v>
      </c>
      <c r="E7" s="110">
        <v>5482.851</v>
      </c>
      <c r="F7" s="110">
        <v>5899.327</v>
      </c>
      <c r="G7" s="110">
        <v>5721.873</v>
      </c>
      <c r="H7" s="110">
        <v>5828.216</v>
      </c>
      <c r="I7" s="110">
        <v>6242.052</v>
      </c>
      <c r="J7" s="110">
        <v>9316.314</v>
      </c>
      <c r="K7" s="110">
        <v>8620.903</v>
      </c>
      <c r="L7" s="110">
        <v>9232.641</v>
      </c>
    </row>
    <row r="8" outlineLevel="1">
      <c r="A8" s="109" t="s">
        <v>389</v>
      </c>
      <c r="B8" s="109" t="s">
        <v>390</v>
      </c>
      <c r="C8" s="110">
        <v>2041.17</v>
      </c>
      <c r="D8" s="110">
        <v>2284.557</v>
      </c>
      <c r="E8" s="110">
        <v>2939.428</v>
      </c>
      <c r="F8" s="110">
        <v>2995.075</v>
      </c>
      <c r="G8" s="110">
        <v>3052.269</v>
      </c>
      <c r="H8" s="110">
        <v>3574.704</v>
      </c>
      <c r="I8" s="110">
        <v>4098.45</v>
      </c>
      <c r="J8" s="110">
        <v>5100.857</v>
      </c>
      <c r="K8" s="110">
        <v>6113.655</v>
      </c>
      <c r="L8" s="110">
        <v>7516.966</v>
      </c>
    </row>
    <row r="9" outlineLevel="1">
      <c r="A9" s="109" t="s">
        <v>391</v>
      </c>
      <c r="B9" s="109" t="s">
        <v>392</v>
      </c>
      <c r="C9" s="110">
        <v>2227.084</v>
      </c>
      <c r="D9" s="110">
        <v>2931.42</v>
      </c>
      <c r="E9" s="110">
        <v>2543.423</v>
      </c>
      <c r="F9" s="110">
        <v>2904.252</v>
      </c>
      <c r="G9" s="110">
        <v>2669.604</v>
      </c>
      <c r="H9" s="110">
        <v>2253.512</v>
      </c>
      <c r="I9" s="110">
        <v>2143.602</v>
      </c>
      <c r="J9" s="110">
        <v>4215.457</v>
      </c>
      <c r="K9" s="110">
        <v>2507.248</v>
      </c>
      <c r="L9" s="110">
        <v>1715.675</v>
      </c>
    </row>
    <row r="10">
      <c r="A10" s="109" t="s">
        <v>393</v>
      </c>
      <c r="B10" s="109" t="s">
        <v>394</v>
      </c>
      <c r="C10" s="110">
        <v>7646.386</v>
      </c>
      <c r="D10" s="110">
        <v>8337.673</v>
      </c>
      <c r="E10" s="110">
        <v>7912.833</v>
      </c>
      <c r="F10" s="110">
        <v>8312.587</v>
      </c>
      <c r="G10" s="110">
        <v>8567.868</v>
      </c>
      <c r="H10" s="110">
        <v>9020.505</v>
      </c>
      <c r="I10" s="110">
        <v>8710.081</v>
      </c>
      <c r="J10" s="110">
        <v>9026.579</v>
      </c>
      <c r="K10" s="110">
        <v>9607.601</v>
      </c>
      <c r="L10" s="110">
        <v>11865.936</v>
      </c>
    </row>
    <row r="11">
      <c r="A11" s="109" t="s">
        <v>395</v>
      </c>
      <c r="B11" s="109" t="s">
        <v>396</v>
      </c>
      <c r="C11" s="110">
        <v>1894.704</v>
      </c>
      <c r="D11" s="110">
        <v>2137.618</v>
      </c>
      <c r="E11" s="110">
        <v>2061.511</v>
      </c>
      <c r="F11" s="110">
        <v>2388.617</v>
      </c>
      <c r="G11" s="110">
        <v>2539.789</v>
      </c>
      <c r="H11" s="110">
        <v>2656.396</v>
      </c>
      <c r="I11" s="110">
        <v>2533.892</v>
      </c>
      <c r="J11" s="110">
        <v>2888.028</v>
      </c>
      <c r="K11" s="110">
        <v>3821.356</v>
      </c>
      <c r="L11" s="110">
        <v>4255.614</v>
      </c>
    </row>
    <row r="12" outlineLevel="1">
      <c r="A12" s="109" t="s">
        <v>397</v>
      </c>
      <c r="B12" s="109" t="s">
        <v>398</v>
      </c>
      <c r="C12" s="110">
        <v>476.809</v>
      </c>
      <c r="D12" s="110">
        <v>501.687</v>
      </c>
      <c r="E12" s="110">
        <v>472.464</v>
      </c>
      <c r="F12" s="110">
        <v>526.407</v>
      </c>
      <c r="G12" s="110">
        <v>551.166</v>
      </c>
      <c r="H12" s="110">
        <v>585.316</v>
      </c>
      <c r="I12" s="110">
        <v>603.066</v>
      </c>
      <c r="J12" s="110">
        <v>788.305</v>
      </c>
      <c r="K12" s="110">
        <v>1261.303</v>
      </c>
      <c r="L12" s="110">
        <v>1407.556</v>
      </c>
    </row>
    <row r="13" outlineLevel="1">
      <c r="A13" s="109" t="s">
        <v>399</v>
      </c>
      <c r="B13" s="109" t="s">
        <v>400</v>
      </c>
      <c r="C13" s="110">
        <v>258.133</v>
      </c>
      <c r="D13" s="110">
        <v>270.113</v>
      </c>
      <c r="E13" s="110">
        <v>265.57</v>
      </c>
      <c r="F13" s="110">
        <v>309.387</v>
      </c>
      <c r="G13" s="110">
        <v>304.929</v>
      </c>
      <c r="H13" s="110">
        <v>324.921</v>
      </c>
      <c r="I13" s="110">
        <v>316.756</v>
      </c>
      <c r="J13" s="110">
        <v>350.308</v>
      </c>
      <c r="K13" s="110">
        <v>547.81</v>
      </c>
      <c r="L13" s="110">
        <v>530.915</v>
      </c>
    </row>
    <row r="14" outlineLevel="1">
      <c r="A14" s="109" t="s">
        <v>401</v>
      </c>
      <c r="B14" s="109" t="s">
        <v>402</v>
      </c>
      <c r="C14" s="110">
        <v>1159.762</v>
      </c>
      <c r="D14" s="110">
        <v>1365.818</v>
      </c>
      <c r="E14" s="110">
        <v>1323.477</v>
      </c>
      <c r="F14" s="110">
        <v>1552.823</v>
      </c>
      <c r="G14" s="110">
        <v>1683.694</v>
      </c>
      <c r="H14" s="110">
        <v>1746.159</v>
      </c>
      <c r="I14" s="110">
        <v>1614.07</v>
      </c>
      <c r="J14" s="110">
        <v>1749.415</v>
      </c>
      <c r="K14" s="110">
        <v>2012.243</v>
      </c>
      <c r="L14" s="110">
        <v>2317.143</v>
      </c>
    </row>
    <row r="15" outlineLevel="1">
      <c r="A15" s="109" t="s">
        <v>403</v>
      </c>
      <c r="B15" s="109" t="s">
        <v>404</v>
      </c>
      <c r="C15" s="110">
        <v>0.0</v>
      </c>
      <c r="D15" s="110">
        <v>0.0</v>
      </c>
      <c r="E15" s="110">
        <v>0.0</v>
      </c>
      <c r="F15" s="110">
        <v>0.0</v>
      </c>
      <c r="G15" s="110">
        <v>0.0</v>
      </c>
      <c r="H15" s="110">
        <v>0.0</v>
      </c>
      <c r="I15" s="110">
        <v>0.0</v>
      </c>
      <c r="J15" s="110">
        <v>0.0</v>
      </c>
      <c r="K15" s="110">
        <v>0.0</v>
      </c>
      <c r="L15" s="110">
        <v>0.0</v>
      </c>
    </row>
    <row r="16">
      <c r="A16" s="109" t="s">
        <v>405</v>
      </c>
      <c r="B16" s="109" t="s">
        <v>406</v>
      </c>
      <c r="C16" s="110">
        <v>1908.362</v>
      </c>
      <c r="D16" s="110">
        <v>2245.129</v>
      </c>
      <c r="E16" s="110">
        <v>2752.358</v>
      </c>
      <c r="F16" s="110">
        <v>1233.164</v>
      </c>
      <c r="G16" s="110">
        <v>1323.126</v>
      </c>
      <c r="H16" s="110">
        <v>1374.12</v>
      </c>
      <c r="I16" s="110">
        <v>1477.295</v>
      </c>
      <c r="J16" s="110">
        <v>1545.879</v>
      </c>
      <c r="K16" s="110">
        <v>1672.43</v>
      </c>
      <c r="L16" s="110">
        <v>1105.59</v>
      </c>
    </row>
    <row r="17" outlineLevel="1">
      <c r="A17" s="109" t="s">
        <v>407</v>
      </c>
      <c r="B17" s="109" t="s">
        <v>408</v>
      </c>
      <c r="C17" s="110">
        <v>672.014</v>
      </c>
      <c r="D17" s="110">
        <v>805.393</v>
      </c>
      <c r="E17" s="110">
        <v>1333.345</v>
      </c>
      <c r="F17" s="110">
        <v>796.297</v>
      </c>
      <c r="G17" s="110">
        <v>833.788</v>
      </c>
      <c r="H17" s="110">
        <v>805.964</v>
      </c>
      <c r="I17" s="110" t="s">
        <v>130</v>
      </c>
      <c r="J17" s="110" t="s">
        <v>130</v>
      </c>
      <c r="K17" s="110" t="s">
        <v>130</v>
      </c>
      <c r="L17" s="110" t="s">
        <v>130</v>
      </c>
    </row>
    <row r="18" outlineLevel="1">
      <c r="A18" s="109" t="s">
        <v>409</v>
      </c>
      <c r="B18" s="109" t="s">
        <v>410</v>
      </c>
      <c r="C18" s="110">
        <v>0.0</v>
      </c>
      <c r="D18" s="110" t="s">
        <v>130</v>
      </c>
      <c r="E18" s="110">
        <v>0.0</v>
      </c>
      <c r="F18" s="110">
        <v>74.303</v>
      </c>
      <c r="G18" s="110">
        <v>0.0</v>
      </c>
      <c r="H18" s="110">
        <v>85.691</v>
      </c>
      <c r="I18" s="110">
        <v>131.04</v>
      </c>
      <c r="J18" s="110">
        <v>46.34</v>
      </c>
      <c r="K18" s="110">
        <v>85.49</v>
      </c>
      <c r="L18" s="110">
        <v>205.746</v>
      </c>
    </row>
    <row r="19" outlineLevel="1">
      <c r="A19" s="109" t="s">
        <v>411</v>
      </c>
      <c r="B19" s="109" t="s">
        <v>412</v>
      </c>
      <c r="C19" s="110">
        <v>866.386</v>
      </c>
      <c r="D19" s="110">
        <v>978.179</v>
      </c>
      <c r="E19" s="110">
        <v>967.607</v>
      </c>
      <c r="F19" s="110">
        <v>0.0</v>
      </c>
      <c r="G19" s="110" t="s">
        <v>130</v>
      </c>
      <c r="H19" s="110" t="s">
        <v>130</v>
      </c>
      <c r="I19" s="110" t="s">
        <v>130</v>
      </c>
      <c r="J19" s="110" t="s">
        <v>130</v>
      </c>
      <c r="K19" s="110" t="s">
        <v>130</v>
      </c>
      <c r="L19" s="110" t="s">
        <v>130</v>
      </c>
    </row>
    <row r="20" outlineLevel="1">
      <c r="A20" s="109" t="s">
        <v>413</v>
      </c>
      <c r="B20" s="109" t="s">
        <v>414</v>
      </c>
      <c r="C20" s="110" t="s">
        <v>130</v>
      </c>
      <c r="D20" s="110" t="s">
        <v>130</v>
      </c>
      <c r="E20" s="110" t="s">
        <v>130</v>
      </c>
      <c r="F20" s="110" t="s">
        <v>130</v>
      </c>
      <c r="G20" s="110" t="s">
        <v>130</v>
      </c>
      <c r="H20" s="110" t="s">
        <v>130</v>
      </c>
      <c r="I20" s="110">
        <v>237.609</v>
      </c>
      <c r="J20" s="110">
        <v>112.458</v>
      </c>
      <c r="K20" s="110">
        <v>163.925</v>
      </c>
      <c r="L20" s="110">
        <v>218.704</v>
      </c>
    </row>
    <row r="21" outlineLevel="1">
      <c r="A21" s="109" t="s">
        <v>415</v>
      </c>
      <c r="B21" s="109" t="s">
        <v>416</v>
      </c>
      <c r="C21" s="110">
        <v>369.962</v>
      </c>
      <c r="D21" s="110">
        <v>461.557</v>
      </c>
      <c r="E21" s="110">
        <v>451.406</v>
      </c>
      <c r="F21" s="110">
        <v>362.564</v>
      </c>
      <c r="G21" s="110">
        <v>489.338</v>
      </c>
      <c r="H21" s="110">
        <v>482.465</v>
      </c>
      <c r="I21" s="110">
        <v>1108.646</v>
      </c>
      <c r="J21" s="110">
        <v>1387.081</v>
      </c>
      <c r="K21" s="110">
        <v>1423.015</v>
      </c>
      <c r="L21" s="110">
        <v>681.14</v>
      </c>
    </row>
    <row r="22">
      <c r="A22" s="106" t="s">
        <v>417</v>
      </c>
      <c r="B22" s="106" t="s">
        <v>418</v>
      </c>
      <c r="C22" s="112">
        <v>15717.706</v>
      </c>
      <c r="D22" s="112">
        <v>17936.397</v>
      </c>
      <c r="E22" s="112">
        <v>18209.553</v>
      </c>
      <c r="F22" s="112">
        <v>17833.695</v>
      </c>
      <c r="G22" s="112">
        <v>18152.656</v>
      </c>
      <c r="H22" s="112">
        <v>18879.237</v>
      </c>
      <c r="I22" s="112">
        <v>18963.32</v>
      </c>
      <c r="J22" s="112">
        <v>22776.8</v>
      </c>
      <c r="K22" s="112">
        <v>23722.29</v>
      </c>
      <c r="L22" s="112">
        <v>26459.781</v>
      </c>
      <c r="M22" s="127">
        <f t="shared" ref="M22:M55" si="1">AVERAGE(G22:L22)</f>
        <v>21492.34733</v>
      </c>
    </row>
    <row r="23">
      <c r="A23" s="109" t="s">
        <v>419</v>
      </c>
      <c r="B23" s="109" t="s">
        <v>420</v>
      </c>
      <c r="C23" s="110">
        <v>7641.298</v>
      </c>
      <c r="D23" s="110">
        <v>9295.719</v>
      </c>
      <c r="E23" s="110">
        <v>9740.417</v>
      </c>
      <c r="F23" s="110">
        <v>10197.109</v>
      </c>
      <c r="G23" s="110">
        <v>10267.673</v>
      </c>
      <c r="H23" s="110">
        <v>10685.494</v>
      </c>
      <c r="I23" s="110">
        <v>10871.351</v>
      </c>
      <c r="J23" s="110">
        <v>11801.297</v>
      </c>
      <c r="K23" s="110">
        <v>12775.052</v>
      </c>
      <c r="L23" s="110">
        <v>13125.342</v>
      </c>
      <c r="M23" s="127">
        <f t="shared" si="1"/>
        <v>11587.7015</v>
      </c>
    </row>
    <row r="24" hidden="1" outlineLevel="1">
      <c r="A24" s="109" t="s">
        <v>421</v>
      </c>
      <c r="B24" s="109" t="s">
        <v>422</v>
      </c>
      <c r="C24" s="110">
        <v>19764.791</v>
      </c>
      <c r="D24" s="110">
        <v>22364.429</v>
      </c>
      <c r="E24" s="110">
        <v>22776.641</v>
      </c>
      <c r="F24" s="110">
        <v>23649.094</v>
      </c>
      <c r="G24" s="110">
        <v>24043.989</v>
      </c>
      <c r="H24" s="110">
        <v>24836.784</v>
      </c>
      <c r="I24" s="110">
        <v>24823.492</v>
      </c>
      <c r="J24" s="110">
        <v>26367.935</v>
      </c>
      <c r="K24" s="110">
        <v>28423.942</v>
      </c>
      <c r="L24" s="110">
        <v>29800.461</v>
      </c>
      <c r="M24" s="127">
        <f t="shared" si="1"/>
        <v>26382.76717</v>
      </c>
    </row>
    <row r="25" hidden="1" outlineLevel="1">
      <c r="A25" s="109" t="s">
        <v>423</v>
      </c>
      <c r="B25" s="109" t="s">
        <v>424</v>
      </c>
      <c r="C25" s="110">
        <v>12123.493</v>
      </c>
      <c r="D25" s="110">
        <v>13068.71</v>
      </c>
      <c r="E25" s="110">
        <v>13036.224</v>
      </c>
      <c r="F25" s="110">
        <v>13451.985</v>
      </c>
      <c r="G25" s="110">
        <v>13776.316</v>
      </c>
      <c r="H25" s="110">
        <v>14151.29</v>
      </c>
      <c r="I25" s="110">
        <v>13952.141</v>
      </c>
      <c r="J25" s="110">
        <v>14566.638</v>
      </c>
      <c r="K25" s="110">
        <v>15648.89</v>
      </c>
      <c r="L25" s="110">
        <v>16675.119</v>
      </c>
      <c r="M25" s="127">
        <f t="shared" si="1"/>
        <v>14795.06567</v>
      </c>
    </row>
    <row r="26" collapsed="1">
      <c r="A26" s="109" t="s">
        <v>425</v>
      </c>
      <c r="B26" s="109" t="s">
        <v>426</v>
      </c>
      <c r="C26" s="110">
        <v>14867.337</v>
      </c>
      <c r="D26" s="110">
        <v>16834.657</v>
      </c>
      <c r="E26" s="110">
        <v>16082.746</v>
      </c>
      <c r="F26" s="110">
        <v>16692.15</v>
      </c>
      <c r="G26" s="110">
        <v>17480.941</v>
      </c>
      <c r="H26" s="110">
        <v>17761.044</v>
      </c>
      <c r="I26" s="110">
        <v>17946.528</v>
      </c>
      <c r="J26" s="110">
        <v>21297.416</v>
      </c>
      <c r="K26" s="110">
        <v>23766.714</v>
      </c>
      <c r="L26" s="110">
        <v>16491.045</v>
      </c>
      <c r="M26" s="127">
        <f t="shared" si="1"/>
        <v>19123.948</v>
      </c>
    </row>
    <row r="27" hidden="1" outlineLevel="1">
      <c r="A27" s="109" t="s">
        <v>427</v>
      </c>
      <c r="B27" s="109" t="s">
        <v>428</v>
      </c>
      <c r="C27" s="110">
        <v>6765.043</v>
      </c>
      <c r="D27" s="110">
        <v>7632.126</v>
      </c>
      <c r="E27" s="110">
        <v>7439.799</v>
      </c>
      <c r="F27" s="110">
        <v>7679.928</v>
      </c>
      <c r="G27" s="110">
        <v>7999.323</v>
      </c>
      <c r="H27" s="110">
        <v>7479.926</v>
      </c>
      <c r="I27" s="110">
        <v>7528.731</v>
      </c>
      <c r="J27" s="110">
        <v>8847.891</v>
      </c>
      <c r="K27" s="110">
        <v>9183.584</v>
      </c>
      <c r="L27" s="110" t="s">
        <v>130</v>
      </c>
      <c r="M27" s="127">
        <f t="shared" si="1"/>
        <v>8207.891</v>
      </c>
    </row>
    <row r="28" hidden="1" outlineLevel="1">
      <c r="A28" s="109" t="s">
        <v>429</v>
      </c>
      <c r="B28" s="109" t="s">
        <v>430</v>
      </c>
      <c r="C28" s="110">
        <v>8102.294</v>
      </c>
      <c r="D28" s="110">
        <v>9202.531</v>
      </c>
      <c r="E28" s="110">
        <v>8642.947</v>
      </c>
      <c r="F28" s="110">
        <v>9012.222</v>
      </c>
      <c r="G28" s="110">
        <v>9481.618</v>
      </c>
      <c r="H28" s="110">
        <v>10281.118</v>
      </c>
      <c r="I28" s="110">
        <v>10417.797</v>
      </c>
      <c r="J28" s="110">
        <v>12449.525</v>
      </c>
      <c r="K28" s="110">
        <v>14583.13</v>
      </c>
      <c r="L28" s="110">
        <v>16491.045</v>
      </c>
      <c r="M28" s="127">
        <f t="shared" si="1"/>
        <v>12284.03883</v>
      </c>
    </row>
    <row r="29" collapsed="1">
      <c r="A29" s="109" t="s">
        <v>431</v>
      </c>
      <c r="B29" s="109" t="s">
        <v>432</v>
      </c>
      <c r="C29" s="110">
        <v>3211.132</v>
      </c>
      <c r="D29" s="110">
        <v>3663.057</v>
      </c>
      <c r="E29" s="110">
        <v>3394.881</v>
      </c>
      <c r="F29" s="110">
        <v>4027.232</v>
      </c>
      <c r="G29" s="110">
        <v>4406.979</v>
      </c>
      <c r="H29" s="110">
        <v>4611.174</v>
      </c>
      <c r="I29" s="110">
        <v>6191.164</v>
      </c>
      <c r="J29" s="110">
        <v>6391.627</v>
      </c>
      <c r="K29" s="110">
        <v>7424.715</v>
      </c>
      <c r="L29" s="110">
        <v>18227.012</v>
      </c>
      <c r="M29" s="127">
        <f t="shared" si="1"/>
        <v>7875.445167</v>
      </c>
    </row>
    <row r="30" hidden="1" outlineLevel="1">
      <c r="A30" s="109" t="s">
        <v>433</v>
      </c>
      <c r="B30" s="109" t="s">
        <v>434</v>
      </c>
      <c r="C30" s="110">
        <v>0.0</v>
      </c>
      <c r="D30" s="110">
        <v>0.0</v>
      </c>
      <c r="E30" s="110">
        <v>0.0</v>
      </c>
      <c r="F30" s="110">
        <v>0.0</v>
      </c>
      <c r="G30" s="110">
        <v>0.0</v>
      </c>
      <c r="H30" s="110">
        <v>0.0</v>
      </c>
      <c r="I30" s="110">
        <v>1000.257</v>
      </c>
      <c r="J30" s="110">
        <v>1108.634</v>
      </c>
      <c r="K30" s="110">
        <v>1191.966</v>
      </c>
      <c r="L30" s="110">
        <v>1249.122</v>
      </c>
      <c r="M30" s="127">
        <f t="shared" si="1"/>
        <v>758.3298333</v>
      </c>
    </row>
    <row r="31" hidden="1" outlineLevel="1">
      <c r="A31" s="114" t="s">
        <v>435</v>
      </c>
      <c r="B31" s="114" t="s">
        <v>436</v>
      </c>
      <c r="C31" s="115">
        <v>0.0</v>
      </c>
      <c r="D31" s="115">
        <v>0.0</v>
      </c>
      <c r="E31" s="115">
        <v>0.0</v>
      </c>
      <c r="F31" s="115">
        <v>0.0</v>
      </c>
      <c r="G31" s="115">
        <v>0.0</v>
      </c>
      <c r="H31" s="115">
        <v>0.0</v>
      </c>
      <c r="I31" s="115">
        <v>0.0</v>
      </c>
      <c r="J31" s="115">
        <v>0.0</v>
      </c>
      <c r="K31" s="115">
        <v>0.0</v>
      </c>
      <c r="L31" s="115">
        <v>0.0</v>
      </c>
      <c r="M31" s="127">
        <f t="shared" si="1"/>
        <v>0</v>
      </c>
    </row>
    <row r="32" hidden="1" outlineLevel="1">
      <c r="A32" s="114" t="s">
        <v>437</v>
      </c>
      <c r="B32" s="114" t="s">
        <v>438</v>
      </c>
      <c r="C32" s="115">
        <v>0.0</v>
      </c>
      <c r="D32" s="115">
        <v>0.0</v>
      </c>
      <c r="E32" s="115">
        <v>0.0</v>
      </c>
      <c r="F32" s="115">
        <v>0.0</v>
      </c>
      <c r="G32" s="115">
        <v>0.0</v>
      </c>
      <c r="H32" s="115">
        <v>0.0</v>
      </c>
      <c r="I32" s="115">
        <v>1000.257</v>
      </c>
      <c r="J32" s="115">
        <v>1108.634</v>
      </c>
      <c r="K32" s="115">
        <v>1191.966</v>
      </c>
      <c r="L32" s="115">
        <v>1249.122</v>
      </c>
      <c r="M32" s="127">
        <f t="shared" si="1"/>
        <v>758.3298333</v>
      </c>
    </row>
    <row r="33" hidden="1" outlineLevel="1">
      <c r="A33" s="109" t="s">
        <v>411</v>
      </c>
      <c r="B33" s="109" t="s">
        <v>439</v>
      </c>
      <c r="C33" s="110" t="s">
        <v>130</v>
      </c>
      <c r="D33" s="110" t="s">
        <v>130</v>
      </c>
      <c r="E33" s="110" t="s">
        <v>130</v>
      </c>
      <c r="F33" s="110" t="s">
        <v>130</v>
      </c>
      <c r="G33" s="110" t="s">
        <v>130</v>
      </c>
      <c r="H33" s="110" t="s">
        <v>130</v>
      </c>
      <c r="I33" s="110">
        <v>326.364</v>
      </c>
      <c r="J33" s="110">
        <v>336.224</v>
      </c>
      <c r="K33" s="110">
        <v>342.202</v>
      </c>
      <c r="L33" s="110">
        <v>387.427</v>
      </c>
      <c r="M33" s="127">
        <f t="shared" si="1"/>
        <v>348.05425</v>
      </c>
    </row>
    <row r="34" hidden="1" outlineLevel="1">
      <c r="A34" s="109" t="s">
        <v>409</v>
      </c>
      <c r="B34" s="109" t="s">
        <v>440</v>
      </c>
      <c r="C34" s="110">
        <v>0.0</v>
      </c>
      <c r="D34" s="110" t="s">
        <v>130</v>
      </c>
      <c r="E34" s="110">
        <v>0.0</v>
      </c>
      <c r="F34" s="110">
        <v>169.118</v>
      </c>
      <c r="G34" s="110">
        <v>0.0</v>
      </c>
      <c r="H34" s="110">
        <v>114.642</v>
      </c>
      <c r="I34" s="110">
        <v>372.786</v>
      </c>
      <c r="J34" s="110">
        <v>236.023</v>
      </c>
      <c r="K34" s="110">
        <v>333.683</v>
      </c>
      <c r="L34" s="110">
        <v>404.593</v>
      </c>
      <c r="M34" s="127">
        <f t="shared" si="1"/>
        <v>243.6211667</v>
      </c>
    </row>
    <row r="35" hidden="1" outlineLevel="1">
      <c r="A35" s="109" t="s">
        <v>441</v>
      </c>
      <c r="B35" s="109" t="s">
        <v>442</v>
      </c>
      <c r="C35" s="110">
        <v>257.56</v>
      </c>
      <c r="D35" s="110">
        <v>372.785</v>
      </c>
      <c r="E35" s="110">
        <v>123.721</v>
      </c>
      <c r="F35" s="110">
        <v>221.944</v>
      </c>
      <c r="G35" s="110">
        <v>272.953</v>
      </c>
      <c r="H35" s="110">
        <v>197.243</v>
      </c>
      <c r="I35" s="110">
        <v>143.61</v>
      </c>
      <c r="J35" s="110">
        <v>411.73</v>
      </c>
      <c r="K35" s="110">
        <v>527.429</v>
      </c>
      <c r="L35" s="110">
        <v>627.57</v>
      </c>
      <c r="M35" s="127">
        <f t="shared" si="1"/>
        <v>363.4225</v>
      </c>
    </row>
    <row r="36" hidden="1" outlineLevel="1">
      <c r="A36" s="109" t="s">
        <v>443</v>
      </c>
      <c r="B36" s="109" t="s">
        <v>444</v>
      </c>
      <c r="C36" s="110">
        <v>2429.778</v>
      </c>
      <c r="D36" s="110">
        <v>2691.46</v>
      </c>
      <c r="E36" s="110">
        <v>2631.612</v>
      </c>
      <c r="F36" s="110">
        <v>2845.639</v>
      </c>
      <c r="G36" s="110">
        <v>3162.917</v>
      </c>
      <c r="H36" s="110">
        <v>3313.723</v>
      </c>
      <c r="I36" s="110">
        <v>4297.564</v>
      </c>
      <c r="J36" s="110">
        <v>4160.803</v>
      </c>
      <c r="K36" s="110">
        <v>4837.895</v>
      </c>
      <c r="L36" s="110">
        <v>5227.345</v>
      </c>
      <c r="M36" s="127">
        <f t="shared" si="1"/>
        <v>4166.707833</v>
      </c>
    </row>
    <row r="37" hidden="1" outlineLevel="1">
      <c r="A37" s="109" t="s">
        <v>445</v>
      </c>
      <c r="B37" s="109" t="s">
        <v>446</v>
      </c>
      <c r="C37" s="110">
        <v>523.794</v>
      </c>
      <c r="D37" s="110">
        <v>598.812</v>
      </c>
      <c r="E37" s="110">
        <v>639.548</v>
      </c>
      <c r="F37" s="110">
        <v>790.531</v>
      </c>
      <c r="G37" s="110">
        <v>971.109</v>
      </c>
      <c r="H37" s="110">
        <v>985.566</v>
      </c>
      <c r="I37" s="110">
        <v>50.583</v>
      </c>
      <c r="J37" s="110">
        <v>138.213</v>
      </c>
      <c r="K37" s="110">
        <v>191.54</v>
      </c>
      <c r="L37" s="110">
        <v>10330.955</v>
      </c>
      <c r="M37" s="127">
        <f t="shared" si="1"/>
        <v>2111.327667</v>
      </c>
    </row>
    <row r="38" collapsed="1">
      <c r="A38" s="106" t="s">
        <v>447</v>
      </c>
      <c r="B38" s="106" t="s">
        <v>448</v>
      </c>
      <c r="C38" s="112">
        <v>25719.767</v>
      </c>
      <c r="D38" s="112">
        <v>29793.433</v>
      </c>
      <c r="E38" s="112">
        <v>29218.044</v>
      </c>
      <c r="F38" s="112">
        <v>30916.491</v>
      </c>
      <c r="G38" s="112">
        <v>32155.593</v>
      </c>
      <c r="H38" s="112">
        <v>33057.712</v>
      </c>
      <c r="I38" s="112">
        <v>35009.043</v>
      </c>
      <c r="J38" s="112">
        <v>39490.34</v>
      </c>
      <c r="K38" s="112">
        <v>43966.481</v>
      </c>
      <c r="L38" s="112">
        <v>47843.399</v>
      </c>
      <c r="M38" s="127">
        <f t="shared" si="1"/>
        <v>38587.09467</v>
      </c>
    </row>
    <row r="39">
      <c r="A39" s="106" t="s">
        <v>386</v>
      </c>
      <c r="B39" s="106" t="s">
        <v>449</v>
      </c>
      <c r="C39" s="112">
        <v>41437.473</v>
      </c>
      <c r="D39" s="112">
        <v>47729.83</v>
      </c>
      <c r="E39" s="112">
        <v>47427.597</v>
      </c>
      <c r="F39" s="112">
        <v>48750.186</v>
      </c>
      <c r="G39" s="112">
        <v>50308.249</v>
      </c>
      <c r="H39" s="112">
        <v>51936.949</v>
      </c>
      <c r="I39" s="112">
        <v>53972.363</v>
      </c>
      <c r="J39" s="112">
        <v>62267.14</v>
      </c>
      <c r="K39" s="112">
        <v>67688.771</v>
      </c>
      <c r="L39" s="112">
        <v>74303.18</v>
      </c>
      <c r="M39" s="127">
        <f t="shared" si="1"/>
        <v>60079.442</v>
      </c>
    </row>
    <row r="40">
      <c r="A40" s="106"/>
      <c r="B40" s="107"/>
      <c r="C40" s="107"/>
      <c r="D40" s="107"/>
      <c r="E40" s="107"/>
      <c r="F40" s="107"/>
      <c r="G40" s="107"/>
      <c r="H40" s="107"/>
      <c r="I40" s="107"/>
      <c r="J40" s="107"/>
      <c r="K40" s="107"/>
      <c r="L40" s="107"/>
      <c r="M40" s="136" t="str">
        <f t="shared" si="1"/>
        <v>#DIV/0!</v>
      </c>
    </row>
    <row r="41">
      <c r="A41" s="106" t="s">
        <v>450</v>
      </c>
      <c r="B41" s="107"/>
      <c r="C41" s="107"/>
      <c r="D41" s="107"/>
      <c r="E41" s="107"/>
      <c r="F41" s="107"/>
      <c r="G41" s="107"/>
      <c r="H41" s="107"/>
      <c r="I41" s="107"/>
      <c r="J41" s="107"/>
      <c r="K41" s="107"/>
      <c r="L41" s="107"/>
      <c r="M41" s="136" t="str">
        <f t="shared" si="1"/>
        <v>#DIV/0!</v>
      </c>
    </row>
    <row r="42">
      <c r="A42" s="109" t="s">
        <v>451</v>
      </c>
      <c r="B42" s="109" t="s">
        <v>452</v>
      </c>
      <c r="C42" s="110">
        <v>5966.633</v>
      </c>
      <c r="D42" s="110">
        <v>6341.053</v>
      </c>
      <c r="E42" s="110">
        <v>6499.237</v>
      </c>
      <c r="F42" s="110">
        <v>6864.721</v>
      </c>
      <c r="G42" s="110">
        <v>7201.46</v>
      </c>
      <c r="H42" s="110">
        <v>7292.23</v>
      </c>
      <c r="I42" s="110">
        <v>4967.1</v>
      </c>
      <c r="J42" s="110">
        <v>5793.959</v>
      </c>
      <c r="K42" s="110">
        <v>6639.353</v>
      </c>
      <c r="L42" s="110">
        <v>6943.259</v>
      </c>
      <c r="M42" s="127">
        <f t="shared" si="1"/>
        <v>6472.8935</v>
      </c>
    </row>
    <row r="43" hidden="1" outlineLevel="1">
      <c r="A43" s="109" t="s">
        <v>453</v>
      </c>
      <c r="B43" s="109" t="s">
        <v>454</v>
      </c>
      <c r="C43" s="110">
        <v>2213.218</v>
      </c>
      <c r="D43" s="110">
        <v>2410.588</v>
      </c>
      <c r="E43" s="110">
        <v>2389.515</v>
      </c>
      <c r="F43" s="110">
        <v>2566.382</v>
      </c>
      <c r="G43" s="110">
        <v>2586.657</v>
      </c>
      <c r="H43" s="110">
        <v>2645.984</v>
      </c>
      <c r="I43" s="110">
        <v>2354.425</v>
      </c>
      <c r="J43" s="110">
        <v>2953.716</v>
      </c>
      <c r="K43" s="110">
        <v>3168.084</v>
      </c>
      <c r="L43" s="110">
        <v>3819.334</v>
      </c>
      <c r="M43" s="127">
        <f t="shared" si="1"/>
        <v>2921.366667</v>
      </c>
    </row>
    <row r="44" hidden="1" outlineLevel="1">
      <c r="A44" s="109" t="s">
        <v>455</v>
      </c>
      <c r="B44" s="109" t="s">
        <v>456</v>
      </c>
      <c r="C44" s="110">
        <v>594.829</v>
      </c>
      <c r="D44" s="110">
        <v>348.786</v>
      </c>
      <c r="E44" s="110">
        <v>343.325</v>
      </c>
      <c r="F44" s="110">
        <v>223.574</v>
      </c>
      <c r="G44" s="110">
        <v>462.327</v>
      </c>
      <c r="H44" s="110">
        <v>320.998</v>
      </c>
      <c r="I44" s="110">
        <v>212.276</v>
      </c>
      <c r="J44" s="110">
        <v>350.88</v>
      </c>
      <c r="K44" s="110">
        <v>826.815</v>
      </c>
      <c r="L44" s="110">
        <v>404.606</v>
      </c>
      <c r="M44" s="127">
        <f t="shared" si="1"/>
        <v>429.6503333</v>
      </c>
    </row>
    <row r="45" hidden="1" outlineLevel="1">
      <c r="A45" s="109" t="s">
        <v>457</v>
      </c>
      <c r="B45" s="109" t="s">
        <v>458</v>
      </c>
      <c r="C45" s="110">
        <v>3158.586</v>
      </c>
      <c r="D45" s="110">
        <v>3581.679</v>
      </c>
      <c r="E45" s="110">
        <v>3766.397</v>
      </c>
      <c r="F45" s="110">
        <v>4074.765</v>
      </c>
      <c r="G45" s="110">
        <v>4152.476</v>
      </c>
      <c r="H45" s="110">
        <v>4325.248</v>
      </c>
      <c r="I45" s="110">
        <v>2400.399</v>
      </c>
      <c r="J45" s="110">
        <v>2489.363</v>
      </c>
      <c r="K45" s="110">
        <v>2644.454</v>
      </c>
      <c r="L45" s="110">
        <v>2719.319</v>
      </c>
      <c r="M45" s="127">
        <f t="shared" si="1"/>
        <v>3121.8765</v>
      </c>
    </row>
    <row r="46" collapsed="1">
      <c r="A46" s="109" t="s">
        <v>459</v>
      </c>
      <c r="B46" s="109" t="s">
        <v>460</v>
      </c>
      <c r="C46" s="110">
        <v>7780.483</v>
      </c>
      <c r="D46" s="110">
        <v>8963.492</v>
      </c>
      <c r="E46" s="110">
        <v>8521.088</v>
      </c>
      <c r="F46" s="110">
        <v>9248.774</v>
      </c>
      <c r="G46" s="110">
        <v>9346.986</v>
      </c>
      <c r="H46" s="110">
        <v>9599.234</v>
      </c>
      <c r="I46" s="110">
        <v>10405.494</v>
      </c>
      <c r="J46" s="110">
        <v>12212.059</v>
      </c>
      <c r="K46" s="110">
        <v>11187.838</v>
      </c>
      <c r="L46" s="110">
        <v>12305.638</v>
      </c>
      <c r="M46" s="127">
        <f t="shared" si="1"/>
        <v>10842.87483</v>
      </c>
    </row>
    <row r="47" hidden="1" outlineLevel="1">
      <c r="A47" s="109" t="s">
        <v>461</v>
      </c>
      <c r="B47" s="109" t="s">
        <v>462</v>
      </c>
      <c r="C47" s="110">
        <v>4830.82</v>
      </c>
      <c r="D47" s="110">
        <v>5048.188</v>
      </c>
      <c r="E47" s="110">
        <v>4698.134</v>
      </c>
      <c r="F47" s="110">
        <v>4953.682</v>
      </c>
      <c r="G47" s="110">
        <v>5154.913</v>
      </c>
      <c r="H47" s="110">
        <v>5344.974</v>
      </c>
      <c r="I47" s="110">
        <v>5794.188</v>
      </c>
      <c r="J47" s="110">
        <v>4580.602</v>
      </c>
      <c r="K47" s="110">
        <v>4104.857</v>
      </c>
      <c r="L47" s="110">
        <v>4590.172</v>
      </c>
      <c r="M47" s="127">
        <f t="shared" si="1"/>
        <v>4928.284333</v>
      </c>
    </row>
    <row r="48" hidden="1" outlineLevel="1">
      <c r="A48" s="109" t="s">
        <v>463</v>
      </c>
      <c r="B48" s="109" t="s">
        <v>464</v>
      </c>
      <c r="C48" s="110">
        <v>4.182</v>
      </c>
      <c r="D48" s="110">
        <v>3.743</v>
      </c>
      <c r="E48" s="110">
        <v>4.25</v>
      </c>
      <c r="F48" s="110">
        <v>4.643</v>
      </c>
      <c r="G48" s="110">
        <v>5.796</v>
      </c>
      <c r="H48" s="110">
        <v>5.747</v>
      </c>
      <c r="I48" s="110">
        <v>43.166</v>
      </c>
      <c r="J48" s="110">
        <v>47.12</v>
      </c>
      <c r="K48" s="110">
        <v>56.136</v>
      </c>
      <c r="L48" s="110">
        <v>66.87</v>
      </c>
      <c r="M48" s="127">
        <f t="shared" si="1"/>
        <v>37.4725</v>
      </c>
    </row>
    <row r="49" hidden="1" outlineLevel="1">
      <c r="A49" s="114" t="s">
        <v>465</v>
      </c>
      <c r="B49" s="114" t="s">
        <v>466</v>
      </c>
      <c r="C49" s="115">
        <v>4.182</v>
      </c>
      <c r="D49" s="115">
        <v>3.743</v>
      </c>
      <c r="E49" s="115">
        <v>4.25</v>
      </c>
      <c r="F49" s="115">
        <v>4.643</v>
      </c>
      <c r="G49" s="115">
        <v>5.796</v>
      </c>
      <c r="H49" s="115">
        <v>5.747</v>
      </c>
      <c r="I49" s="115" t="s">
        <v>130</v>
      </c>
      <c r="J49" s="115" t="s">
        <v>130</v>
      </c>
      <c r="K49" s="115" t="s">
        <v>130</v>
      </c>
      <c r="L49" s="115" t="s">
        <v>130</v>
      </c>
      <c r="M49" s="127">
        <f t="shared" si="1"/>
        <v>5.7715</v>
      </c>
    </row>
    <row r="50" hidden="1" outlineLevel="1">
      <c r="A50" s="109" t="s">
        <v>467</v>
      </c>
      <c r="B50" s="109" t="s">
        <v>468</v>
      </c>
      <c r="C50" s="110">
        <v>2945.481</v>
      </c>
      <c r="D50" s="110">
        <v>3911.561</v>
      </c>
      <c r="E50" s="110">
        <v>3818.704</v>
      </c>
      <c r="F50" s="110">
        <v>4290.449</v>
      </c>
      <c r="G50" s="110">
        <v>4186.277</v>
      </c>
      <c r="H50" s="110">
        <v>4248.513</v>
      </c>
      <c r="I50" s="110">
        <v>4568.14</v>
      </c>
      <c r="J50" s="110">
        <v>7584.337</v>
      </c>
      <c r="K50" s="110">
        <v>7026.845</v>
      </c>
      <c r="L50" s="110">
        <v>7648.596</v>
      </c>
      <c r="M50" s="127">
        <f t="shared" si="1"/>
        <v>5877.118</v>
      </c>
    </row>
    <row r="51" collapsed="1">
      <c r="A51" s="109" t="s">
        <v>469</v>
      </c>
      <c r="B51" s="109" t="s">
        <v>470</v>
      </c>
      <c r="C51" s="110">
        <v>933.569</v>
      </c>
      <c r="D51" s="110">
        <v>1126.951</v>
      </c>
      <c r="E51" s="110">
        <v>1104.131</v>
      </c>
      <c r="F51" s="110">
        <v>1205.47</v>
      </c>
      <c r="G51" s="110">
        <v>1248.445</v>
      </c>
      <c r="H51" s="110">
        <v>1335.474</v>
      </c>
      <c r="I51" s="110">
        <v>2769.615</v>
      </c>
      <c r="J51" s="110">
        <v>3454.448</v>
      </c>
      <c r="K51" s="110">
        <v>4014.97</v>
      </c>
      <c r="L51" s="110">
        <v>4710.818</v>
      </c>
      <c r="M51" s="127">
        <f t="shared" si="1"/>
        <v>2922.295</v>
      </c>
    </row>
    <row r="52" hidden="1" outlineLevel="1">
      <c r="A52" s="109" t="s">
        <v>471</v>
      </c>
      <c r="B52" s="109" t="s">
        <v>472</v>
      </c>
      <c r="C52" s="110">
        <v>0.0</v>
      </c>
      <c r="D52" s="110">
        <v>0.0</v>
      </c>
      <c r="E52" s="110">
        <v>0.0</v>
      </c>
      <c r="F52" s="110">
        <v>0.0</v>
      </c>
      <c r="G52" s="110">
        <v>0.0</v>
      </c>
      <c r="H52" s="110">
        <v>0.0</v>
      </c>
      <c r="I52" s="110">
        <v>0.0</v>
      </c>
      <c r="J52" s="110">
        <v>0.0</v>
      </c>
      <c r="K52" s="110">
        <v>0.0</v>
      </c>
      <c r="L52" s="110">
        <v>0.0</v>
      </c>
      <c r="M52" s="127">
        <f t="shared" si="1"/>
        <v>0</v>
      </c>
    </row>
    <row r="53" hidden="1" outlineLevel="1">
      <c r="A53" s="109" t="s">
        <v>473</v>
      </c>
      <c r="B53" s="109" t="s">
        <v>474</v>
      </c>
      <c r="C53" s="110">
        <v>0.0</v>
      </c>
      <c r="D53" s="110" t="s">
        <v>130</v>
      </c>
      <c r="E53" s="110">
        <v>0.0</v>
      </c>
      <c r="F53" s="110">
        <v>87.074</v>
      </c>
      <c r="G53" s="110">
        <v>0.0</v>
      </c>
      <c r="H53" s="110">
        <v>42.758</v>
      </c>
      <c r="I53" s="110">
        <v>93.813</v>
      </c>
      <c r="J53" s="110">
        <v>199.546</v>
      </c>
      <c r="K53" s="110">
        <v>171.022</v>
      </c>
      <c r="L53" s="110">
        <v>73.073</v>
      </c>
      <c r="M53" s="127">
        <f t="shared" si="1"/>
        <v>96.702</v>
      </c>
    </row>
    <row r="54" hidden="1" outlineLevel="1">
      <c r="A54" s="109" t="s">
        <v>475</v>
      </c>
      <c r="B54" s="109" t="s">
        <v>476</v>
      </c>
      <c r="C54" s="110">
        <v>933.569</v>
      </c>
      <c r="D54" s="110">
        <v>1126.951</v>
      </c>
      <c r="E54" s="110">
        <v>1104.131</v>
      </c>
      <c r="F54" s="110">
        <v>1118.396</v>
      </c>
      <c r="G54" s="110">
        <v>1248.445</v>
      </c>
      <c r="H54" s="110">
        <v>1292.716</v>
      </c>
      <c r="I54" s="110">
        <v>2675.802</v>
      </c>
      <c r="J54" s="110">
        <v>3254.902</v>
      </c>
      <c r="K54" s="110">
        <v>3843.948</v>
      </c>
      <c r="L54" s="110">
        <v>4637.745</v>
      </c>
      <c r="M54" s="127">
        <f t="shared" si="1"/>
        <v>2825.593</v>
      </c>
    </row>
    <row r="55" collapsed="1">
      <c r="A55" s="106" t="s">
        <v>477</v>
      </c>
      <c r="B55" s="106" t="s">
        <v>478</v>
      </c>
      <c r="C55" s="112">
        <v>14680.685</v>
      </c>
      <c r="D55" s="112">
        <v>16431.496</v>
      </c>
      <c r="E55" s="112">
        <v>16124.456</v>
      </c>
      <c r="F55" s="112">
        <v>17318.965</v>
      </c>
      <c r="G55" s="112">
        <v>17796.891</v>
      </c>
      <c r="H55" s="112">
        <v>18226.938</v>
      </c>
      <c r="I55" s="112">
        <v>18142.209</v>
      </c>
      <c r="J55" s="112">
        <v>21460.466</v>
      </c>
      <c r="K55" s="112">
        <v>21842.161</v>
      </c>
      <c r="L55" s="112">
        <v>23959.715</v>
      </c>
      <c r="M55" s="127">
        <f t="shared" si="1"/>
        <v>20238.06333</v>
      </c>
    </row>
    <row r="56">
      <c r="A56" s="109" t="s">
        <v>479</v>
      </c>
      <c r="B56" s="109" t="s">
        <v>480</v>
      </c>
      <c r="C56" s="110">
        <v>8546.91</v>
      </c>
      <c r="D56" s="110">
        <v>10014.395</v>
      </c>
      <c r="E56" s="110">
        <v>9772.065</v>
      </c>
      <c r="F56" s="110">
        <v>9929.202</v>
      </c>
      <c r="G56" s="110">
        <v>10006.374</v>
      </c>
      <c r="H56" s="110">
        <v>10550.945</v>
      </c>
      <c r="I56" s="110">
        <v>10935.478</v>
      </c>
      <c r="J56" s="110">
        <v>13447.575</v>
      </c>
      <c r="K56" s="110">
        <v>15308.519</v>
      </c>
      <c r="L56" s="110">
        <v>17074.634</v>
      </c>
    </row>
    <row r="57" hidden="1" outlineLevel="1">
      <c r="A57" s="109" t="s">
        <v>481</v>
      </c>
      <c r="B57" s="109" t="s">
        <v>482</v>
      </c>
      <c r="C57" s="110">
        <v>8529.296</v>
      </c>
      <c r="D57" s="110">
        <v>9998.679</v>
      </c>
      <c r="E57" s="110">
        <v>9754.813</v>
      </c>
      <c r="F57" s="110">
        <v>9911.596</v>
      </c>
      <c r="G57" s="110">
        <v>9991.544</v>
      </c>
      <c r="H57" s="110">
        <v>10537.671</v>
      </c>
      <c r="I57" s="110">
        <v>10669.599</v>
      </c>
      <c r="J57" s="110">
        <v>13133.804</v>
      </c>
      <c r="K57" s="110">
        <v>14943.727</v>
      </c>
      <c r="L57" s="110">
        <v>16685.384</v>
      </c>
    </row>
    <row r="58" hidden="1" outlineLevel="1">
      <c r="A58" s="109" t="s">
        <v>483</v>
      </c>
      <c r="B58" s="109" t="s">
        <v>484</v>
      </c>
      <c r="C58" s="110">
        <v>17.614</v>
      </c>
      <c r="D58" s="110">
        <v>15.716</v>
      </c>
      <c r="E58" s="110">
        <v>17.252</v>
      </c>
      <c r="F58" s="110">
        <v>17.606</v>
      </c>
      <c r="G58" s="110">
        <v>14.83</v>
      </c>
      <c r="H58" s="110">
        <v>13.274</v>
      </c>
      <c r="I58" s="110">
        <v>265.879</v>
      </c>
      <c r="J58" s="110">
        <v>313.771</v>
      </c>
      <c r="K58" s="110">
        <v>364.792</v>
      </c>
      <c r="L58" s="110">
        <v>389.25</v>
      </c>
    </row>
    <row r="59" hidden="1" outlineLevel="1">
      <c r="A59" s="114" t="s">
        <v>485</v>
      </c>
      <c r="B59" s="114" t="s">
        <v>486</v>
      </c>
      <c r="C59" s="115">
        <v>17.614</v>
      </c>
      <c r="D59" s="115">
        <v>15.716</v>
      </c>
      <c r="E59" s="115">
        <v>17.252</v>
      </c>
      <c r="F59" s="115">
        <v>17.606</v>
      </c>
      <c r="G59" s="115">
        <v>14.83</v>
      </c>
      <c r="H59" s="115">
        <v>13.274</v>
      </c>
      <c r="I59" s="115" t="s">
        <v>130</v>
      </c>
      <c r="J59" s="115" t="s">
        <v>130</v>
      </c>
      <c r="K59" s="115" t="s">
        <v>130</v>
      </c>
      <c r="L59" s="115" t="s">
        <v>130</v>
      </c>
    </row>
    <row r="60" collapsed="1">
      <c r="A60" s="109" t="s">
        <v>487</v>
      </c>
      <c r="B60" s="109" t="s">
        <v>488</v>
      </c>
      <c r="C60" s="110">
        <v>2990.891</v>
      </c>
      <c r="D60" s="110">
        <v>3636.61</v>
      </c>
      <c r="E60" s="110">
        <v>3442.89</v>
      </c>
      <c r="F60" s="110">
        <v>2833.066</v>
      </c>
      <c r="G60" s="110">
        <v>2582.908</v>
      </c>
      <c r="H60" s="110">
        <v>2593.856</v>
      </c>
      <c r="I60" s="110">
        <v>3555.664</v>
      </c>
      <c r="J60" s="110">
        <v>3070.77</v>
      </c>
      <c r="K60" s="110">
        <v>3383.271</v>
      </c>
      <c r="L60" s="110">
        <v>4004.618</v>
      </c>
    </row>
    <row r="61" hidden="1" outlineLevel="1">
      <c r="A61" s="109" t="s">
        <v>489</v>
      </c>
      <c r="B61" s="109" t="s">
        <v>490</v>
      </c>
      <c r="C61" s="110">
        <v>0.0</v>
      </c>
      <c r="D61" s="110">
        <v>0.0</v>
      </c>
      <c r="E61" s="110">
        <v>0.0</v>
      </c>
      <c r="F61" s="110">
        <v>0.0</v>
      </c>
      <c r="G61" s="110">
        <v>0.0</v>
      </c>
      <c r="H61" s="110">
        <v>0.0</v>
      </c>
      <c r="I61" s="110">
        <v>0.0</v>
      </c>
      <c r="J61" s="110">
        <v>0.0</v>
      </c>
      <c r="K61" s="110">
        <v>0.0</v>
      </c>
      <c r="L61" s="110">
        <v>0.0</v>
      </c>
    </row>
    <row r="62" hidden="1" outlineLevel="1">
      <c r="A62" s="109" t="s">
        <v>491</v>
      </c>
      <c r="B62" s="109" t="s">
        <v>492</v>
      </c>
      <c r="C62" s="110">
        <v>767.618</v>
      </c>
      <c r="D62" s="110">
        <v>880.293</v>
      </c>
      <c r="E62" s="110">
        <v>904.911</v>
      </c>
      <c r="F62" s="110">
        <v>905.07</v>
      </c>
      <c r="G62" s="110">
        <v>931.182</v>
      </c>
      <c r="H62" s="110">
        <v>963.406</v>
      </c>
      <c r="I62" s="110">
        <v>1022.161</v>
      </c>
      <c r="J62" s="110">
        <v>1035.096</v>
      </c>
      <c r="K62" s="110">
        <v>1022.749</v>
      </c>
      <c r="L62" s="110">
        <v>1065.508</v>
      </c>
    </row>
    <row r="63" hidden="1" outlineLevel="1">
      <c r="A63" s="109" t="s">
        <v>471</v>
      </c>
      <c r="B63" s="109" t="s">
        <v>493</v>
      </c>
      <c r="C63" s="110">
        <v>0.0</v>
      </c>
      <c r="D63" s="110">
        <v>0.0</v>
      </c>
      <c r="E63" s="110">
        <v>0.0</v>
      </c>
      <c r="F63" s="110">
        <v>0.0</v>
      </c>
      <c r="G63" s="110">
        <v>0.0</v>
      </c>
      <c r="H63" s="110">
        <v>0.0</v>
      </c>
      <c r="I63" s="110">
        <v>0.0</v>
      </c>
      <c r="J63" s="110">
        <v>0.0</v>
      </c>
      <c r="K63" s="110">
        <v>0.0</v>
      </c>
      <c r="L63" s="110">
        <v>0.0</v>
      </c>
    </row>
    <row r="64" hidden="1" outlineLevel="1">
      <c r="A64" s="109" t="s">
        <v>494</v>
      </c>
      <c r="B64" s="109" t="s">
        <v>495</v>
      </c>
      <c r="C64" s="110">
        <v>1811.846</v>
      </c>
      <c r="D64" s="110">
        <v>2298.469</v>
      </c>
      <c r="E64" s="110">
        <v>2046.089</v>
      </c>
      <c r="F64" s="110">
        <v>1423.726</v>
      </c>
      <c r="G64" s="110">
        <v>1118.165</v>
      </c>
      <c r="H64" s="110">
        <v>1014.851</v>
      </c>
      <c r="I64" s="110">
        <v>1198.005</v>
      </c>
      <c r="J64" s="110">
        <v>1247.22</v>
      </c>
      <c r="K64" s="110">
        <v>1354.794</v>
      </c>
      <c r="L64" s="110">
        <v>1802.346</v>
      </c>
    </row>
    <row r="65" hidden="1" outlineLevel="1">
      <c r="A65" s="109" t="s">
        <v>473</v>
      </c>
      <c r="B65" s="109" t="s">
        <v>496</v>
      </c>
      <c r="C65" s="110">
        <v>0.0</v>
      </c>
      <c r="D65" s="110" t="s">
        <v>130</v>
      </c>
      <c r="E65" s="110">
        <v>0.0</v>
      </c>
      <c r="F65" s="110">
        <v>158.383</v>
      </c>
      <c r="G65" s="110">
        <v>0.0</v>
      </c>
      <c r="H65" s="110">
        <v>189.157</v>
      </c>
      <c r="I65" s="110">
        <v>343.557</v>
      </c>
      <c r="J65" s="110">
        <v>226.434</v>
      </c>
      <c r="K65" s="110">
        <v>326.177</v>
      </c>
      <c r="L65" s="110">
        <v>383.184</v>
      </c>
    </row>
    <row r="66" hidden="1" outlineLevel="1">
      <c r="A66" s="109" t="s">
        <v>497</v>
      </c>
      <c r="B66" s="109" t="s">
        <v>498</v>
      </c>
      <c r="C66" s="110">
        <v>411.427</v>
      </c>
      <c r="D66" s="110">
        <v>457.848</v>
      </c>
      <c r="E66" s="110">
        <v>491.89</v>
      </c>
      <c r="F66" s="110">
        <v>345.887</v>
      </c>
      <c r="G66" s="110">
        <v>533.561</v>
      </c>
      <c r="H66" s="110">
        <v>426.442</v>
      </c>
      <c r="I66" s="110">
        <v>991.941</v>
      </c>
      <c r="J66" s="110">
        <v>562.02</v>
      </c>
      <c r="K66" s="110">
        <v>679.551</v>
      </c>
      <c r="L66" s="110">
        <v>753.58</v>
      </c>
    </row>
    <row r="67" collapsed="1">
      <c r="A67" s="106" t="s">
        <v>499</v>
      </c>
      <c r="B67" s="106" t="s">
        <v>500</v>
      </c>
      <c r="C67" s="112">
        <v>11537.801</v>
      </c>
      <c r="D67" s="112">
        <v>13651.005</v>
      </c>
      <c r="E67" s="112">
        <v>13214.955</v>
      </c>
      <c r="F67" s="112">
        <v>12762.268</v>
      </c>
      <c r="G67" s="112">
        <v>12589.282</v>
      </c>
      <c r="H67" s="112">
        <v>13144.801</v>
      </c>
      <c r="I67" s="112">
        <v>14491.142</v>
      </c>
      <c r="J67" s="112">
        <v>16518.345</v>
      </c>
      <c r="K67" s="112">
        <v>18691.79</v>
      </c>
      <c r="L67" s="112">
        <v>21079.252</v>
      </c>
    </row>
    <row r="68">
      <c r="A68" s="106" t="s">
        <v>501</v>
      </c>
      <c r="B68" s="106" t="s">
        <v>502</v>
      </c>
      <c r="C68" s="112">
        <v>26218.486</v>
      </c>
      <c r="D68" s="112">
        <v>30082.501</v>
      </c>
      <c r="E68" s="112">
        <v>29339.411</v>
      </c>
      <c r="F68" s="112">
        <v>30081.233</v>
      </c>
      <c r="G68" s="112">
        <v>30386.173</v>
      </c>
      <c r="H68" s="112">
        <v>31371.739</v>
      </c>
      <c r="I68" s="112">
        <v>32633.351</v>
      </c>
      <c r="J68" s="112">
        <v>37978.811</v>
      </c>
      <c r="K68" s="112">
        <v>40533.951</v>
      </c>
      <c r="L68" s="112">
        <v>45038.967</v>
      </c>
      <c r="O68" s="130">
        <f>(L68-L7-L8)/L76</f>
        <v>0.9982587067</v>
      </c>
    </row>
    <row r="69">
      <c r="A69" s="109" t="s">
        <v>503</v>
      </c>
      <c r="B69" s="109" t="s">
        <v>504</v>
      </c>
      <c r="C69" s="110">
        <v>0.0</v>
      </c>
      <c r="D69" s="110">
        <v>0.0</v>
      </c>
      <c r="E69" s="110">
        <v>479.779</v>
      </c>
      <c r="F69" s="110">
        <v>485.877</v>
      </c>
      <c r="G69" s="110">
        <v>491.974</v>
      </c>
      <c r="H69" s="110">
        <v>498.073</v>
      </c>
      <c r="I69" s="110">
        <v>0.0</v>
      </c>
      <c r="J69" s="110">
        <v>0.0</v>
      </c>
      <c r="K69" s="110">
        <v>0.0</v>
      </c>
      <c r="L69" s="110">
        <v>0.0</v>
      </c>
    </row>
    <row r="70">
      <c r="A70" s="109" t="s">
        <v>505</v>
      </c>
      <c r="B70" s="109" t="s">
        <v>506</v>
      </c>
      <c r="C70" s="110">
        <v>948.358</v>
      </c>
      <c r="D70" s="110">
        <v>944.104</v>
      </c>
      <c r="E70" s="110">
        <v>945.211</v>
      </c>
      <c r="F70" s="110">
        <v>881.063</v>
      </c>
      <c r="G70" s="110">
        <v>884.552</v>
      </c>
      <c r="H70" s="110">
        <v>884.212</v>
      </c>
      <c r="I70" s="110">
        <v>886.384</v>
      </c>
      <c r="J70" s="110">
        <v>894.325</v>
      </c>
      <c r="K70" s="110">
        <v>895.625</v>
      </c>
      <c r="L70" s="110">
        <v>895.778</v>
      </c>
    </row>
    <row r="71" hidden="1" outlineLevel="1">
      <c r="A71" s="109" t="s">
        <v>507</v>
      </c>
      <c r="B71" s="109" t="s">
        <v>508</v>
      </c>
      <c r="C71" s="110">
        <v>397.05</v>
      </c>
      <c r="D71" s="110">
        <v>397.05</v>
      </c>
      <c r="E71" s="110">
        <v>397.05</v>
      </c>
      <c r="F71" s="110">
        <v>397.05</v>
      </c>
      <c r="G71" s="110">
        <v>397.05</v>
      </c>
      <c r="H71" s="110">
        <v>397.05</v>
      </c>
      <c r="I71" s="110">
        <v>397.05</v>
      </c>
      <c r="J71" s="110">
        <v>397.05</v>
      </c>
      <c r="K71" s="110">
        <v>397.05</v>
      </c>
      <c r="L71" s="110">
        <v>397.05</v>
      </c>
    </row>
    <row r="72" hidden="1" outlineLevel="1">
      <c r="A72" s="109" t="s">
        <v>509</v>
      </c>
      <c r="B72" s="109" t="s">
        <v>510</v>
      </c>
      <c r="C72" s="110">
        <v>551.308</v>
      </c>
      <c r="D72" s="110">
        <v>547.054</v>
      </c>
      <c r="E72" s="110">
        <v>548.161</v>
      </c>
      <c r="F72" s="110">
        <v>484.013</v>
      </c>
      <c r="G72" s="110">
        <v>487.502</v>
      </c>
      <c r="H72" s="110">
        <v>487.162</v>
      </c>
      <c r="I72" s="110">
        <v>489.334</v>
      </c>
      <c r="J72" s="110">
        <v>497.275</v>
      </c>
      <c r="K72" s="110">
        <v>498.575</v>
      </c>
      <c r="L72" s="110">
        <v>498.728</v>
      </c>
    </row>
    <row r="73" collapsed="1">
      <c r="A73" s="109" t="s">
        <v>511</v>
      </c>
      <c r="B73" s="109" t="s">
        <v>512</v>
      </c>
      <c r="C73" s="110">
        <v>1123.666</v>
      </c>
      <c r="D73" s="110">
        <v>1225.465</v>
      </c>
      <c r="E73" s="110">
        <v>1603.284</v>
      </c>
      <c r="F73" s="110">
        <v>1608.243</v>
      </c>
      <c r="G73" s="110">
        <v>2057.733</v>
      </c>
      <c r="H73" s="110">
        <v>2606.925</v>
      </c>
      <c r="I73" s="110">
        <v>3087.106</v>
      </c>
      <c r="J73" s="110">
        <v>2901.68</v>
      </c>
      <c r="K73" s="110">
        <v>3306.037</v>
      </c>
      <c r="L73" s="110">
        <v>3736.562</v>
      </c>
    </row>
    <row r="74">
      <c r="A74" s="109" t="s">
        <v>513</v>
      </c>
      <c r="B74" s="109" t="s">
        <v>514</v>
      </c>
      <c r="C74" s="110">
        <v>14116.295</v>
      </c>
      <c r="D74" s="110">
        <v>15591.947</v>
      </c>
      <c r="E74" s="110">
        <v>16794.24</v>
      </c>
      <c r="F74" s="110">
        <v>17601.07</v>
      </c>
      <c r="G74" s="110">
        <v>19473.464</v>
      </c>
      <c r="H74" s="110">
        <v>21987.515</v>
      </c>
      <c r="I74" s="110">
        <v>22126.942</v>
      </c>
      <c r="J74" s="110">
        <v>23997.057</v>
      </c>
      <c r="K74" s="110">
        <v>26453.127</v>
      </c>
      <c r="L74" s="110">
        <v>28343.295</v>
      </c>
    </row>
    <row r="75">
      <c r="A75" s="109" t="s">
        <v>515</v>
      </c>
      <c r="B75" s="109" t="s">
        <v>516</v>
      </c>
      <c r="C75" s="110">
        <v>528.161</v>
      </c>
      <c r="D75" s="110">
        <v>1477.545</v>
      </c>
      <c r="E75" s="110">
        <v>610.768</v>
      </c>
      <c r="F75" s="110">
        <v>640.922</v>
      </c>
      <c r="G75" s="110">
        <v>435.699</v>
      </c>
      <c r="H75" s="110">
        <v>-916.65</v>
      </c>
      <c r="I75" s="110">
        <v>585.549</v>
      </c>
      <c r="J75" s="110">
        <v>1307.726</v>
      </c>
      <c r="K75" s="110">
        <v>2203.254</v>
      </c>
      <c r="L75" s="110">
        <v>2836.195</v>
      </c>
    </row>
    <row r="76">
      <c r="A76" s="106" t="s">
        <v>517</v>
      </c>
      <c r="B76" s="106" t="s">
        <v>518</v>
      </c>
      <c r="C76" s="112">
        <v>14469.148</v>
      </c>
      <c r="D76" s="112">
        <v>16788.131</v>
      </c>
      <c r="E76" s="112">
        <v>17226.714</v>
      </c>
      <c r="F76" s="112">
        <v>18000.689</v>
      </c>
      <c r="G76" s="112">
        <v>19227.956</v>
      </c>
      <c r="H76" s="112">
        <v>19846.225</v>
      </c>
      <c r="I76" s="112">
        <v>20618.888</v>
      </c>
      <c r="J76" s="112">
        <v>23404.547</v>
      </c>
      <c r="K76" s="112">
        <v>26245.969</v>
      </c>
      <c r="L76" s="112">
        <v>28338.706</v>
      </c>
    </row>
    <row r="77">
      <c r="A77" s="109" t="s">
        <v>519</v>
      </c>
      <c r="B77" s="109" t="s">
        <v>520</v>
      </c>
      <c r="C77" s="110">
        <v>749.839</v>
      </c>
      <c r="D77" s="110">
        <v>859.198</v>
      </c>
      <c r="E77" s="110">
        <v>861.472</v>
      </c>
      <c r="F77" s="110">
        <v>668.264</v>
      </c>
      <c r="G77" s="110">
        <v>694.12</v>
      </c>
      <c r="H77" s="110">
        <v>718.985</v>
      </c>
      <c r="I77" s="110">
        <v>720.124</v>
      </c>
      <c r="J77" s="110">
        <v>883.782</v>
      </c>
      <c r="K77" s="110">
        <v>908.851</v>
      </c>
      <c r="L77" s="110">
        <v>925.507</v>
      </c>
    </row>
    <row r="78">
      <c r="A78" s="106" t="s">
        <v>521</v>
      </c>
      <c r="B78" s="106" t="s">
        <v>522</v>
      </c>
      <c r="C78" s="112">
        <v>15218.987</v>
      </c>
      <c r="D78" s="112">
        <v>17647.329</v>
      </c>
      <c r="E78" s="112">
        <v>18088.186</v>
      </c>
      <c r="F78" s="112">
        <v>18668.953</v>
      </c>
      <c r="G78" s="112">
        <v>19922.076</v>
      </c>
      <c r="H78" s="112">
        <v>20565.21</v>
      </c>
      <c r="I78" s="112">
        <v>21231.893</v>
      </c>
      <c r="J78" s="112">
        <v>24181.21</v>
      </c>
      <c r="K78" s="112">
        <v>27154.82</v>
      </c>
      <c r="L78" s="112">
        <v>29264.213</v>
      </c>
    </row>
    <row r="79">
      <c r="A79" s="106" t="s">
        <v>523</v>
      </c>
      <c r="B79" s="106" t="s">
        <v>524</v>
      </c>
      <c r="C79" s="112">
        <v>41437.473</v>
      </c>
      <c r="D79" s="112">
        <v>47729.83</v>
      </c>
      <c r="E79" s="112">
        <v>47427.597</v>
      </c>
      <c r="F79" s="112">
        <v>48750.186</v>
      </c>
      <c r="G79" s="112">
        <v>50308.249</v>
      </c>
      <c r="H79" s="112">
        <v>51936.949</v>
      </c>
      <c r="I79" s="112">
        <v>53865.244</v>
      </c>
      <c r="J79" s="112">
        <v>62160.021</v>
      </c>
      <c r="K79" s="112">
        <v>67688.771</v>
      </c>
      <c r="L79" s="112">
        <v>74303.18</v>
      </c>
    </row>
    <row r="80">
      <c r="A80" s="106"/>
      <c r="B80" s="107"/>
      <c r="C80" s="107"/>
      <c r="D80" s="107"/>
      <c r="E80" s="107"/>
      <c r="F80" s="107"/>
      <c r="G80" s="107"/>
      <c r="H80" s="107"/>
      <c r="I80" s="107"/>
      <c r="J80" s="107"/>
      <c r="K80" s="107"/>
      <c r="L80" s="107"/>
    </row>
    <row r="81">
      <c r="A81" s="106" t="s">
        <v>208</v>
      </c>
      <c r="B81" s="107"/>
      <c r="C81" s="107"/>
      <c r="D81" s="107"/>
      <c r="E81" s="107"/>
      <c r="F81" s="107"/>
      <c r="G81" s="107"/>
      <c r="H81" s="107"/>
      <c r="I81" s="107"/>
      <c r="J81" s="107"/>
      <c r="K81" s="107"/>
      <c r="L81" s="107"/>
    </row>
    <row r="82">
      <c r="A82" s="109" t="s">
        <v>355</v>
      </c>
      <c r="B82" s="109" t="s">
        <v>356</v>
      </c>
      <c r="C82" s="133" t="s">
        <v>357</v>
      </c>
      <c r="D82" s="133" t="s">
        <v>357</v>
      </c>
      <c r="E82" s="133" t="s">
        <v>357</v>
      </c>
      <c r="F82" s="133" t="s">
        <v>357</v>
      </c>
      <c r="G82" s="133" t="s">
        <v>357</v>
      </c>
      <c r="H82" s="133" t="s">
        <v>357</v>
      </c>
      <c r="I82" s="133" t="s">
        <v>358</v>
      </c>
      <c r="J82" s="133" t="s">
        <v>358</v>
      </c>
      <c r="K82" s="133" t="s">
        <v>358</v>
      </c>
      <c r="L82" s="133" t="s">
        <v>358</v>
      </c>
    </row>
    <row r="83">
      <c r="A83" s="109" t="s">
        <v>525</v>
      </c>
      <c r="B83" s="109" t="s">
        <v>526</v>
      </c>
      <c r="C83" s="110">
        <v>15848.83</v>
      </c>
      <c r="D83" s="110">
        <v>15734.07</v>
      </c>
      <c r="E83" s="110">
        <v>15188.38</v>
      </c>
      <c r="F83" s="110">
        <v>14873.615</v>
      </c>
      <c r="G83" s="110">
        <v>14549.62</v>
      </c>
      <c r="H83" s="110">
        <v>14162.195</v>
      </c>
      <c r="I83" s="110">
        <v>13830.765</v>
      </c>
      <c r="J83" s="110">
        <v>13979.745</v>
      </c>
      <c r="K83" s="110">
        <v>13778.302</v>
      </c>
      <c r="L83" s="110">
        <v>13565.18</v>
      </c>
    </row>
    <row r="84">
      <c r="A84" s="109" t="s">
        <v>527</v>
      </c>
      <c r="B84" s="109" t="s">
        <v>528</v>
      </c>
      <c r="C84" s="110">
        <v>1391.1574</v>
      </c>
      <c r="D84" s="110">
        <v>1355.9193</v>
      </c>
      <c r="E84" s="110">
        <v>1501.6081</v>
      </c>
      <c r="F84" s="110">
        <v>1441.3732</v>
      </c>
      <c r="G84" s="110">
        <v>1765.3675</v>
      </c>
      <c r="H84" s="110">
        <v>2152.7916</v>
      </c>
      <c r="I84" s="110">
        <v>2484.2248</v>
      </c>
      <c r="J84" s="110">
        <v>2335.2442</v>
      </c>
      <c r="K84" s="110">
        <v>2536.6859</v>
      </c>
      <c r="L84" s="110">
        <v>2749.8077</v>
      </c>
    </row>
    <row r="85">
      <c r="A85" s="109" t="s">
        <v>529</v>
      </c>
      <c r="B85" s="109" t="s">
        <v>530</v>
      </c>
      <c r="C85" s="110">
        <v>767.618</v>
      </c>
      <c r="D85" s="110">
        <v>880.293</v>
      </c>
      <c r="E85" s="110">
        <v>904.911</v>
      </c>
      <c r="F85" s="110">
        <v>905.07</v>
      </c>
      <c r="G85" s="110">
        <v>931.182</v>
      </c>
      <c r="H85" s="110">
        <v>963.406</v>
      </c>
      <c r="I85" s="110">
        <v>1022.161</v>
      </c>
      <c r="J85" s="110">
        <v>1035.096</v>
      </c>
      <c r="K85" s="110">
        <v>1022.749</v>
      </c>
      <c r="L85" s="110">
        <v>1065.508</v>
      </c>
    </row>
    <row r="86">
      <c r="A86" s="109" t="s">
        <v>531</v>
      </c>
      <c r="B86" s="109" t="s">
        <v>532</v>
      </c>
      <c r="C86" s="110">
        <v>62.571</v>
      </c>
      <c r="D86" s="110">
        <v>76.374</v>
      </c>
      <c r="E86" s="110">
        <v>69.407</v>
      </c>
      <c r="F86" s="110">
        <v>80.515</v>
      </c>
      <c r="G86" s="110">
        <v>76.849</v>
      </c>
      <c r="H86" s="110">
        <v>92.187</v>
      </c>
      <c r="I86" s="110" t="s">
        <v>130</v>
      </c>
      <c r="J86" s="110">
        <v>403.757</v>
      </c>
      <c r="K86" s="110">
        <v>466.661</v>
      </c>
      <c r="L86" s="110">
        <v>507.902</v>
      </c>
    </row>
    <row r="87">
      <c r="A87" s="109" t="s">
        <v>533</v>
      </c>
      <c r="B87" s="109" t="s">
        <v>534</v>
      </c>
      <c r="C87" s="110">
        <v>21.796</v>
      </c>
      <c r="D87" s="110">
        <v>19.459</v>
      </c>
      <c r="E87" s="110">
        <v>21.502</v>
      </c>
      <c r="F87" s="110">
        <v>22.249</v>
      </c>
      <c r="G87" s="110">
        <v>20.626</v>
      </c>
      <c r="H87" s="110">
        <v>19.021</v>
      </c>
      <c r="I87" s="110" t="s">
        <v>130</v>
      </c>
      <c r="J87" s="110" t="s">
        <v>130</v>
      </c>
      <c r="K87" s="110" t="s">
        <v>130</v>
      </c>
      <c r="L87" s="110" t="s">
        <v>130</v>
      </c>
    </row>
    <row r="88">
      <c r="A88" s="109" t="s">
        <v>535</v>
      </c>
      <c r="B88" s="109" t="s">
        <v>536</v>
      </c>
      <c r="C88" s="117">
        <v>30.36</v>
      </c>
      <c r="D88" s="117">
        <v>31.12</v>
      </c>
      <c r="E88" s="117">
        <v>26.84</v>
      </c>
      <c r="F88" s="117">
        <v>24.26</v>
      </c>
      <c r="G88" s="117">
        <v>22.36</v>
      </c>
      <c r="H88" s="117">
        <v>20.62</v>
      </c>
      <c r="I88" s="117">
        <v>19.72</v>
      </c>
      <c r="J88" s="117">
        <v>20.57</v>
      </c>
      <c r="K88" s="117">
        <v>19.27</v>
      </c>
      <c r="L88" s="117">
        <v>18.16</v>
      </c>
    </row>
    <row r="89">
      <c r="A89" s="109" t="s">
        <v>537</v>
      </c>
      <c r="B89" s="109" t="s">
        <v>538</v>
      </c>
      <c r="C89" s="117">
        <v>582391.0</v>
      </c>
      <c r="D89" s="117">
        <v>469914.0</v>
      </c>
      <c r="E89" s="117">
        <v>577044.0</v>
      </c>
      <c r="F89" s="117">
        <v>575789.0</v>
      </c>
      <c r="G89" s="117">
        <v>520734.0</v>
      </c>
      <c r="H89" s="117">
        <v>511048.0</v>
      </c>
      <c r="I89" s="117">
        <v>464340.0</v>
      </c>
      <c r="J89" s="117">
        <v>439125.0</v>
      </c>
      <c r="K89" s="117">
        <v>753447.0</v>
      </c>
      <c r="L89" s="117">
        <v>911397.0</v>
      </c>
    </row>
    <row r="90">
      <c r="A90" s="109" t="s">
        <v>539</v>
      </c>
      <c r="B90" s="109" t="s">
        <v>540</v>
      </c>
      <c r="C90" s="110">
        <v>0.0</v>
      </c>
      <c r="D90" s="110">
        <v>0.0</v>
      </c>
      <c r="E90" s="110">
        <v>0.0</v>
      </c>
      <c r="F90" s="110">
        <v>0.0</v>
      </c>
      <c r="G90" s="110">
        <v>0.0</v>
      </c>
      <c r="H90" s="110">
        <v>0.0</v>
      </c>
      <c r="I90" s="110">
        <v>0.0</v>
      </c>
      <c r="J90" s="110">
        <v>0.0</v>
      </c>
      <c r="K90" s="110">
        <v>0.0</v>
      </c>
      <c r="L90" s="110">
        <v>0.0</v>
      </c>
    </row>
    <row r="91">
      <c r="A91" s="109" t="s">
        <v>541</v>
      </c>
      <c r="B91" s="109" t="s">
        <v>542</v>
      </c>
      <c r="C91" s="110">
        <v>36.6545</v>
      </c>
      <c r="D91" s="110">
        <v>17.5175</v>
      </c>
      <c r="E91" s="110">
        <v>10.4675</v>
      </c>
      <c r="F91" s="110">
        <v>5.9615</v>
      </c>
      <c r="G91" s="110">
        <v>1.418</v>
      </c>
      <c r="H91" s="110">
        <v>0.0</v>
      </c>
      <c r="I91" s="110">
        <v>0.0</v>
      </c>
      <c r="J91" s="110">
        <v>0.0</v>
      </c>
      <c r="K91" s="110">
        <v>0.0</v>
      </c>
      <c r="L91" s="110">
        <v>0.0</v>
      </c>
    </row>
    <row r="92">
      <c r="A92" s="109" t="s">
        <v>543</v>
      </c>
      <c r="B92" s="109" t="s">
        <v>544</v>
      </c>
      <c r="C92" s="110">
        <v>12059.139</v>
      </c>
      <c r="D92" s="110">
        <v>13761.91</v>
      </c>
      <c r="E92" s="110">
        <v>12810.302</v>
      </c>
      <c r="F92" s="110">
        <v>-3323.122</v>
      </c>
      <c r="G92" s="110">
        <v>-3473.574</v>
      </c>
      <c r="H92" s="110">
        <v>-3487.568</v>
      </c>
      <c r="I92" s="110">
        <v>-2590.925</v>
      </c>
      <c r="J92" s="110">
        <v>-3617.959</v>
      </c>
      <c r="K92" s="110">
        <v>-4226.329</v>
      </c>
      <c r="L92" s="110">
        <v>-4540.337</v>
      </c>
    </row>
    <row r="93">
      <c r="A93" s="109" t="s">
        <v>545</v>
      </c>
      <c r="B93" s="109" t="s">
        <v>546</v>
      </c>
      <c r="C93" s="117">
        <v>79.2375</v>
      </c>
      <c r="D93" s="117">
        <v>77.983</v>
      </c>
      <c r="E93" s="117">
        <v>70.8214</v>
      </c>
      <c r="F93" s="117">
        <v>-17.8003</v>
      </c>
      <c r="G93" s="117">
        <v>-17.4358</v>
      </c>
      <c r="H93" s="117">
        <v>-16.9586</v>
      </c>
      <c r="I93" s="117">
        <v>-12.203</v>
      </c>
      <c r="J93" s="117">
        <v>-14.9619</v>
      </c>
      <c r="K93" s="117">
        <v>-15.5638</v>
      </c>
      <c r="L93" s="117">
        <v>-15.515</v>
      </c>
    </row>
    <row r="94">
      <c r="A94" s="109" t="s">
        <v>547</v>
      </c>
      <c r="B94" s="109" t="s">
        <v>548</v>
      </c>
      <c r="C94" s="117">
        <v>34.918</v>
      </c>
      <c r="D94" s="117">
        <v>35.1732</v>
      </c>
      <c r="E94" s="117">
        <v>35.3105</v>
      </c>
      <c r="F94" s="117">
        <v>35.9277</v>
      </c>
      <c r="G94" s="117">
        <v>37.2424</v>
      </c>
      <c r="H94" s="117">
        <v>37.2532</v>
      </c>
      <c r="I94" s="117">
        <v>36.8336</v>
      </c>
      <c r="J94" s="117">
        <v>36.2808</v>
      </c>
      <c r="K94" s="117">
        <v>37.677</v>
      </c>
      <c r="L94" s="117">
        <v>37.0816</v>
      </c>
    </row>
    <row r="95">
      <c r="A95" s="109" t="s">
        <v>549</v>
      </c>
      <c r="B95" s="109" t="s">
        <v>550</v>
      </c>
      <c r="C95" s="117">
        <v>1.0706</v>
      </c>
      <c r="D95" s="117">
        <v>1.0916</v>
      </c>
      <c r="E95" s="117">
        <v>1.1293</v>
      </c>
      <c r="F95" s="117">
        <v>1.0297</v>
      </c>
      <c r="G95" s="117">
        <v>1.02</v>
      </c>
      <c r="H95" s="117">
        <v>1.0358</v>
      </c>
      <c r="I95" s="117">
        <v>1.0453</v>
      </c>
      <c r="J95" s="117">
        <v>1.0613</v>
      </c>
      <c r="K95" s="117">
        <v>1.0861</v>
      </c>
      <c r="L95" s="117">
        <v>1.1043</v>
      </c>
    </row>
    <row r="96">
      <c r="A96" s="109" t="s">
        <v>551</v>
      </c>
      <c r="B96" s="109" t="s">
        <v>552</v>
      </c>
      <c r="C96" s="117">
        <v>98.7111</v>
      </c>
      <c r="D96" s="117">
        <v>102.5928</v>
      </c>
      <c r="E96" s="117">
        <v>99.7049</v>
      </c>
      <c r="F96" s="117">
        <v>103.8028</v>
      </c>
      <c r="G96" s="117">
        <v>103.3897</v>
      </c>
      <c r="H96" s="117">
        <v>106.109</v>
      </c>
      <c r="I96" s="117">
        <v>109.8711</v>
      </c>
      <c r="J96" s="117">
        <v>120.5432</v>
      </c>
      <c r="K96" s="117">
        <v>114.153</v>
      </c>
      <c r="L96" s="117">
        <v>112.4983</v>
      </c>
    </row>
    <row r="97">
      <c r="A97" s="109" t="s">
        <v>553</v>
      </c>
      <c r="B97" s="109" t="s">
        <v>554</v>
      </c>
      <c r="C97" s="117">
        <v>338875.0</v>
      </c>
      <c r="D97" s="117">
        <v>344109.0</v>
      </c>
      <c r="E97" s="117">
        <v>348877.0</v>
      </c>
      <c r="F97" s="117">
        <v>364445.0</v>
      </c>
      <c r="G97" s="117">
        <v>369124.0</v>
      </c>
      <c r="H97" s="117">
        <v>370870.0</v>
      </c>
      <c r="I97" s="117">
        <v>361907.0</v>
      </c>
      <c r="J97" s="117">
        <v>366283.0</v>
      </c>
      <c r="K97" s="117">
        <v>372817.0</v>
      </c>
      <c r="L97" s="117">
        <v>375235.0</v>
      </c>
    </row>
    <row r="98">
      <c r="A98" s="123" t="s">
        <v>226</v>
      </c>
      <c r="B98" s="123"/>
      <c r="C98" s="123" t="s">
        <v>227</v>
      </c>
      <c r="D98" s="123"/>
      <c r="E98" s="123"/>
      <c r="F98" s="123"/>
      <c r="G98" s="123"/>
      <c r="H98" s="123"/>
      <c r="I98" s="123"/>
      <c r="J98" s="123"/>
      <c r="K98" s="123"/>
      <c r="L98" s="123"/>
    </row>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