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435" windowHeight="9765" activeTab="1"/>
  </bookViews>
  <sheets>
    <sheet name="学习中心教室建设模型" sheetId="5" r:id="rId1"/>
    <sheet name="学习中心首年建设资金及盈利模型" sheetId="3" r:id="rId2"/>
  </sheets>
  <calcPr calcId="144525"/>
</workbook>
</file>

<file path=xl/calcChain.xml><?xml version="1.0" encoding="utf-8"?>
<calcChain xmlns="http://schemas.openxmlformats.org/spreadsheetml/2006/main">
  <c r="O7" i="3" l="1"/>
  <c r="G33" i="3"/>
  <c r="C5" i="3"/>
  <c r="L5" i="3" s="1"/>
  <c r="P40" i="3"/>
  <c r="I26" i="5"/>
  <c r="I27" i="5"/>
  <c r="F7" i="3"/>
  <c r="C76" i="3"/>
  <c r="C75" i="3"/>
  <c r="M70" i="3"/>
  <c r="M64" i="3"/>
  <c r="L63" i="3"/>
  <c r="L64" i="3"/>
  <c r="L65" i="3"/>
  <c r="L66" i="3"/>
  <c r="L70" i="3"/>
  <c r="L75" i="3"/>
  <c r="L76" i="3"/>
  <c r="L78" i="3"/>
  <c r="L82" i="3"/>
  <c r="L83" i="3"/>
  <c r="Q83" i="3" s="1"/>
  <c r="L62" i="3"/>
  <c r="P73" i="3"/>
  <c r="O73" i="3"/>
  <c r="N73" i="3"/>
  <c r="Q70" i="3"/>
  <c r="P67" i="3"/>
  <c r="O67" i="3"/>
  <c r="N67" i="3"/>
  <c r="P62" i="3"/>
  <c r="O62" i="3"/>
  <c r="N62" i="3"/>
  <c r="O27" i="3"/>
  <c r="F27" i="3"/>
  <c r="C27" i="3"/>
  <c r="L27" i="3" s="1"/>
  <c r="C7" i="3"/>
  <c r="L7" i="3" s="1"/>
  <c r="P53" i="3"/>
  <c r="L46" i="3"/>
  <c r="M65" i="3" s="1"/>
  <c r="L45" i="3"/>
  <c r="L44" i="3"/>
  <c r="P50" i="3" s="1"/>
  <c r="M75" i="3" s="1"/>
  <c r="P39" i="3"/>
  <c r="P38" i="3"/>
  <c r="P49" i="3" l="1"/>
  <c r="M63" i="3"/>
  <c r="M68" i="3" s="1"/>
  <c r="P34" i="3"/>
  <c r="P42" i="3" s="1"/>
  <c r="M79" i="3"/>
  <c r="M77" i="3"/>
  <c r="M69" i="3"/>
  <c r="M67" i="3"/>
  <c r="M71" i="3" s="1"/>
  <c r="M72" i="3" s="1"/>
  <c r="M62" i="3"/>
  <c r="M66" i="3" s="1"/>
  <c r="Q82" i="3"/>
  <c r="Q66" i="3"/>
  <c r="Q76" i="3"/>
  <c r="Q78" i="3"/>
  <c r="L55" i="3"/>
  <c r="P47" i="3" s="1"/>
  <c r="M74" i="3" s="1"/>
  <c r="P33" i="3"/>
  <c r="P45" i="3"/>
  <c r="P46" i="3" s="1"/>
  <c r="P48" i="3"/>
  <c r="C4" i="5"/>
  <c r="J26" i="5" s="1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11" i="5"/>
  <c r="I10" i="5"/>
  <c r="E9" i="5"/>
  <c r="D9" i="5"/>
  <c r="C9" i="5"/>
  <c r="E8" i="5"/>
  <c r="D8" i="5"/>
  <c r="C8" i="5"/>
  <c r="P44" i="3" l="1"/>
  <c r="M76" i="3" s="1"/>
  <c r="Q75" i="3"/>
  <c r="P54" i="3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7" i="5"/>
  <c r="F9" i="5" a="1"/>
  <c r="F9" i="5" s="1"/>
  <c r="G9" i="5" a="1"/>
  <c r="G9" i="5" s="1"/>
  <c r="H9" i="5" a="1"/>
  <c r="H9" i="5" s="1"/>
  <c r="F8" i="5" a="1"/>
  <c r="F8" i="5" s="1"/>
  <c r="G8" i="5" a="1"/>
  <c r="G8" i="5" s="1"/>
  <c r="H8" i="5" a="1"/>
  <c r="H8" i="5" s="1"/>
  <c r="P55" i="3" l="1"/>
  <c r="L56" i="3" s="1"/>
  <c r="M78" i="3"/>
  <c r="J8" i="5"/>
  <c r="J28" i="5"/>
  <c r="J9" i="5"/>
  <c r="I8" i="5"/>
  <c r="I9" i="5"/>
  <c r="C79" i="3" l="1"/>
  <c r="L79" i="3" s="1"/>
  <c r="Q79" i="3" s="1"/>
  <c r="C70" i="3"/>
  <c r="C69" i="3"/>
  <c r="L69" i="3" s="1"/>
  <c r="Q69" i="3" s="1"/>
  <c r="D73" i="3"/>
  <c r="E73" i="3"/>
  <c r="F73" i="3"/>
  <c r="G73" i="3"/>
  <c r="D67" i="3"/>
  <c r="E67" i="3"/>
  <c r="F67" i="3"/>
  <c r="G67" i="3"/>
  <c r="G40" i="3"/>
  <c r="G39" i="3"/>
  <c r="G53" i="3"/>
  <c r="G38" i="3"/>
  <c r="G37" i="3"/>
  <c r="G36" i="3"/>
  <c r="G35" i="3"/>
  <c r="G34" i="3"/>
  <c r="C77" i="3" s="1"/>
  <c r="L77" i="3" s="1"/>
  <c r="Q77" i="3" s="1"/>
  <c r="D62" i="3"/>
  <c r="E62" i="3"/>
  <c r="F62" i="3"/>
  <c r="G62" i="3"/>
  <c r="C80" i="3" l="1"/>
  <c r="L80" i="3" s="1"/>
  <c r="Q80" i="3" s="1"/>
  <c r="M80" i="3"/>
  <c r="M73" i="3" s="1"/>
  <c r="M81" i="3" s="1"/>
  <c r="M84" i="3" s="1"/>
  <c r="C46" i="3"/>
  <c r="C65" i="3" s="1"/>
  <c r="C45" i="3"/>
  <c r="C44" i="3"/>
  <c r="C42" i="3"/>
  <c r="M85" i="3" l="1"/>
  <c r="M86" i="3" s="1"/>
  <c r="M87" i="3" s="1"/>
  <c r="C64" i="3"/>
  <c r="G49" i="3"/>
  <c r="G45" i="3"/>
  <c r="G46" i="3" s="1"/>
  <c r="C63" i="3"/>
  <c r="G50" i="3"/>
  <c r="G48" i="3"/>
  <c r="G42" i="3"/>
  <c r="C43" i="3" s="1"/>
  <c r="C55" i="3"/>
  <c r="C74" i="3" l="1"/>
  <c r="L74" i="3" s="1"/>
  <c r="Q74" i="3" s="1"/>
  <c r="Q73" i="3" s="1"/>
  <c r="C78" i="3"/>
  <c r="G54" i="3"/>
  <c r="G44" i="3"/>
  <c r="G55" i="3" s="1"/>
  <c r="C56" i="3" s="1"/>
  <c r="C57" i="3" s="1"/>
  <c r="L32" i="3" s="1"/>
  <c r="L42" i="3" s="1"/>
  <c r="L43" i="3" s="1"/>
  <c r="L57" i="3" s="1"/>
  <c r="G47" i="3"/>
  <c r="C68" i="3"/>
  <c r="L68" i="3" s="1"/>
  <c r="Q68" i="3" s="1"/>
  <c r="Q67" i="3" s="1"/>
  <c r="Q72" i="3" s="1"/>
  <c r="C62" i="3"/>
  <c r="Q81" i="3" l="1"/>
  <c r="H74" i="3"/>
  <c r="H76" i="3"/>
  <c r="C67" i="3"/>
  <c r="L67" i="3" s="1"/>
  <c r="H68" i="3"/>
  <c r="H82" i="3"/>
  <c r="H83" i="3"/>
  <c r="H80" i="3"/>
  <c r="H70" i="3"/>
  <c r="H69" i="3"/>
  <c r="H77" i="3"/>
  <c r="H79" i="3"/>
  <c r="H78" i="3"/>
  <c r="H75" i="3"/>
  <c r="C66" i="3"/>
  <c r="C73" i="3"/>
  <c r="L73" i="3" s="1"/>
  <c r="H73" i="3" l="1"/>
  <c r="C71" i="3"/>
  <c r="H66" i="3"/>
  <c r="H67" i="3"/>
  <c r="C72" i="3" l="1"/>
  <c r="L72" i="3" s="1"/>
  <c r="L71" i="3"/>
  <c r="C81" i="3"/>
  <c r="H72" i="3"/>
  <c r="H81" i="3" s="1"/>
  <c r="C84" i="3" l="1"/>
  <c r="L81" i="3"/>
  <c r="C85" i="3" l="1"/>
  <c r="L84" i="3"/>
  <c r="L85" i="3" l="1"/>
  <c r="Q85" i="3" s="1"/>
  <c r="Q87" i="3" s="1"/>
  <c r="H85" i="3"/>
  <c r="H87" i="3" s="1"/>
  <c r="C86" i="3"/>
  <c r="C87" i="3" l="1"/>
  <c r="L87" i="3" s="1"/>
  <c r="L86" i="3"/>
</calcChain>
</file>

<file path=xl/comments1.xml><?xml version="1.0" encoding="utf-8"?>
<comments xmlns="http://schemas.openxmlformats.org/spreadsheetml/2006/main">
  <authors>
    <author>fu</author>
    <author>tangwei</author>
  </authors>
  <commentList>
    <comment ref="C3" authorId="0">
      <text>
        <r>
          <rPr>
            <b/>
            <sz val="9"/>
            <color indexed="81"/>
            <rFont val="宋体"/>
            <family val="3"/>
            <charset val="134"/>
          </rPr>
          <t>fu:</t>
        </r>
        <r>
          <rPr>
            <sz val="9"/>
            <color indexed="81"/>
            <rFont val="宋体"/>
            <family val="3"/>
            <charset val="134"/>
          </rPr>
          <t xml:space="preserve">
链接至第二页</t>
        </r>
      </text>
    </comment>
    <comment ref="F3" authorId="0">
      <text>
        <r>
          <rPr>
            <b/>
            <sz val="9"/>
            <color indexed="81"/>
            <rFont val="宋体"/>
            <family val="3"/>
            <charset val="134"/>
          </rPr>
          <t>fu:</t>
        </r>
        <r>
          <rPr>
            <sz val="9"/>
            <color indexed="81"/>
            <rFont val="宋体"/>
            <family val="3"/>
            <charset val="134"/>
          </rPr>
          <t xml:space="preserve">
链接至第二页签</t>
        </r>
      </text>
    </comment>
    <comment ref="J3" authorId="0">
      <text>
        <r>
          <rPr>
            <b/>
            <sz val="9"/>
            <color indexed="81"/>
            <rFont val="宋体"/>
            <family val="3"/>
            <charset val="134"/>
          </rPr>
          <t>fu:</t>
        </r>
        <r>
          <rPr>
            <sz val="9"/>
            <color indexed="81"/>
            <rFont val="宋体"/>
            <family val="3"/>
            <charset val="134"/>
          </rPr>
          <t xml:space="preserve">
链接至第二页</t>
        </r>
      </text>
    </comment>
    <comment ref="F4" authorId="0">
      <text>
        <r>
          <rPr>
            <b/>
            <sz val="9"/>
            <color indexed="81"/>
            <rFont val="宋体"/>
            <family val="3"/>
            <charset val="134"/>
          </rPr>
          <t>fu:</t>
        </r>
        <r>
          <rPr>
            <sz val="9"/>
            <color indexed="81"/>
            <rFont val="宋体"/>
            <family val="3"/>
            <charset val="134"/>
          </rPr>
          <t xml:space="preserve">
链接至第二页</t>
        </r>
      </text>
    </comment>
    <comment ref="J4" authorId="0">
      <text>
        <r>
          <rPr>
            <b/>
            <sz val="9"/>
            <color indexed="81"/>
            <rFont val="宋体"/>
            <family val="3"/>
            <charset val="134"/>
          </rPr>
          <t>fu:</t>
        </r>
        <r>
          <rPr>
            <sz val="9"/>
            <color indexed="81"/>
            <rFont val="宋体"/>
            <family val="3"/>
            <charset val="134"/>
          </rPr>
          <t xml:space="preserve">
链接至第二页</t>
        </r>
      </text>
    </comment>
    <comment ref="F6" authorId="1">
      <text>
        <r>
          <rPr>
            <b/>
            <sz val="9"/>
            <color indexed="81"/>
            <rFont val="宋体"/>
            <family val="3"/>
            <charset val="134"/>
          </rPr>
          <t>一个教室可以同时有多个部门属性，表示这些部门都可以在该教室内排课</t>
        </r>
      </text>
    </comment>
  </commentList>
</comments>
</file>

<file path=xl/comments2.xml><?xml version="1.0" encoding="utf-8"?>
<comments xmlns="http://schemas.openxmlformats.org/spreadsheetml/2006/main">
  <authors>
    <author>fu</author>
  </authors>
  <commentList>
    <comment ref="M62" authorId="0">
      <text>
        <r>
          <rPr>
            <b/>
            <sz val="9"/>
            <color indexed="81"/>
            <rFont val="宋体"/>
            <family val="3"/>
            <charset val="134"/>
          </rPr>
          <t>fu:</t>
        </r>
        <r>
          <rPr>
            <sz val="9"/>
            <color indexed="81"/>
            <rFont val="宋体"/>
            <family val="3"/>
            <charset val="134"/>
          </rPr>
          <t xml:space="preserve">
包含第一年递延收入</t>
        </r>
      </text>
    </comment>
  </commentList>
</comments>
</file>

<file path=xl/sharedStrings.xml><?xml version="1.0" encoding="utf-8"?>
<sst xmlns="http://schemas.openxmlformats.org/spreadsheetml/2006/main" count="253" uniqueCount="173">
  <si>
    <t>附表2：</t>
    <phoneticPr fontId="3" type="noConversion"/>
  </si>
  <si>
    <t>预计租赁场地面积（平米）</t>
    <phoneticPr fontId="3" type="noConversion"/>
  </si>
  <si>
    <t>租赁时间（月）</t>
    <phoneticPr fontId="3" type="noConversion"/>
  </si>
  <si>
    <t>租赁场地单价（含税每平米）</t>
    <phoneticPr fontId="3" type="noConversion"/>
  </si>
  <si>
    <t>房租物业单价（每平米）</t>
    <phoneticPr fontId="3" type="noConversion"/>
  </si>
  <si>
    <t>计划教室数量（间）</t>
    <phoneticPr fontId="3" type="noConversion"/>
  </si>
  <si>
    <t>计划增加员工数量</t>
    <phoneticPr fontId="3" type="noConversion"/>
  </si>
  <si>
    <t>装修单价（每平米）</t>
    <phoneticPr fontId="3" type="noConversion"/>
  </si>
  <si>
    <t>计划课桌数量（套）</t>
    <phoneticPr fontId="3" type="noConversion"/>
  </si>
  <si>
    <t>租金支付期间（月）</t>
    <phoneticPr fontId="3" type="noConversion"/>
  </si>
  <si>
    <t>第一年预计一对一招生数（人）</t>
    <phoneticPr fontId="3" type="noConversion"/>
  </si>
  <si>
    <t>第一年预计小班招生（人）</t>
    <phoneticPr fontId="3" type="noConversion"/>
  </si>
  <si>
    <t>建设首年资金流入</t>
    <phoneticPr fontId="3" type="noConversion"/>
  </si>
  <si>
    <t>一对一现金收入</t>
    <phoneticPr fontId="3" type="noConversion"/>
  </si>
  <si>
    <t>建设首年资金流出</t>
  </si>
  <si>
    <t>物业费支出</t>
    <phoneticPr fontId="3" type="noConversion"/>
  </si>
  <si>
    <t>场地租金支出</t>
    <phoneticPr fontId="3" type="noConversion"/>
  </si>
  <si>
    <t>装修费支出</t>
    <phoneticPr fontId="3" type="noConversion"/>
  </si>
  <si>
    <t>教学设备支出</t>
    <phoneticPr fontId="3" type="noConversion"/>
  </si>
  <si>
    <t>工资薪酬支出</t>
    <phoneticPr fontId="3" type="noConversion"/>
  </si>
  <si>
    <t>人均薪酬支出（底薪/月）</t>
    <phoneticPr fontId="3" type="noConversion"/>
  </si>
  <si>
    <t>小班课现金收入</t>
    <phoneticPr fontId="3" type="noConversion"/>
  </si>
  <si>
    <t>大班课现金收入</t>
    <phoneticPr fontId="3" type="noConversion"/>
  </si>
  <si>
    <t>销售提成</t>
    <phoneticPr fontId="3" type="noConversion"/>
  </si>
  <si>
    <t>水电费支出</t>
    <phoneticPr fontId="3" type="noConversion"/>
  </si>
  <si>
    <t>办公用品支出</t>
    <phoneticPr fontId="3" type="noConversion"/>
  </si>
  <si>
    <t>课桌椅支出</t>
    <phoneticPr fontId="3" type="noConversion"/>
  </si>
  <si>
    <t>变动收入</t>
    <phoneticPr fontId="3" type="noConversion"/>
  </si>
  <si>
    <t>固定支出</t>
    <phoneticPr fontId="3" type="noConversion"/>
  </si>
  <si>
    <t>变动支出</t>
    <phoneticPr fontId="3" type="noConversion"/>
  </si>
  <si>
    <t>第一年预计大班招生（人）</t>
    <phoneticPr fontId="3" type="noConversion"/>
  </si>
  <si>
    <t xml:space="preserve">拟建学习中心名称：                                                                                             </t>
    <phoneticPr fontId="3" type="noConversion"/>
  </si>
  <si>
    <t xml:space="preserve"> 拟开业时间：</t>
    <phoneticPr fontId="3" type="noConversion"/>
  </si>
  <si>
    <t>小计</t>
    <phoneticPr fontId="3" type="noConversion"/>
  </si>
  <si>
    <t>固定收入现金盈余：</t>
    <phoneticPr fontId="3" type="noConversion"/>
  </si>
  <si>
    <t>变动收入现金盈余：</t>
    <phoneticPr fontId="3" type="noConversion"/>
  </si>
  <si>
    <t>学习中心项目启动资金</t>
    <phoneticPr fontId="3" type="noConversion"/>
  </si>
  <si>
    <t>学习中心建设首年资金盈余</t>
    <phoneticPr fontId="3" type="noConversion"/>
  </si>
  <si>
    <t>开业当年运营期间（月）</t>
    <phoneticPr fontId="3" type="noConversion"/>
  </si>
  <si>
    <t>增值税支出</t>
    <phoneticPr fontId="3" type="noConversion"/>
  </si>
  <si>
    <t>地方税支出</t>
    <phoneticPr fontId="3" type="noConversion"/>
  </si>
  <si>
    <t>支持服务费支出</t>
    <phoneticPr fontId="3" type="noConversion"/>
  </si>
  <si>
    <t>一对一课时费支出</t>
    <phoneticPr fontId="3" type="noConversion"/>
  </si>
  <si>
    <t>班课课时费支出</t>
    <phoneticPr fontId="3" type="noConversion"/>
  </si>
  <si>
    <t>市场宣传费支出</t>
    <phoneticPr fontId="3" type="noConversion"/>
  </si>
  <si>
    <t>培训费支出</t>
    <phoneticPr fontId="3" type="noConversion"/>
  </si>
  <si>
    <t>课桌椅单价（套）</t>
    <phoneticPr fontId="3" type="noConversion"/>
  </si>
  <si>
    <t>每教室教学设备均价（间）</t>
    <phoneticPr fontId="3" type="noConversion"/>
  </si>
  <si>
    <t>场地押金</t>
    <phoneticPr fontId="3" type="noConversion"/>
  </si>
  <si>
    <t>项目初始投入资金</t>
    <phoneticPr fontId="3" type="noConversion"/>
  </si>
  <si>
    <t>年份</t>
  </si>
  <si>
    <t>营业税金及附加</t>
  </si>
  <si>
    <t>课酬</t>
  </si>
  <si>
    <t>租金</t>
  </si>
  <si>
    <t>教材成本</t>
  </si>
  <si>
    <t>营业利润</t>
  </si>
  <si>
    <t>人力资源费用</t>
  </si>
  <si>
    <t>市场费用</t>
  </si>
  <si>
    <t>日常运营费</t>
  </si>
  <si>
    <t>行政后勤费</t>
  </si>
  <si>
    <t>装修摊销</t>
  </si>
  <si>
    <t>税前利润</t>
  </si>
  <si>
    <t>企业所得税</t>
  </si>
  <si>
    <t>税后利润</t>
  </si>
  <si>
    <t>营业收入</t>
    <phoneticPr fontId="3" type="noConversion"/>
  </si>
  <si>
    <t>一对一课消收入</t>
    <phoneticPr fontId="3" type="noConversion"/>
  </si>
  <si>
    <t>小班课消收入</t>
    <phoneticPr fontId="3" type="noConversion"/>
  </si>
  <si>
    <t>大班课消收入</t>
    <phoneticPr fontId="3" type="noConversion"/>
  </si>
  <si>
    <t>设备及办公家具折旧</t>
    <phoneticPr fontId="3" type="noConversion"/>
  </si>
  <si>
    <t>财务费用</t>
    <phoneticPr fontId="3" type="noConversion"/>
  </si>
  <si>
    <t>营业利润</t>
    <phoneticPr fontId="3" type="noConversion"/>
  </si>
  <si>
    <t>营业外收入</t>
    <phoneticPr fontId="3" type="noConversion"/>
  </si>
  <si>
    <t>营业外支出</t>
    <phoneticPr fontId="3" type="noConversion"/>
  </si>
  <si>
    <t>财务费用</t>
    <phoneticPr fontId="3" type="noConversion"/>
  </si>
  <si>
    <t>第一年</t>
    <phoneticPr fontId="3" type="noConversion"/>
  </si>
  <si>
    <t>第二年</t>
    <phoneticPr fontId="3" type="noConversion"/>
  </si>
  <si>
    <t>第三年</t>
    <phoneticPr fontId="3" type="noConversion"/>
  </si>
  <si>
    <t>第四年</t>
    <phoneticPr fontId="3" type="noConversion"/>
  </si>
  <si>
    <t>第五年</t>
    <phoneticPr fontId="3" type="noConversion"/>
  </si>
  <si>
    <t>第一年一对一课时消耗转化率</t>
    <phoneticPr fontId="3" type="noConversion"/>
  </si>
  <si>
    <t>第一年小班课时消耗转化率</t>
    <phoneticPr fontId="3" type="noConversion"/>
  </si>
  <si>
    <t>销售提成占收费比</t>
    <phoneticPr fontId="3" type="noConversion"/>
  </si>
  <si>
    <t>增值税率</t>
    <phoneticPr fontId="3" type="noConversion"/>
  </si>
  <si>
    <t>地方税税率</t>
    <phoneticPr fontId="3" type="noConversion"/>
  </si>
  <si>
    <t>一对一课时费占收入比例</t>
    <phoneticPr fontId="3" type="noConversion"/>
  </si>
  <si>
    <t>班课课时费占收入比例</t>
    <phoneticPr fontId="3" type="noConversion"/>
  </si>
  <si>
    <t>教学场地占总租赁面积比例</t>
    <phoneticPr fontId="3" type="noConversion"/>
  </si>
  <si>
    <t>行政办公占总租赁面积比例</t>
    <phoneticPr fontId="3" type="noConversion"/>
  </si>
  <si>
    <t>市场推广费占收入比例</t>
    <phoneticPr fontId="3" type="noConversion"/>
  </si>
  <si>
    <t>第一年大班课时消耗转化率</t>
    <phoneticPr fontId="3" type="noConversion"/>
  </si>
  <si>
    <t>每人工社保支出占薪酬比例</t>
    <phoneticPr fontId="3" type="noConversion"/>
  </si>
  <si>
    <t>每人工公积金支出占薪酬比例</t>
    <phoneticPr fontId="3" type="noConversion"/>
  </si>
  <si>
    <t>每人工月均办公用品支出</t>
    <phoneticPr fontId="3" type="noConversion"/>
  </si>
  <si>
    <t>员工保险费支出</t>
    <phoneticPr fontId="3" type="noConversion"/>
  </si>
  <si>
    <t>员工公积金支出</t>
    <phoneticPr fontId="3" type="noConversion"/>
  </si>
  <si>
    <t>收款刷卡费率</t>
    <phoneticPr fontId="3" type="noConversion"/>
  </si>
  <si>
    <t>刷卡收入占总收入比例</t>
    <phoneticPr fontId="3" type="noConversion"/>
  </si>
  <si>
    <t>支持服务费比例（分账）</t>
    <phoneticPr fontId="3" type="noConversion"/>
  </si>
  <si>
    <t>毛利率</t>
    <phoneticPr fontId="3" type="noConversion"/>
  </si>
  <si>
    <t>净利润率</t>
    <phoneticPr fontId="3" type="noConversion"/>
  </si>
  <si>
    <t>营业成本</t>
    <phoneticPr fontId="3" type="noConversion"/>
  </si>
  <si>
    <t>间接费用</t>
    <phoneticPr fontId="3" type="noConversion"/>
  </si>
  <si>
    <t>建筑面积</t>
    <phoneticPr fontId="3" type="noConversion"/>
  </si>
  <si>
    <t>第一年总租金(含税)</t>
    <phoneticPr fontId="3" type="noConversion"/>
  </si>
  <si>
    <t>教室名称</t>
    <phoneticPr fontId="3" type="noConversion"/>
  </si>
  <si>
    <t>教室编码</t>
    <phoneticPr fontId="3" type="noConversion"/>
  </si>
  <si>
    <r>
      <t xml:space="preserve">教室面积
</t>
    </r>
    <r>
      <rPr>
        <sz val="8"/>
        <color theme="1"/>
        <rFont val="微软雅黑"/>
        <family val="2"/>
        <charset val="134"/>
      </rPr>
      <t>(含公共面积分摊)</t>
    </r>
    <phoneticPr fontId="3" type="noConversion"/>
  </si>
  <si>
    <t>座位数</t>
    <phoneticPr fontId="3" type="noConversion"/>
  </si>
  <si>
    <t>部门使用频率比例</t>
    <phoneticPr fontId="3" type="noConversion"/>
  </si>
  <si>
    <t>教室租金</t>
    <phoneticPr fontId="3" type="noConversion"/>
  </si>
  <si>
    <t>合计</t>
    <phoneticPr fontId="3" type="noConversion"/>
  </si>
  <si>
    <t>大教室汇总</t>
    <phoneticPr fontId="3" type="noConversion"/>
  </si>
  <si>
    <t>小教室汇总</t>
    <phoneticPr fontId="3" type="noConversion"/>
  </si>
  <si>
    <t>一对一</t>
  </si>
  <si>
    <t>小班</t>
  </si>
  <si>
    <t>大班</t>
  </si>
  <si>
    <t>教学场地占比</t>
    <phoneticPr fontId="3" type="noConversion"/>
  </si>
  <si>
    <t>行政场地占比</t>
    <phoneticPr fontId="3" type="noConversion"/>
  </si>
  <si>
    <t>小计</t>
    <phoneticPr fontId="3" type="noConversion"/>
  </si>
  <si>
    <t>占用面积</t>
    <phoneticPr fontId="3" type="noConversion"/>
  </si>
  <si>
    <t>每平米含税单价</t>
    <phoneticPr fontId="3" type="noConversion"/>
  </si>
  <si>
    <t>每平米物业费</t>
    <phoneticPr fontId="3" type="noConversion"/>
  </si>
  <si>
    <t>教学点建设参考指标模型</t>
    <phoneticPr fontId="3" type="noConversion"/>
  </si>
  <si>
    <t>学习中心建设首年收益预测</t>
    <phoneticPr fontId="3" type="noConversion"/>
  </si>
  <si>
    <t>平均收费标准（人次）</t>
    <phoneticPr fontId="3" type="noConversion"/>
  </si>
  <si>
    <t>学员资料费标准（次人）</t>
    <phoneticPr fontId="3" type="noConversion"/>
  </si>
  <si>
    <t>加盟费</t>
    <phoneticPr fontId="3" type="noConversion"/>
  </si>
  <si>
    <t>按租赁年限摊销</t>
    <phoneticPr fontId="3" type="noConversion"/>
  </si>
  <si>
    <t>按5年折旧</t>
    <phoneticPr fontId="3" type="noConversion"/>
  </si>
  <si>
    <t>按5年折旧</t>
    <phoneticPr fontId="3" type="noConversion"/>
  </si>
  <si>
    <t>按加盟年限摊销</t>
    <phoneticPr fontId="3" type="noConversion"/>
  </si>
  <si>
    <t>指标占比</t>
    <phoneticPr fontId="3" type="noConversion"/>
  </si>
  <si>
    <t>上年结余资金</t>
    <phoneticPr fontId="3" type="noConversion"/>
  </si>
  <si>
    <t>上年结余转入本年资金</t>
    <phoneticPr fontId="3" type="noConversion"/>
  </si>
  <si>
    <t>当年运营期间（月）</t>
    <phoneticPr fontId="3" type="noConversion"/>
  </si>
  <si>
    <t>学习中心建设第二年收益预测</t>
    <phoneticPr fontId="3" type="noConversion"/>
  </si>
  <si>
    <t>学习中心建设首年资金盈余预测</t>
    <phoneticPr fontId="3" type="noConversion"/>
  </si>
  <si>
    <t>学习中心建设第二年资金盈余预测</t>
    <phoneticPr fontId="3" type="noConversion"/>
  </si>
  <si>
    <r>
      <t xml:space="preserve">                         学习中心建设资金预算表指标（第一年）              </t>
    </r>
    <r>
      <rPr>
        <b/>
        <sz val="11"/>
        <color theme="1"/>
        <rFont val="STKaiti"/>
        <charset val="134"/>
      </rPr>
      <t xml:space="preserve">单位：RMB元    </t>
    </r>
    <r>
      <rPr>
        <b/>
        <sz val="22"/>
        <color theme="1"/>
        <rFont val="STKaiti"/>
        <charset val="134"/>
      </rPr>
      <t xml:space="preserve">      </t>
    </r>
    <phoneticPr fontId="3" type="noConversion"/>
  </si>
  <si>
    <r>
      <t xml:space="preserve">                         学习中心建设资金预算表指标（第二年）              </t>
    </r>
    <r>
      <rPr>
        <b/>
        <sz val="11"/>
        <color theme="1"/>
        <rFont val="STKaiti"/>
        <charset val="134"/>
      </rPr>
      <t xml:space="preserve">单位：RMB元    </t>
    </r>
    <r>
      <rPr>
        <b/>
        <sz val="22"/>
        <color theme="1"/>
        <rFont val="STKaiti"/>
        <charset val="134"/>
      </rPr>
      <t xml:space="preserve">      </t>
    </r>
    <phoneticPr fontId="3" type="noConversion"/>
  </si>
  <si>
    <t xml:space="preserve"> 拟开业时间：</t>
    <phoneticPr fontId="3" type="noConversion"/>
  </si>
  <si>
    <t>预计租赁场地面积（平米）</t>
    <phoneticPr fontId="3" type="noConversion"/>
  </si>
  <si>
    <t>租赁时间（月）</t>
    <phoneticPr fontId="3" type="noConversion"/>
  </si>
  <si>
    <t>租金支付期间（月）</t>
    <phoneticPr fontId="3" type="noConversion"/>
  </si>
  <si>
    <t>计划教室数量（间）</t>
    <phoneticPr fontId="3" type="noConversion"/>
  </si>
  <si>
    <t>租赁场地单价（含税每平米）</t>
    <phoneticPr fontId="3" type="noConversion"/>
  </si>
  <si>
    <t>装修单价（每平米）</t>
    <phoneticPr fontId="3" type="noConversion"/>
  </si>
  <si>
    <t>计划增加员工数量</t>
    <phoneticPr fontId="3" type="noConversion"/>
  </si>
  <si>
    <t>房租物业单价（每平米）</t>
    <phoneticPr fontId="3" type="noConversion"/>
  </si>
  <si>
    <t>人均薪酬支出（底薪/月）</t>
    <phoneticPr fontId="3" type="noConversion"/>
  </si>
  <si>
    <t>计划课桌数量（套）</t>
    <phoneticPr fontId="3" type="noConversion"/>
  </si>
  <si>
    <t>课桌椅单价（套）</t>
    <phoneticPr fontId="3" type="noConversion"/>
  </si>
  <si>
    <t>每教室教学设备均价（间）</t>
    <phoneticPr fontId="3" type="noConversion"/>
  </si>
  <si>
    <t>第一年预计一对一招生数（人）</t>
    <phoneticPr fontId="3" type="noConversion"/>
  </si>
  <si>
    <t>第一年一对一课时消耗转化率</t>
    <phoneticPr fontId="3" type="noConversion"/>
  </si>
  <si>
    <t>第一年预计小班招生（人）</t>
    <phoneticPr fontId="3" type="noConversion"/>
  </si>
  <si>
    <t>第一年小班课时消耗转化率</t>
    <phoneticPr fontId="3" type="noConversion"/>
  </si>
  <si>
    <t>第一年预计大班招生（人）</t>
    <phoneticPr fontId="3" type="noConversion"/>
  </si>
  <si>
    <t>第一年大班课时消耗转化率</t>
    <phoneticPr fontId="3" type="noConversion"/>
  </si>
  <si>
    <t>销售提成占收费比</t>
    <phoneticPr fontId="3" type="noConversion"/>
  </si>
  <si>
    <t>一对一课时费占收入比例</t>
    <phoneticPr fontId="3" type="noConversion"/>
  </si>
  <si>
    <t>增值税率</t>
    <phoneticPr fontId="3" type="noConversion"/>
  </si>
  <si>
    <t>地方税税率</t>
    <phoneticPr fontId="3" type="noConversion"/>
  </si>
  <si>
    <t>班课课时费占收入比例</t>
    <phoneticPr fontId="3" type="noConversion"/>
  </si>
  <si>
    <t>收款刷卡费率</t>
    <phoneticPr fontId="3" type="noConversion"/>
  </si>
  <si>
    <t>刷卡收入占总收入比例</t>
    <phoneticPr fontId="3" type="noConversion"/>
  </si>
  <si>
    <t>支持服务费比例（分账）</t>
    <phoneticPr fontId="3" type="noConversion"/>
  </si>
  <si>
    <t>每人工社保支出占薪酬比例</t>
    <phoneticPr fontId="3" type="noConversion"/>
  </si>
  <si>
    <t>每人工公积金支出占薪酬比例</t>
    <phoneticPr fontId="3" type="noConversion"/>
  </si>
  <si>
    <t>每人工月均办公用品支出</t>
    <phoneticPr fontId="3" type="noConversion"/>
  </si>
  <si>
    <t>教学场地占总租赁面积比例</t>
    <phoneticPr fontId="3" type="noConversion"/>
  </si>
  <si>
    <t>行政办公占总租赁面积比例</t>
    <phoneticPr fontId="3" type="noConversion"/>
  </si>
  <si>
    <t>市场推广费占收入比例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</si>
</sst>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_ "/>
    <numFmt numFmtId="177" formatCode="0.0%"/>
    <numFmt numFmtId="178" formatCode="0_);[Red]\(0\)"/>
    <numFmt numFmtId="179" formatCode="#,##0;\-#,##0;&quot;-&quot;"/>
    <numFmt numFmtId="180" formatCode="#,##0_ "/>
  </numFmts>
  <fonts count="17">
    <font>
      <sz val="11"/>
      <color theme="1"/>
      <name val="宋体"/>
      <family val="2"/>
      <charset val="134"/>
      <scheme val="minor"/>
    </font>
    <font>
      <b/>
      <sz val="22"/>
      <color theme="1"/>
      <name val="STKaiti"/>
      <charset val="134"/>
    </font>
    <font>
      <sz val="14"/>
      <color theme="1"/>
      <name val="STKaiti"/>
      <charset val="134"/>
    </font>
    <font>
      <sz val="9"/>
      <name val="宋体"/>
      <family val="2"/>
      <charset val="134"/>
      <scheme val="minor"/>
    </font>
    <font>
      <b/>
      <sz val="11"/>
      <color theme="1"/>
      <name val="STKaiti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4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sz val="9"/>
      <color indexed="8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E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2">
    <xf numFmtId="0" fontId="0" fillId="0" borderId="0">
      <alignment vertical="center"/>
    </xf>
    <xf numFmtId="9" fontId="7" fillId="0" borderId="0" applyFont="0" applyFill="0" applyBorder="0" applyAlignment="0" applyProtection="0">
      <alignment vertical="center"/>
    </xf>
  </cellStyleXfs>
  <cellXfs count="136">
    <xf numFmtId="0" fontId="0" fillId="0" borderId="0" xfId="0">
      <alignment vertical="center"/>
    </xf>
    <xf numFmtId="0" fontId="0" fillId="0" borderId="1" xfId="0" applyBorder="1" applyAlignment="1">
      <alignment vertical="center"/>
    </xf>
    <xf numFmtId="176" fontId="0" fillId="0" borderId="1" xfId="0" applyNumberFormat="1" applyBorder="1" applyAlignment="1">
      <alignment vertical="center"/>
    </xf>
    <xf numFmtId="0" fontId="5" fillId="0" borderId="0" xfId="0" applyFont="1" applyBorder="1" applyAlignment="1">
      <alignment horizontal="left" vertical="center"/>
    </xf>
    <xf numFmtId="9" fontId="6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10" fontId="6" fillId="0" borderId="0" xfId="0" applyNumberFormat="1" applyFont="1" applyBorder="1" applyAlignment="1">
      <alignment horizontal="center" vertical="center"/>
    </xf>
    <xf numFmtId="0" fontId="6" fillId="0" borderId="0" xfId="0" applyFont="1" applyBorder="1">
      <alignment vertical="center"/>
    </xf>
    <xf numFmtId="176" fontId="5" fillId="0" borderId="1" xfId="0" applyNumberFormat="1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8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2" fillId="2" borderId="21" xfId="0" applyNumberFormat="1" applyFont="1" applyFill="1" applyBorder="1" applyAlignment="1">
      <alignment horizontal="center" vertical="center" wrapText="1"/>
    </xf>
    <xf numFmtId="179" fontId="12" fillId="5" borderId="21" xfId="0" applyNumberFormat="1" applyFont="1" applyFill="1" applyBorder="1">
      <alignment vertical="center"/>
    </xf>
    <xf numFmtId="179" fontId="12" fillId="7" borderId="21" xfId="0" applyNumberFormat="1" applyFont="1" applyFill="1" applyBorder="1">
      <alignment vertical="center"/>
    </xf>
    <xf numFmtId="179" fontId="12" fillId="7" borderId="21" xfId="0" applyNumberFormat="1" applyFont="1" applyFill="1" applyBorder="1" applyAlignment="1">
      <alignment horizontal="center" vertical="center"/>
    </xf>
    <xf numFmtId="9" fontId="12" fillId="7" borderId="21" xfId="1" applyFont="1" applyFill="1" applyBorder="1" applyAlignment="1">
      <alignment horizontal="center" vertical="center"/>
    </xf>
    <xf numFmtId="176" fontId="12" fillId="3" borderId="21" xfId="0" applyNumberFormat="1" applyFont="1" applyFill="1" applyBorder="1">
      <alignment vertical="center"/>
    </xf>
    <xf numFmtId="176" fontId="0" fillId="0" borderId="1" xfId="0" applyNumberFormat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0" fillId="0" borderId="0" xfId="0" applyProtection="1">
      <alignment vertical="center"/>
      <protection locked="0"/>
    </xf>
    <xf numFmtId="0" fontId="5" fillId="0" borderId="2" xfId="0" applyFont="1" applyBorder="1" applyAlignment="1" applyProtection="1">
      <alignment vertical="center"/>
      <protection locked="0"/>
    </xf>
    <xf numFmtId="0" fontId="6" fillId="0" borderId="1" xfId="0" applyFont="1" applyBorder="1" applyAlignment="1" applyProtection="1">
      <alignment vertical="center"/>
      <protection locked="0"/>
    </xf>
    <xf numFmtId="0" fontId="6" fillId="0" borderId="1" xfId="0" applyFont="1" applyBorder="1" applyProtection="1">
      <alignment vertical="center"/>
      <protection locked="0"/>
    </xf>
    <xf numFmtId="0" fontId="6" fillId="0" borderId="0" xfId="0" applyFont="1" applyProtection="1">
      <alignment vertical="center"/>
      <protection locked="0"/>
    </xf>
    <xf numFmtId="0" fontId="8" fillId="0" borderId="0" xfId="0" applyFont="1" applyProtection="1">
      <alignment vertical="center"/>
      <protection locked="0"/>
    </xf>
    <xf numFmtId="0" fontId="6" fillId="0" borderId="5" xfId="0" applyFont="1" applyBorder="1" applyProtection="1">
      <alignment vertical="center"/>
      <protection locked="0"/>
    </xf>
    <xf numFmtId="0" fontId="0" fillId="0" borderId="0" xfId="0" applyProtection="1">
      <alignment vertical="center"/>
    </xf>
    <xf numFmtId="0" fontId="0" fillId="0" borderId="1" xfId="0" applyBorder="1" applyAlignment="1" applyProtection="1">
      <alignment horizontal="center" vertical="center"/>
    </xf>
    <xf numFmtId="177" fontId="0" fillId="0" borderId="1" xfId="0" applyNumberFormat="1" applyBorder="1" applyAlignment="1" applyProtection="1">
      <alignment horizontal="center" vertical="center"/>
    </xf>
    <xf numFmtId="0" fontId="9" fillId="0" borderId="1" xfId="0" applyFont="1" applyBorder="1" applyProtection="1">
      <alignment vertical="center"/>
    </xf>
    <xf numFmtId="0" fontId="0" fillId="0" borderId="1" xfId="0" applyBorder="1" applyProtection="1">
      <alignment vertical="center"/>
    </xf>
    <xf numFmtId="177" fontId="0" fillId="0" borderId="1" xfId="0" applyNumberFormat="1" applyBorder="1" applyProtection="1">
      <alignment vertical="center"/>
    </xf>
    <xf numFmtId="176" fontId="0" fillId="0" borderId="1" xfId="0" applyNumberFormat="1" applyBorder="1" applyProtection="1">
      <alignment vertical="center"/>
    </xf>
    <xf numFmtId="0" fontId="5" fillId="0" borderId="1" xfId="0" applyFont="1" applyBorder="1" applyAlignment="1" applyProtection="1">
      <alignment horizontal="right" vertical="center"/>
    </xf>
    <xf numFmtId="0" fontId="6" fillId="0" borderId="1" xfId="0" applyFont="1" applyBorder="1" applyAlignment="1" applyProtection="1">
      <alignment horizontal="right" vertical="center"/>
    </xf>
    <xf numFmtId="0" fontId="0" fillId="0" borderId="1" xfId="0" applyBorder="1" applyAlignment="1" applyProtection="1">
      <alignment horizontal="right" vertical="center"/>
    </xf>
    <xf numFmtId="9" fontId="0" fillId="0" borderId="1" xfId="0" applyNumberFormat="1" applyBorder="1" applyProtection="1">
      <alignment vertical="center"/>
    </xf>
    <xf numFmtId="0" fontId="9" fillId="0" borderId="1" xfId="0" applyFont="1" applyBorder="1" applyAlignment="1" applyProtection="1">
      <alignment horizontal="left" vertical="center"/>
    </xf>
    <xf numFmtId="178" fontId="0" fillId="0" borderId="1" xfId="0" applyNumberFormat="1" applyBorder="1" applyProtection="1">
      <alignment vertical="center"/>
    </xf>
    <xf numFmtId="0" fontId="10" fillId="0" borderId="1" xfId="0" applyFont="1" applyBorder="1" applyAlignment="1" applyProtection="1">
      <alignment horizontal="left" vertical="center"/>
    </xf>
    <xf numFmtId="176" fontId="0" fillId="0" borderId="1" xfId="0" applyNumberFormat="1" applyBorder="1" applyAlignment="1" applyProtection="1">
      <alignment vertical="center"/>
    </xf>
    <xf numFmtId="176" fontId="15" fillId="0" borderId="1" xfId="0" applyNumberFormat="1" applyFont="1" applyBorder="1" applyAlignment="1" applyProtection="1">
      <alignment vertical="center"/>
    </xf>
    <xf numFmtId="176" fontId="8" fillId="0" borderId="1" xfId="0" applyNumberFormat="1" applyFont="1" applyBorder="1" applyAlignment="1" applyProtection="1">
      <alignment vertical="center"/>
    </xf>
    <xf numFmtId="0" fontId="6" fillId="8" borderId="1" xfId="0" applyFont="1" applyFill="1" applyBorder="1" applyAlignment="1" applyProtection="1">
      <alignment horizontal="center" vertical="center"/>
      <protection locked="0"/>
    </xf>
    <xf numFmtId="0" fontId="6" fillId="8" borderId="3" xfId="0" applyFont="1" applyFill="1" applyBorder="1" applyAlignment="1" applyProtection="1">
      <alignment horizontal="center" vertical="center"/>
      <protection locked="0"/>
    </xf>
    <xf numFmtId="0" fontId="2" fillId="8" borderId="3" xfId="0" applyFont="1" applyFill="1" applyBorder="1" applyAlignment="1" applyProtection="1">
      <alignment horizontal="center" vertical="center"/>
      <protection locked="0"/>
    </xf>
    <xf numFmtId="9" fontId="6" fillId="8" borderId="1" xfId="0" applyNumberFormat="1" applyFont="1" applyFill="1" applyBorder="1" applyAlignment="1" applyProtection="1">
      <alignment horizontal="center" vertical="center"/>
      <protection locked="0"/>
    </xf>
    <xf numFmtId="10" fontId="6" fillId="8" borderId="1" xfId="0" applyNumberFormat="1" applyFont="1" applyFill="1" applyBorder="1" applyAlignment="1" applyProtection="1">
      <alignment horizontal="center" vertical="center"/>
      <protection locked="0"/>
    </xf>
    <xf numFmtId="176" fontId="6" fillId="8" borderId="1" xfId="0" applyNumberFormat="1" applyFont="1" applyFill="1" applyBorder="1" applyAlignment="1" applyProtection="1">
      <alignment horizontal="center" vertical="center"/>
      <protection locked="0"/>
    </xf>
    <xf numFmtId="9" fontId="6" fillId="8" borderId="6" xfId="0" applyNumberFormat="1" applyFont="1" applyFill="1" applyBorder="1" applyAlignment="1" applyProtection="1">
      <alignment horizontal="center" vertical="center"/>
      <protection locked="0"/>
    </xf>
    <xf numFmtId="0" fontId="6" fillId="9" borderId="1" xfId="0" applyFont="1" applyFill="1" applyBorder="1" applyAlignment="1" applyProtection="1">
      <alignment horizontal="center" vertical="center"/>
    </xf>
    <xf numFmtId="10" fontId="6" fillId="0" borderId="5" xfId="0" applyNumberFormat="1" applyFont="1" applyBorder="1" applyAlignment="1" applyProtection="1">
      <alignment horizontal="center" vertical="center"/>
    </xf>
    <xf numFmtId="9" fontId="12" fillId="5" borderId="21" xfId="1" applyFont="1" applyFill="1" applyBorder="1" applyAlignment="1" applyProtection="1">
      <alignment horizontal="center" vertical="center"/>
    </xf>
    <xf numFmtId="9" fontId="12" fillId="5" borderId="22" xfId="1" applyFont="1" applyFill="1" applyBorder="1" applyAlignment="1" applyProtection="1">
      <alignment vertical="center"/>
    </xf>
    <xf numFmtId="179" fontId="12" fillId="6" borderId="21" xfId="0" applyNumberFormat="1" applyFont="1" applyFill="1" applyBorder="1" applyProtection="1">
      <alignment vertical="center"/>
    </xf>
    <xf numFmtId="9" fontId="12" fillId="3" borderId="21" xfId="1" applyFont="1" applyFill="1" applyBorder="1" applyAlignment="1" applyProtection="1">
      <alignment horizontal="center" vertical="center"/>
    </xf>
    <xf numFmtId="179" fontId="12" fillId="5" borderId="21" xfId="0" applyNumberFormat="1" applyFont="1" applyFill="1" applyBorder="1" applyProtection="1">
      <alignment vertical="center"/>
    </xf>
    <xf numFmtId="179" fontId="12" fillId="3" borderId="21" xfId="0" applyNumberFormat="1" applyFont="1" applyFill="1" applyBorder="1" applyAlignment="1" applyProtection="1">
      <alignment horizontal="center" vertical="center"/>
      <protection locked="0"/>
    </xf>
    <xf numFmtId="180" fontId="12" fillId="3" borderId="21" xfId="0" applyNumberFormat="1" applyFont="1" applyFill="1" applyBorder="1" applyProtection="1">
      <alignment vertical="center"/>
      <protection locked="0"/>
    </xf>
    <xf numFmtId="179" fontId="12" fillId="3" borderId="21" xfId="0" applyNumberFormat="1" applyFont="1" applyFill="1" applyBorder="1" applyProtection="1">
      <alignment vertical="center"/>
      <protection locked="0"/>
    </xf>
    <xf numFmtId="9" fontId="12" fillId="3" borderId="21" xfId="0" applyNumberFormat="1" applyFont="1" applyFill="1" applyBorder="1" applyProtection="1">
      <alignment vertical="center"/>
      <protection locked="0"/>
    </xf>
    <xf numFmtId="0" fontId="11" fillId="0" borderId="0" xfId="0" applyFont="1" applyAlignment="1">
      <alignment horizontal="center" vertical="center"/>
    </xf>
    <xf numFmtId="179" fontId="12" fillId="2" borderId="21" xfId="0" applyNumberFormat="1" applyFont="1" applyFill="1" applyBorder="1" applyAlignment="1">
      <alignment horizontal="center" vertical="center"/>
    </xf>
    <xf numFmtId="179" fontId="12" fillId="2" borderId="22" xfId="0" applyNumberFormat="1" applyFont="1" applyFill="1" applyBorder="1" applyAlignment="1">
      <alignment horizontal="center" vertical="center" wrapText="1"/>
    </xf>
    <xf numFmtId="179" fontId="12" fillId="2" borderId="25" xfId="0" applyNumberFormat="1" applyFont="1" applyFill="1" applyBorder="1" applyAlignment="1">
      <alignment horizontal="center" vertical="center" wrapText="1"/>
    </xf>
    <xf numFmtId="179" fontId="12" fillId="4" borderId="23" xfId="0" applyNumberFormat="1" applyFont="1" applyFill="1" applyBorder="1" applyAlignment="1">
      <alignment horizontal="center" vertical="center"/>
    </xf>
    <xf numFmtId="179" fontId="12" fillId="4" borderId="24" xfId="0" applyNumberFormat="1" applyFont="1" applyFill="1" applyBorder="1" applyAlignment="1">
      <alignment horizontal="center" vertical="center"/>
    </xf>
    <xf numFmtId="179" fontId="12" fillId="4" borderId="22" xfId="0" applyNumberFormat="1" applyFont="1" applyFill="1" applyBorder="1" applyAlignment="1">
      <alignment horizontal="center" vertical="center"/>
    </xf>
    <xf numFmtId="179" fontId="12" fillId="4" borderId="25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0" fontId="9" fillId="0" borderId="0" xfId="0" applyFont="1" applyAlignment="1" applyProtection="1">
      <alignment horizontal="center" vertical="center"/>
    </xf>
    <xf numFmtId="176" fontId="6" fillId="0" borderId="1" xfId="0" applyNumberFormat="1" applyFont="1" applyBorder="1" applyAlignment="1" applyProtection="1">
      <alignment horizontal="center" vertical="center"/>
      <protection locked="0"/>
    </xf>
    <xf numFmtId="176" fontId="5" fillId="0" borderId="1" xfId="0" applyNumberFormat="1" applyFont="1" applyBorder="1" applyAlignment="1" applyProtection="1">
      <alignment horizontal="center" vertical="center"/>
    </xf>
    <xf numFmtId="176" fontId="5" fillId="0" borderId="3" xfId="0" applyNumberFormat="1" applyFont="1" applyBorder="1" applyAlignment="1" applyProtection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5" fillId="8" borderId="1" xfId="0" applyNumberFormat="1" applyFont="1" applyFill="1" applyBorder="1" applyAlignment="1" applyProtection="1">
      <alignment horizontal="center" vertical="center"/>
      <protection locked="0"/>
    </xf>
    <xf numFmtId="176" fontId="5" fillId="8" borderId="3" xfId="0" applyNumberFormat="1" applyFont="1" applyFill="1" applyBorder="1" applyAlignment="1" applyProtection="1">
      <alignment horizontal="center" vertical="center"/>
      <protection locked="0"/>
    </xf>
    <xf numFmtId="176" fontId="0" fillId="0" borderId="11" xfId="0" applyNumberFormat="1" applyBorder="1" applyAlignment="1">
      <alignment horizontal="left" vertical="center"/>
    </xf>
    <xf numFmtId="176" fontId="0" fillId="0" borderId="16" xfId="0" applyNumberFormat="1" applyBorder="1" applyAlignment="1">
      <alignment horizontal="left" vertical="center"/>
    </xf>
    <xf numFmtId="0" fontId="0" fillId="0" borderId="2" xfId="0" applyBorder="1" applyAlignment="1">
      <alignment horizontal="center" vertical="center" textRotation="255"/>
    </xf>
    <xf numFmtId="176" fontId="0" fillId="0" borderId="12" xfId="0" applyNumberFormat="1" applyBorder="1" applyAlignment="1">
      <alignment horizontal="center" vertical="center" textRotation="255"/>
    </xf>
    <xf numFmtId="176" fontId="0" fillId="0" borderId="8" xfId="0" applyNumberFormat="1" applyBorder="1" applyAlignment="1">
      <alignment horizontal="center" vertical="center" textRotation="255"/>
    </xf>
    <xf numFmtId="176" fontId="0" fillId="0" borderId="7" xfId="0" applyNumberFormat="1" applyBorder="1" applyAlignment="1">
      <alignment horizontal="center" vertical="center" textRotation="255"/>
    </xf>
    <xf numFmtId="176" fontId="6" fillId="0" borderId="9" xfId="0" applyNumberFormat="1" applyFont="1" applyBorder="1" applyAlignment="1" applyProtection="1">
      <alignment horizontal="center" vertical="center"/>
      <protection locked="0"/>
    </xf>
    <xf numFmtId="176" fontId="6" fillId="0" borderId="10" xfId="0" applyNumberFormat="1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</xf>
    <xf numFmtId="176" fontId="0" fillId="0" borderId="3" xfId="0" applyNumberFormat="1" applyBorder="1" applyAlignment="1" applyProtection="1">
      <alignment horizontal="center" vertical="center"/>
    </xf>
    <xf numFmtId="176" fontId="0" fillId="0" borderId="9" xfId="0" applyNumberFormat="1" applyBorder="1" applyAlignment="1" applyProtection="1">
      <alignment horizontal="center" vertical="center"/>
    </xf>
    <xf numFmtId="176" fontId="0" fillId="0" borderId="16" xfId="0" applyNumberFormat="1" applyBorder="1" applyAlignment="1" applyProtection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6" fillId="0" borderId="17" xfId="0" applyFont="1" applyBorder="1" applyAlignment="1" applyProtection="1">
      <alignment horizontal="center" vertical="center"/>
      <protection locked="0"/>
    </xf>
    <xf numFmtId="0" fontId="6" fillId="0" borderId="11" xfId="0" applyFont="1" applyBorder="1" applyAlignment="1" applyProtection="1">
      <alignment horizontal="center" vertical="center"/>
      <protection locked="0"/>
    </xf>
    <xf numFmtId="0" fontId="6" fillId="0" borderId="16" xfId="0" applyFont="1" applyBorder="1" applyAlignment="1" applyProtection="1">
      <alignment horizontal="center" vertical="center"/>
      <protection locked="0"/>
    </xf>
    <xf numFmtId="0" fontId="6" fillId="0" borderId="17" xfId="0" applyFont="1" applyBorder="1" applyAlignment="1" applyProtection="1">
      <alignment horizontal="left" vertical="center"/>
      <protection locked="0"/>
    </xf>
    <xf numFmtId="0" fontId="6" fillId="0" borderId="10" xfId="0" applyFont="1" applyBorder="1" applyAlignment="1" applyProtection="1">
      <alignment horizontal="left" vertical="center"/>
      <protection locked="0"/>
    </xf>
    <xf numFmtId="0" fontId="8" fillId="0" borderId="9" xfId="0" applyFont="1" applyBorder="1" applyAlignment="1" applyProtection="1">
      <alignment horizontal="left" vertical="center"/>
      <protection locked="0"/>
    </xf>
    <xf numFmtId="0" fontId="8" fillId="0" borderId="10" xfId="0" applyFont="1" applyBorder="1" applyAlignment="1" applyProtection="1">
      <alignment horizontal="left" vertical="center"/>
      <protection locked="0"/>
    </xf>
    <xf numFmtId="0" fontId="6" fillId="0" borderId="18" xfId="0" applyFont="1" applyBorder="1" applyAlignment="1" applyProtection="1">
      <alignment horizontal="left" vertical="center"/>
      <protection locked="0"/>
    </xf>
    <xf numFmtId="0" fontId="6" fillId="0" borderId="19" xfId="0" applyFont="1" applyBorder="1" applyAlignment="1" applyProtection="1">
      <alignment horizontal="left" vertical="center"/>
      <protection locked="0"/>
    </xf>
    <xf numFmtId="0" fontId="6" fillId="0" borderId="9" xfId="0" applyFont="1" applyBorder="1" applyAlignment="1" applyProtection="1">
      <alignment horizontal="left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2" fillId="0" borderId="13" xfId="0" applyFont="1" applyBorder="1" applyAlignment="1" applyProtection="1">
      <alignment horizontal="left" vertical="center"/>
      <protection locked="0"/>
    </xf>
    <xf numFmtId="0" fontId="2" fillId="0" borderId="14" xfId="0" applyFont="1" applyBorder="1" applyAlignment="1" applyProtection="1">
      <alignment horizontal="left" vertical="center"/>
      <protection locked="0"/>
    </xf>
    <xf numFmtId="0" fontId="2" fillId="0" borderId="15" xfId="0" applyFont="1" applyBorder="1" applyAlignment="1" applyProtection="1">
      <alignment horizontal="left" vertical="center"/>
      <protection locked="0"/>
    </xf>
    <xf numFmtId="0" fontId="2" fillId="0" borderId="2" xfId="0" applyFont="1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 textRotation="255"/>
    </xf>
    <xf numFmtId="0" fontId="0" fillId="0" borderId="1" xfId="0" applyBorder="1" applyAlignment="1">
      <alignment horizontal="center" vertical="center" wrapText="1"/>
    </xf>
    <xf numFmtId="176" fontId="6" fillId="0" borderId="1" xfId="0" applyNumberFormat="1" applyFont="1" applyBorder="1" applyAlignment="1" applyProtection="1">
      <alignment horizontal="center" vertical="center"/>
    </xf>
    <xf numFmtId="176" fontId="0" fillId="8" borderId="1" xfId="0" applyNumberFormat="1" applyFill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>
      <alignment horizontal="center" vertical="center" textRotation="255"/>
    </xf>
    <xf numFmtId="0" fontId="0" fillId="0" borderId="1" xfId="0" applyBorder="1" applyAlignment="1">
      <alignment horizontal="left" vertical="center"/>
    </xf>
    <xf numFmtId="176" fontId="0" fillId="0" borderId="1" xfId="0" applyNumberFormat="1" applyBorder="1" applyAlignment="1">
      <alignment horizontal="left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J28"/>
  <sheetViews>
    <sheetView workbookViewId="0">
      <selection activeCell="H18" sqref="H18"/>
    </sheetView>
  </sheetViews>
  <sheetFormatPr defaultRowHeight="13.5"/>
  <cols>
    <col min="2" max="2" width="21" bestFit="1" customWidth="1"/>
    <col min="3" max="3" width="13.375" customWidth="1"/>
    <col min="4" max="4" width="12.625" customWidth="1"/>
    <col min="5" max="5" width="11.875" customWidth="1"/>
    <col min="9" max="9" width="13.25" customWidth="1"/>
  </cols>
  <sheetData>
    <row r="1" spans="2:10" ht="20.25">
      <c r="B1" s="64" t="s">
        <v>122</v>
      </c>
      <c r="C1" s="64"/>
      <c r="D1" s="64"/>
      <c r="E1" s="64"/>
      <c r="F1" s="64"/>
      <c r="G1" s="64"/>
      <c r="H1" s="64"/>
      <c r="I1" s="64"/>
      <c r="J1" s="64"/>
    </row>
    <row r="2" spans="2:10" ht="20.25">
      <c r="F2" s="12"/>
    </row>
    <row r="3" spans="2:10" ht="14.25">
      <c r="B3" s="14" t="s">
        <v>102</v>
      </c>
      <c r="C3" s="62">
        <v>300</v>
      </c>
      <c r="E3" s="14" t="s">
        <v>116</v>
      </c>
      <c r="F3" s="63">
        <v>0.8</v>
      </c>
      <c r="G3" s="14" t="s">
        <v>119</v>
      </c>
      <c r="H3" s="19">
        <v>240</v>
      </c>
      <c r="I3" s="14" t="s">
        <v>120</v>
      </c>
      <c r="J3" s="62">
        <v>40</v>
      </c>
    </row>
    <row r="4" spans="2:10" ht="14.25">
      <c r="B4" s="14" t="s">
        <v>103</v>
      </c>
      <c r="C4" s="62">
        <f>C3*J3*12</f>
        <v>144000</v>
      </c>
      <c r="E4" s="14" t="s">
        <v>117</v>
      </c>
      <c r="F4" s="63">
        <v>0.2</v>
      </c>
      <c r="G4" s="14" t="s">
        <v>119</v>
      </c>
      <c r="H4" s="19">
        <v>160</v>
      </c>
      <c r="I4" s="14" t="s">
        <v>121</v>
      </c>
      <c r="J4" s="62">
        <v>2</v>
      </c>
    </row>
    <row r="5" spans="2:10">
      <c r="I5" s="13"/>
    </row>
    <row r="6" spans="2:10" ht="14.25">
      <c r="B6" s="65" t="s">
        <v>104</v>
      </c>
      <c r="C6" s="65" t="s">
        <v>105</v>
      </c>
      <c r="D6" s="66" t="s">
        <v>106</v>
      </c>
      <c r="E6" s="65" t="s">
        <v>107</v>
      </c>
      <c r="F6" s="68" t="s">
        <v>108</v>
      </c>
      <c r="G6" s="69"/>
      <c r="H6" s="69"/>
      <c r="I6" s="69"/>
      <c r="J6" s="70" t="s">
        <v>109</v>
      </c>
    </row>
    <row r="7" spans="2:10" ht="14.25">
      <c r="B7" s="65"/>
      <c r="C7" s="65"/>
      <c r="D7" s="67"/>
      <c r="E7" s="65"/>
      <c r="F7" s="14" t="s">
        <v>113</v>
      </c>
      <c r="G7" s="14" t="s">
        <v>114</v>
      </c>
      <c r="H7" s="14" t="s">
        <v>115</v>
      </c>
      <c r="I7" s="14" t="s">
        <v>110</v>
      </c>
      <c r="J7" s="71"/>
    </row>
    <row r="8" spans="2:10" ht="14.25">
      <c r="B8" s="15" t="s">
        <v>111</v>
      </c>
      <c r="C8" s="15">
        <f>COUNTIF($D$10:$D$27,"&gt;15")</f>
        <v>6</v>
      </c>
      <c r="D8" s="15">
        <f>SUMIF($D$10:$D$27,"&gt;15",$D$10:$D$27)</f>
        <v>120</v>
      </c>
      <c r="E8" s="15">
        <f>SUMIF($D$10:$D$27,"&gt;15",$E$10:$E$27)</f>
        <v>69</v>
      </c>
      <c r="F8" s="55">
        <f t="array" ref="F8">SUM(($D$10:$D$27&gt;15)*($D$10:$D$27)*(F$10:F$27))/($D$8+$D$9)</f>
        <v>0.10666666666666667</v>
      </c>
      <c r="G8" s="55">
        <f t="array" ref="G8">SUM(($D$10:$D$27&gt;15)*($D$10:$D$27)*(G$10:G$27))/($D$8+$D$9)</f>
        <v>0.22999999999999998</v>
      </c>
      <c r="H8" s="55">
        <f t="array" ref="H8">SUM(($D$10:$D$27&gt;15)*($D$10:$D$27)*(H$10:H$27))/($D$8+$D$9)</f>
        <v>0.16333333333333336</v>
      </c>
      <c r="I8" s="56">
        <f>IF(SUM($F$8:$H$9)&lt;&gt;100%,"两行合计不等于100%",SUM(F8:H8))</f>
        <v>0.5</v>
      </c>
      <c r="J8" s="57">
        <f>SUMIF($D$10:$D$27,"&gt;15",$J$10:$J$27)</f>
        <v>57600</v>
      </c>
    </row>
    <row r="9" spans="2:10" ht="14.25">
      <c r="B9" s="15" t="s">
        <v>112</v>
      </c>
      <c r="C9" s="15">
        <f>COUNTIF($D$10:$D$27,"&lt;=15")</f>
        <v>12</v>
      </c>
      <c r="D9" s="15">
        <f>SUMIF($D$10:$D$27,"&lt;=15",$D$10:$D$27)</f>
        <v>120</v>
      </c>
      <c r="E9" s="15">
        <f>SUMIF($D$10:$D$27,"&lt;=15",$E$10:$E$27)</f>
        <v>12</v>
      </c>
      <c r="F9" s="55">
        <f t="array" ref="F9">SUM(($D$10:$D$27&lt;=15)*($D$10:$D$27)*(F$10:F$27))/($D$8+$D$9)</f>
        <v>0.5</v>
      </c>
      <c r="G9" s="55">
        <f t="array" ref="G9">SUM(($D$10:$D$27&lt;=15)*($D$10:$D$27)*(G$10:G$27))/($D$8+$D$9)</f>
        <v>0</v>
      </c>
      <c r="H9" s="55">
        <f t="array" ref="H9">SUM(($D$10:$D$27&lt;=15)*($D$10:$D$27)*(H$10:H$27))/($D$8+$D$9)</f>
        <v>0</v>
      </c>
      <c r="I9" s="56">
        <f>IF(SUM($F$8:$H$9)&lt;&gt;100%,"两行合计不等于100%",SUM(F9:H9))</f>
        <v>0.5</v>
      </c>
      <c r="J9" s="57">
        <f>SUMIF($D$10:$D$27,"&lt;=15",$J$10:$J$27)</f>
        <v>57600</v>
      </c>
    </row>
    <row r="10" spans="2:10" ht="14.25">
      <c r="B10" s="60">
        <v>1</v>
      </c>
      <c r="C10" s="60">
        <v>101</v>
      </c>
      <c r="D10" s="61">
        <v>10</v>
      </c>
      <c r="E10" s="61">
        <v>1</v>
      </c>
      <c r="F10" s="58">
        <v>1</v>
      </c>
      <c r="G10" s="58"/>
      <c r="H10" s="58"/>
      <c r="I10" s="58">
        <f t="shared" ref="I10:I27" si="0">SUM(F10:H10)</f>
        <v>1</v>
      </c>
      <c r="J10" s="59">
        <f t="shared" ref="J10:J27" si="1">$D10/$C$3*$C$4</f>
        <v>4800</v>
      </c>
    </row>
    <row r="11" spans="2:10" ht="14.25">
      <c r="B11" s="60">
        <v>2</v>
      </c>
      <c r="C11" s="60">
        <v>102</v>
      </c>
      <c r="D11" s="61">
        <v>10</v>
      </c>
      <c r="E11" s="61">
        <v>1</v>
      </c>
      <c r="F11" s="58">
        <v>1</v>
      </c>
      <c r="G11" s="58"/>
      <c r="H11" s="58"/>
      <c r="I11" s="58">
        <f t="shared" si="0"/>
        <v>1</v>
      </c>
      <c r="J11" s="59">
        <f t="shared" si="1"/>
        <v>4800</v>
      </c>
    </row>
    <row r="12" spans="2:10" ht="14.25">
      <c r="B12" s="60">
        <v>3</v>
      </c>
      <c r="C12" s="60">
        <v>103</v>
      </c>
      <c r="D12" s="61">
        <v>10</v>
      </c>
      <c r="E12" s="61">
        <v>1</v>
      </c>
      <c r="F12" s="58">
        <v>1</v>
      </c>
      <c r="G12" s="58"/>
      <c r="H12" s="58"/>
      <c r="I12" s="58">
        <f t="shared" si="0"/>
        <v>1</v>
      </c>
      <c r="J12" s="59">
        <f t="shared" si="1"/>
        <v>4800</v>
      </c>
    </row>
    <row r="13" spans="2:10" ht="14.25">
      <c r="B13" s="60">
        <v>4</v>
      </c>
      <c r="C13" s="60">
        <v>104</v>
      </c>
      <c r="D13" s="61">
        <v>10</v>
      </c>
      <c r="E13" s="61">
        <v>1</v>
      </c>
      <c r="F13" s="58">
        <v>1</v>
      </c>
      <c r="G13" s="58"/>
      <c r="H13" s="58"/>
      <c r="I13" s="58">
        <f t="shared" si="0"/>
        <v>1</v>
      </c>
      <c r="J13" s="59">
        <f t="shared" si="1"/>
        <v>4800</v>
      </c>
    </row>
    <row r="14" spans="2:10" ht="14.25">
      <c r="B14" s="60">
        <v>5</v>
      </c>
      <c r="C14" s="60">
        <v>105</v>
      </c>
      <c r="D14" s="61">
        <v>10</v>
      </c>
      <c r="E14" s="61">
        <v>1</v>
      </c>
      <c r="F14" s="58">
        <v>1</v>
      </c>
      <c r="G14" s="58"/>
      <c r="H14" s="58"/>
      <c r="I14" s="58">
        <f t="shared" si="0"/>
        <v>1</v>
      </c>
      <c r="J14" s="59">
        <f t="shared" si="1"/>
        <v>4800</v>
      </c>
    </row>
    <row r="15" spans="2:10" ht="14.25">
      <c r="B15" s="60">
        <v>6</v>
      </c>
      <c r="C15" s="60">
        <v>106</v>
      </c>
      <c r="D15" s="61">
        <v>10</v>
      </c>
      <c r="E15" s="61">
        <v>1</v>
      </c>
      <c r="F15" s="58">
        <v>1</v>
      </c>
      <c r="G15" s="58"/>
      <c r="H15" s="58"/>
      <c r="I15" s="58">
        <f t="shared" si="0"/>
        <v>1</v>
      </c>
      <c r="J15" s="59">
        <f t="shared" si="1"/>
        <v>4800</v>
      </c>
    </row>
    <row r="16" spans="2:10" ht="14.25">
      <c r="B16" s="60">
        <v>7</v>
      </c>
      <c r="C16" s="60">
        <v>107</v>
      </c>
      <c r="D16" s="61">
        <v>10</v>
      </c>
      <c r="E16" s="61">
        <v>1</v>
      </c>
      <c r="F16" s="58">
        <v>1</v>
      </c>
      <c r="G16" s="58"/>
      <c r="H16" s="58"/>
      <c r="I16" s="58">
        <f t="shared" si="0"/>
        <v>1</v>
      </c>
      <c r="J16" s="59">
        <f t="shared" si="1"/>
        <v>4800</v>
      </c>
    </row>
    <row r="17" spans="2:10" ht="14.25">
      <c r="B17" s="60">
        <v>8</v>
      </c>
      <c r="C17" s="60">
        <v>108</v>
      </c>
      <c r="D17" s="61">
        <v>10</v>
      </c>
      <c r="E17" s="61">
        <v>1</v>
      </c>
      <c r="F17" s="58">
        <v>1</v>
      </c>
      <c r="G17" s="58"/>
      <c r="H17" s="58"/>
      <c r="I17" s="58">
        <f t="shared" si="0"/>
        <v>1</v>
      </c>
      <c r="J17" s="59">
        <f t="shared" si="1"/>
        <v>4800</v>
      </c>
    </row>
    <row r="18" spans="2:10" ht="14.25">
      <c r="B18" s="60">
        <v>9</v>
      </c>
      <c r="C18" s="60">
        <v>109</v>
      </c>
      <c r="D18" s="61">
        <v>10</v>
      </c>
      <c r="E18" s="61">
        <v>1</v>
      </c>
      <c r="F18" s="58">
        <v>1</v>
      </c>
      <c r="G18" s="58"/>
      <c r="H18" s="58"/>
      <c r="I18" s="58">
        <f t="shared" si="0"/>
        <v>1</v>
      </c>
      <c r="J18" s="59">
        <f t="shared" si="1"/>
        <v>4800</v>
      </c>
    </row>
    <row r="19" spans="2:10" ht="14.25">
      <c r="B19" s="60">
        <v>10</v>
      </c>
      <c r="C19" s="60">
        <v>110</v>
      </c>
      <c r="D19" s="61">
        <v>10</v>
      </c>
      <c r="E19" s="61">
        <v>1</v>
      </c>
      <c r="F19" s="58">
        <v>1</v>
      </c>
      <c r="G19" s="58"/>
      <c r="H19" s="58"/>
      <c r="I19" s="58">
        <f t="shared" si="0"/>
        <v>1</v>
      </c>
      <c r="J19" s="59">
        <f t="shared" si="1"/>
        <v>4800</v>
      </c>
    </row>
    <row r="20" spans="2:10" ht="14.25">
      <c r="B20" s="60">
        <v>11</v>
      </c>
      <c r="C20" s="60">
        <v>111</v>
      </c>
      <c r="D20" s="61">
        <v>10</v>
      </c>
      <c r="E20" s="61">
        <v>1</v>
      </c>
      <c r="F20" s="58">
        <v>1</v>
      </c>
      <c r="G20" s="58"/>
      <c r="H20" s="58"/>
      <c r="I20" s="58">
        <f t="shared" si="0"/>
        <v>1</v>
      </c>
      <c r="J20" s="59">
        <f t="shared" si="1"/>
        <v>4800</v>
      </c>
    </row>
    <row r="21" spans="2:10" ht="14.25">
      <c r="B21" s="60">
        <v>12</v>
      </c>
      <c r="C21" s="60">
        <v>112</v>
      </c>
      <c r="D21" s="61">
        <v>10</v>
      </c>
      <c r="E21" s="61">
        <v>1</v>
      </c>
      <c r="F21" s="58">
        <v>1</v>
      </c>
      <c r="G21" s="58"/>
      <c r="H21" s="58"/>
      <c r="I21" s="58">
        <f t="shared" si="0"/>
        <v>1</v>
      </c>
      <c r="J21" s="59">
        <f t="shared" si="1"/>
        <v>4800</v>
      </c>
    </row>
    <row r="22" spans="2:10" ht="14.25">
      <c r="B22" s="60">
        <v>13</v>
      </c>
      <c r="C22" s="60">
        <v>113</v>
      </c>
      <c r="D22" s="61">
        <v>16</v>
      </c>
      <c r="E22" s="61">
        <v>6</v>
      </c>
      <c r="F22" s="58">
        <v>0.4</v>
      </c>
      <c r="G22" s="58">
        <v>0.6</v>
      </c>
      <c r="H22" s="58"/>
      <c r="I22" s="58">
        <f t="shared" si="0"/>
        <v>1</v>
      </c>
      <c r="J22" s="59">
        <f t="shared" si="1"/>
        <v>7680.0000000000009</v>
      </c>
    </row>
    <row r="23" spans="2:10" ht="14.25">
      <c r="B23" s="60">
        <v>14</v>
      </c>
      <c r="C23" s="60">
        <v>114</v>
      </c>
      <c r="D23" s="61">
        <v>16</v>
      </c>
      <c r="E23" s="61">
        <v>6</v>
      </c>
      <c r="F23" s="58">
        <v>0.4</v>
      </c>
      <c r="G23" s="58">
        <v>0.6</v>
      </c>
      <c r="H23" s="58"/>
      <c r="I23" s="58">
        <f t="shared" si="0"/>
        <v>1</v>
      </c>
      <c r="J23" s="59">
        <f t="shared" si="1"/>
        <v>7680.0000000000009</v>
      </c>
    </row>
    <row r="24" spans="2:10" ht="14.25">
      <c r="B24" s="60">
        <v>15</v>
      </c>
      <c r="C24" s="60">
        <v>115</v>
      </c>
      <c r="D24" s="61">
        <v>16</v>
      </c>
      <c r="E24" s="61">
        <v>6</v>
      </c>
      <c r="F24" s="58">
        <v>0.4</v>
      </c>
      <c r="G24" s="58">
        <v>0.6</v>
      </c>
      <c r="H24" s="58"/>
      <c r="I24" s="58">
        <f t="shared" si="0"/>
        <v>1</v>
      </c>
      <c r="J24" s="59">
        <f t="shared" si="1"/>
        <v>7680.0000000000009</v>
      </c>
    </row>
    <row r="25" spans="2:10" ht="14.25">
      <c r="B25" s="60">
        <v>16</v>
      </c>
      <c r="C25" s="60">
        <v>116</v>
      </c>
      <c r="D25" s="61">
        <v>16</v>
      </c>
      <c r="E25" s="61">
        <v>6</v>
      </c>
      <c r="F25" s="58">
        <v>0.4</v>
      </c>
      <c r="G25" s="58">
        <v>0.6</v>
      </c>
      <c r="H25" s="58"/>
      <c r="I25" s="58">
        <f t="shared" si="0"/>
        <v>1</v>
      </c>
      <c r="J25" s="59">
        <f t="shared" si="1"/>
        <v>7680.0000000000009</v>
      </c>
    </row>
    <row r="26" spans="2:10" ht="14.25">
      <c r="B26" s="60">
        <v>17</v>
      </c>
      <c r="C26" s="60">
        <v>117</v>
      </c>
      <c r="D26" s="61">
        <v>26</v>
      </c>
      <c r="E26" s="61">
        <v>20</v>
      </c>
      <c r="F26" s="58"/>
      <c r="G26" s="58">
        <v>0.3</v>
      </c>
      <c r="H26" s="58">
        <v>0.7</v>
      </c>
      <c r="I26" s="58">
        <f t="shared" si="0"/>
        <v>1</v>
      </c>
      <c r="J26" s="59">
        <f t="shared" si="1"/>
        <v>12480</v>
      </c>
    </row>
    <row r="27" spans="2:10" ht="14.25">
      <c r="B27" s="60">
        <v>18</v>
      </c>
      <c r="C27" s="60">
        <v>118</v>
      </c>
      <c r="D27" s="61">
        <v>30</v>
      </c>
      <c r="E27" s="61">
        <v>25</v>
      </c>
      <c r="F27" s="58"/>
      <c r="G27" s="58">
        <v>0.3</v>
      </c>
      <c r="H27" s="58">
        <v>0.7</v>
      </c>
      <c r="I27" s="58">
        <f t="shared" si="0"/>
        <v>1</v>
      </c>
      <c r="J27" s="59">
        <f t="shared" si="1"/>
        <v>14400</v>
      </c>
    </row>
    <row r="28" spans="2:10" ht="14.25">
      <c r="B28" s="17" t="s">
        <v>118</v>
      </c>
      <c r="C28" s="17"/>
      <c r="D28" s="16"/>
      <c r="E28" s="16"/>
      <c r="F28" s="18"/>
      <c r="G28" s="18"/>
      <c r="H28" s="18"/>
      <c r="I28" s="18"/>
      <c r="J28" s="16">
        <f>SUM(J10:J27)</f>
        <v>115200</v>
      </c>
    </row>
  </sheetData>
  <sheetProtection password="CF7A" sheet="1" objects="1" scenarios="1"/>
  <mergeCells count="7">
    <mergeCell ref="B1:J1"/>
    <mergeCell ref="B6:B7"/>
    <mergeCell ref="C6:C7"/>
    <mergeCell ref="D6:D7"/>
    <mergeCell ref="E6:E7"/>
    <mergeCell ref="F6:I6"/>
    <mergeCell ref="J6:J7"/>
  </mergeCells>
  <phoneticPr fontId="3" type="noConversion"/>
  <dataValidations count="1">
    <dataValidation type="list" allowBlank="1" showInputMessage="1" showErrorMessage="1" sqref="F10:I27">
      <formula1>"10%,20%,30%,40%,50%,60%,70%,80%,90%,100%"</formula1>
    </dataValidation>
  </dataValidations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87"/>
  <sheetViews>
    <sheetView tabSelected="1" workbookViewId="0">
      <selection activeCell="R43" sqref="R43"/>
    </sheetView>
  </sheetViews>
  <sheetFormatPr defaultRowHeight="13.5"/>
  <cols>
    <col min="1" max="1" width="8.25" customWidth="1"/>
    <col min="2" max="2" width="16" customWidth="1"/>
    <col min="3" max="3" width="10.25" customWidth="1"/>
    <col min="4" max="4" width="9.625" customWidth="1"/>
    <col min="5" max="5" width="11.375" customWidth="1"/>
    <col min="6" max="6" width="14.625" customWidth="1"/>
    <col min="7" max="7" width="23.125" customWidth="1"/>
    <col min="8" max="8" width="11.5" customWidth="1"/>
    <col min="10" max="10" width="9" customWidth="1"/>
    <col min="11" max="11" width="15.5" customWidth="1"/>
    <col min="13" max="13" width="9.5" bestFit="1" customWidth="1"/>
    <col min="14" max="14" width="12.5" customWidth="1"/>
    <col min="15" max="15" width="12.125" customWidth="1"/>
    <col min="16" max="16" width="22.75" customWidth="1"/>
    <col min="17" max="17" width="13.5" customWidth="1"/>
  </cols>
  <sheetData>
    <row r="1" spans="1:17">
      <c r="B1" t="s">
        <v>0</v>
      </c>
    </row>
    <row r="2" spans="1:17" ht="28.5" customHeight="1" thickBot="1">
      <c r="A2" s="73" t="s">
        <v>138</v>
      </c>
      <c r="B2" s="73"/>
      <c r="C2" s="73"/>
      <c r="D2" s="73"/>
      <c r="E2" s="73"/>
      <c r="F2" s="73"/>
      <c r="G2" s="73"/>
      <c r="H2" s="73"/>
      <c r="J2" s="73" t="s">
        <v>139</v>
      </c>
      <c r="K2" s="73"/>
      <c r="L2" s="73"/>
      <c r="M2" s="73"/>
      <c r="N2" s="73"/>
      <c r="O2" s="73"/>
      <c r="P2" s="73"/>
      <c r="Q2" s="73"/>
    </row>
    <row r="3" spans="1:17" s="22" customFormat="1" ht="28.5" customHeight="1">
      <c r="A3" s="123" t="s">
        <v>31</v>
      </c>
      <c r="B3" s="124"/>
      <c r="C3" s="124"/>
      <c r="D3" s="124"/>
      <c r="E3" s="124"/>
      <c r="F3" s="124"/>
      <c r="G3" s="124"/>
      <c r="H3" s="125"/>
      <c r="J3" s="123" t="s">
        <v>31</v>
      </c>
      <c r="K3" s="124"/>
      <c r="L3" s="124"/>
      <c r="M3" s="124"/>
      <c r="N3" s="124"/>
      <c r="O3" s="124"/>
      <c r="P3" s="124"/>
      <c r="Q3" s="125"/>
    </row>
    <row r="4" spans="1:17" s="22" customFormat="1" ht="28.5" customHeight="1">
      <c r="A4" s="126" t="s">
        <v>32</v>
      </c>
      <c r="B4" s="127"/>
      <c r="C4" s="128"/>
      <c r="D4" s="128"/>
      <c r="E4" s="128"/>
      <c r="F4" s="128" t="s">
        <v>38</v>
      </c>
      <c r="G4" s="128"/>
      <c r="H4" s="48">
        <v>6</v>
      </c>
      <c r="J4" s="126" t="s">
        <v>140</v>
      </c>
      <c r="K4" s="127"/>
      <c r="L4" s="128"/>
      <c r="M4" s="128"/>
      <c r="N4" s="128"/>
      <c r="O4" s="128" t="s">
        <v>134</v>
      </c>
      <c r="P4" s="128"/>
      <c r="Q4" s="48">
        <v>12</v>
      </c>
    </row>
    <row r="5" spans="1:17" s="22" customFormat="1" ht="18" customHeight="1">
      <c r="A5" s="23" t="s">
        <v>1</v>
      </c>
      <c r="B5" s="24"/>
      <c r="C5" s="53">
        <f>学习中心教室建设模型!C3</f>
        <v>300</v>
      </c>
      <c r="D5" s="25" t="s">
        <v>2</v>
      </c>
      <c r="E5" s="25"/>
      <c r="F5" s="46">
        <v>36</v>
      </c>
      <c r="G5" s="25" t="s">
        <v>9</v>
      </c>
      <c r="H5" s="47">
        <v>6</v>
      </c>
      <c r="J5" s="23" t="s">
        <v>141</v>
      </c>
      <c r="K5" s="24"/>
      <c r="L5" s="53">
        <f>C5</f>
        <v>300</v>
      </c>
      <c r="M5" s="25" t="s">
        <v>142</v>
      </c>
      <c r="N5" s="25"/>
      <c r="O5" s="46">
        <v>36</v>
      </c>
      <c r="P5" s="25" t="s">
        <v>143</v>
      </c>
      <c r="Q5" s="47">
        <v>12</v>
      </c>
    </row>
    <row r="6" spans="1:17" s="22" customFormat="1" ht="18" customHeight="1">
      <c r="A6" s="120"/>
      <c r="B6" s="121"/>
      <c r="C6" s="121"/>
      <c r="D6" s="121"/>
      <c r="E6" s="121"/>
      <c r="F6" s="121"/>
      <c r="G6" s="121"/>
      <c r="H6" s="122"/>
      <c r="J6" s="120"/>
      <c r="K6" s="121"/>
      <c r="L6" s="121"/>
      <c r="M6" s="121"/>
      <c r="N6" s="121"/>
      <c r="O6" s="121"/>
      <c r="P6" s="121"/>
      <c r="Q6" s="122"/>
    </row>
    <row r="7" spans="1:17" s="22" customFormat="1" ht="18" customHeight="1">
      <c r="A7" s="23" t="s">
        <v>5</v>
      </c>
      <c r="B7" s="24"/>
      <c r="C7" s="53">
        <f>学习中心教室建设模型!C8+学习中心教室建设模型!C9</f>
        <v>18</v>
      </c>
      <c r="D7" s="25" t="s">
        <v>3</v>
      </c>
      <c r="E7" s="25"/>
      <c r="F7" s="53">
        <f>学习中心教室建设模型!J3</f>
        <v>40</v>
      </c>
      <c r="G7" s="25" t="s">
        <v>7</v>
      </c>
      <c r="H7" s="47">
        <v>700</v>
      </c>
      <c r="J7" s="23" t="s">
        <v>144</v>
      </c>
      <c r="K7" s="24"/>
      <c r="L7" s="53">
        <f>C7</f>
        <v>18</v>
      </c>
      <c r="M7" s="25" t="s">
        <v>145</v>
      </c>
      <c r="N7" s="25"/>
      <c r="O7" s="53">
        <f>F7</f>
        <v>40</v>
      </c>
      <c r="P7" s="25" t="s">
        <v>146</v>
      </c>
      <c r="Q7" s="47">
        <v>700</v>
      </c>
    </row>
    <row r="8" spans="1:17" s="22" customFormat="1" ht="18" customHeight="1">
      <c r="A8" s="120"/>
      <c r="B8" s="121"/>
      <c r="C8" s="121"/>
      <c r="D8" s="121"/>
      <c r="E8" s="121"/>
      <c r="F8" s="121"/>
      <c r="G8" s="121"/>
      <c r="H8" s="122"/>
      <c r="J8" s="120"/>
      <c r="K8" s="121"/>
      <c r="L8" s="121"/>
      <c r="M8" s="121"/>
      <c r="N8" s="121"/>
      <c r="O8" s="121"/>
      <c r="P8" s="121"/>
      <c r="Q8" s="122"/>
    </row>
    <row r="9" spans="1:17" s="22" customFormat="1" ht="18" customHeight="1">
      <c r="A9" s="23" t="s">
        <v>6</v>
      </c>
      <c r="B9" s="24"/>
      <c r="C9" s="46">
        <v>10</v>
      </c>
      <c r="D9" s="25" t="s">
        <v>4</v>
      </c>
      <c r="E9" s="25"/>
      <c r="F9" s="46">
        <v>2</v>
      </c>
      <c r="G9" s="25" t="s">
        <v>20</v>
      </c>
      <c r="H9" s="47">
        <v>2000</v>
      </c>
      <c r="J9" s="23" t="s">
        <v>147</v>
      </c>
      <c r="K9" s="24"/>
      <c r="L9" s="46">
        <v>10</v>
      </c>
      <c r="M9" s="25" t="s">
        <v>148</v>
      </c>
      <c r="N9" s="25"/>
      <c r="O9" s="46">
        <v>2</v>
      </c>
      <c r="P9" s="25" t="s">
        <v>149</v>
      </c>
      <c r="Q9" s="47">
        <v>2000</v>
      </c>
    </row>
    <row r="10" spans="1:17" s="22" customFormat="1" ht="18" customHeight="1">
      <c r="A10" s="120"/>
      <c r="B10" s="121"/>
      <c r="C10" s="121"/>
      <c r="D10" s="121"/>
      <c r="E10" s="121"/>
      <c r="F10" s="121"/>
      <c r="G10" s="121"/>
      <c r="H10" s="122"/>
      <c r="J10" s="120"/>
      <c r="K10" s="121"/>
      <c r="L10" s="121"/>
      <c r="M10" s="121"/>
      <c r="N10" s="121"/>
      <c r="O10" s="121"/>
      <c r="P10" s="121"/>
      <c r="Q10" s="122"/>
    </row>
    <row r="11" spans="1:17" s="22" customFormat="1" ht="18" customHeight="1">
      <c r="A11" s="23" t="s">
        <v>8</v>
      </c>
      <c r="B11" s="24"/>
      <c r="C11" s="46">
        <v>30</v>
      </c>
      <c r="D11" s="119" t="s">
        <v>46</v>
      </c>
      <c r="E11" s="114"/>
      <c r="F11" s="46">
        <v>500</v>
      </c>
      <c r="G11" s="25" t="s">
        <v>47</v>
      </c>
      <c r="H11" s="47">
        <v>3000</v>
      </c>
      <c r="J11" s="23" t="s">
        <v>150</v>
      </c>
      <c r="K11" s="24"/>
      <c r="L11" s="46">
        <v>30</v>
      </c>
      <c r="M11" s="119" t="s">
        <v>151</v>
      </c>
      <c r="N11" s="114"/>
      <c r="O11" s="46">
        <v>500</v>
      </c>
      <c r="P11" s="25" t="s">
        <v>152</v>
      </c>
      <c r="Q11" s="47">
        <v>3000</v>
      </c>
    </row>
    <row r="12" spans="1:17" s="22" customFormat="1" ht="18" customHeight="1">
      <c r="A12" s="120"/>
      <c r="B12" s="121"/>
      <c r="C12" s="121"/>
      <c r="D12" s="121"/>
      <c r="E12" s="121"/>
      <c r="F12" s="121"/>
      <c r="G12" s="121"/>
      <c r="H12" s="122"/>
      <c r="J12" s="120"/>
      <c r="K12" s="121"/>
      <c r="L12" s="121"/>
      <c r="M12" s="121"/>
      <c r="N12" s="121"/>
      <c r="O12" s="121"/>
      <c r="P12" s="121"/>
      <c r="Q12" s="122"/>
    </row>
    <row r="13" spans="1:17" s="22" customFormat="1" ht="18" customHeight="1">
      <c r="A13" s="23" t="s">
        <v>10</v>
      </c>
      <c r="B13" s="24"/>
      <c r="C13" s="46">
        <v>80</v>
      </c>
      <c r="D13" s="25" t="s">
        <v>124</v>
      </c>
      <c r="E13" s="25"/>
      <c r="F13" s="46">
        <v>8000</v>
      </c>
      <c r="G13" s="26" t="s">
        <v>79</v>
      </c>
      <c r="H13" s="49">
        <v>0.8</v>
      </c>
      <c r="J13" s="23" t="s">
        <v>153</v>
      </c>
      <c r="K13" s="24"/>
      <c r="L13" s="46">
        <v>150</v>
      </c>
      <c r="M13" s="25" t="s">
        <v>124</v>
      </c>
      <c r="N13" s="25"/>
      <c r="O13" s="46">
        <v>8000</v>
      </c>
      <c r="P13" s="26" t="s">
        <v>154</v>
      </c>
      <c r="Q13" s="49">
        <v>0.8</v>
      </c>
    </row>
    <row r="14" spans="1:17" s="22" customFormat="1" ht="18" customHeight="1">
      <c r="A14" s="120"/>
      <c r="B14" s="121"/>
      <c r="C14" s="121"/>
      <c r="D14" s="121"/>
      <c r="E14" s="121"/>
      <c r="F14" s="121"/>
      <c r="G14" s="121"/>
      <c r="H14" s="122"/>
      <c r="J14" s="120"/>
      <c r="K14" s="121"/>
      <c r="L14" s="121"/>
      <c r="M14" s="121"/>
      <c r="N14" s="121"/>
      <c r="O14" s="121"/>
      <c r="P14" s="121"/>
      <c r="Q14" s="122"/>
    </row>
    <row r="15" spans="1:17" s="22" customFormat="1" ht="18" customHeight="1">
      <c r="A15" s="23" t="s">
        <v>11</v>
      </c>
      <c r="B15" s="24"/>
      <c r="C15" s="46">
        <v>60</v>
      </c>
      <c r="D15" s="25" t="s">
        <v>124</v>
      </c>
      <c r="E15" s="25"/>
      <c r="F15" s="46">
        <v>2000</v>
      </c>
      <c r="G15" s="26" t="s">
        <v>80</v>
      </c>
      <c r="H15" s="49">
        <v>0.95</v>
      </c>
      <c r="J15" s="23" t="s">
        <v>155</v>
      </c>
      <c r="K15" s="24"/>
      <c r="L15" s="46">
        <v>140</v>
      </c>
      <c r="M15" s="25" t="s">
        <v>124</v>
      </c>
      <c r="N15" s="25"/>
      <c r="O15" s="46">
        <v>2000</v>
      </c>
      <c r="P15" s="26" t="s">
        <v>156</v>
      </c>
      <c r="Q15" s="49">
        <v>0.95</v>
      </c>
    </row>
    <row r="16" spans="1:17" s="22" customFormat="1" ht="18" customHeight="1">
      <c r="A16" s="110"/>
      <c r="B16" s="111"/>
      <c r="C16" s="111"/>
      <c r="D16" s="111"/>
      <c r="E16" s="111"/>
      <c r="F16" s="111"/>
      <c r="G16" s="111"/>
      <c r="H16" s="112"/>
      <c r="J16" s="110"/>
      <c r="K16" s="111"/>
      <c r="L16" s="111"/>
      <c r="M16" s="111"/>
      <c r="N16" s="111"/>
      <c r="O16" s="111"/>
      <c r="P16" s="111"/>
      <c r="Q16" s="112"/>
    </row>
    <row r="17" spans="1:17" s="22" customFormat="1" ht="18" customHeight="1">
      <c r="A17" s="23" t="s">
        <v>30</v>
      </c>
      <c r="B17" s="24"/>
      <c r="C17" s="46">
        <v>100</v>
      </c>
      <c r="D17" s="25" t="s">
        <v>124</v>
      </c>
      <c r="E17" s="25"/>
      <c r="F17" s="46">
        <v>800</v>
      </c>
      <c r="G17" s="26" t="s">
        <v>89</v>
      </c>
      <c r="H17" s="49">
        <v>0.95</v>
      </c>
      <c r="J17" s="23" t="s">
        <v>157</v>
      </c>
      <c r="K17" s="24"/>
      <c r="L17" s="46">
        <v>160</v>
      </c>
      <c r="M17" s="25" t="s">
        <v>124</v>
      </c>
      <c r="N17" s="25"/>
      <c r="O17" s="46">
        <v>800</v>
      </c>
      <c r="P17" s="26" t="s">
        <v>158</v>
      </c>
      <c r="Q17" s="49">
        <v>0.95</v>
      </c>
    </row>
    <row r="18" spans="1:17" s="22" customFormat="1" ht="18" customHeight="1">
      <c r="A18" s="110"/>
      <c r="B18" s="111"/>
      <c r="C18" s="111"/>
      <c r="D18" s="111"/>
      <c r="E18" s="111"/>
      <c r="F18" s="111"/>
      <c r="G18" s="111"/>
      <c r="H18" s="112"/>
      <c r="J18" s="110"/>
      <c r="K18" s="111"/>
      <c r="L18" s="111"/>
      <c r="M18" s="111"/>
      <c r="N18" s="111"/>
      <c r="O18" s="111"/>
      <c r="P18" s="111"/>
      <c r="Q18" s="112"/>
    </row>
    <row r="19" spans="1:17" s="22" customFormat="1" ht="18" customHeight="1">
      <c r="A19" s="113" t="s">
        <v>81</v>
      </c>
      <c r="B19" s="114"/>
      <c r="C19" s="49">
        <v>0.05</v>
      </c>
      <c r="D19" s="119" t="s">
        <v>125</v>
      </c>
      <c r="E19" s="114"/>
      <c r="F19" s="46">
        <v>20</v>
      </c>
      <c r="G19" s="26" t="s">
        <v>84</v>
      </c>
      <c r="H19" s="49">
        <v>0.4</v>
      </c>
      <c r="J19" s="113" t="s">
        <v>159</v>
      </c>
      <c r="K19" s="114"/>
      <c r="L19" s="49">
        <v>0.05</v>
      </c>
      <c r="M19" s="119" t="s">
        <v>125</v>
      </c>
      <c r="N19" s="114"/>
      <c r="O19" s="46">
        <v>20</v>
      </c>
      <c r="P19" s="26" t="s">
        <v>160</v>
      </c>
      <c r="Q19" s="49">
        <v>0.4</v>
      </c>
    </row>
    <row r="20" spans="1:17" s="22" customFormat="1" ht="18" customHeight="1">
      <c r="A20" s="110"/>
      <c r="B20" s="111"/>
      <c r="C20" s="111"/>
      <c r="D20" s="111"/>
      <c r="E20" s="111"/>
      <c r="F20" s="111"/>
      <c r="G20" s="111"/>
      <c r="H20" s="112"/>
      <c r="J20" s="110"/>
      <c r="K20" s="111"/>
      <c r="L20" s="111"/>
      <c r="M20" s="111"/>
      <c r="N20" s="111"/>
      <c r="O20" s="111"/>
      <c r="P20" s="111"/>
      <c r="Q20" s="112"/>
    </row>
    <row r="21" spans="1:17" s="22" customFormat="1" ht="18" customHeight="1">
      <c r="A21" s="113" t="s">
        <v>82</v>
      </c>
      <c r="B21" s="114"/>
      <c r="C21" s="49">
        <v>0.03</v>
      </c>
      <c r="D21" s="119" t="s">
        <v>83</v>
      </c>
      <c r="E21" s="114"/>
      <c r="F21" s="49">
        <v>0.12</v>
      </c>
      <c r="G21" s="26" t="s">
        <v>85</v>
      </c>
      <c r="H21" s="49">
        <v>0.3</v>
      </c>
      <c r="J21" s="113" t="s">
        <v>161</v>
      </c>
      <c r="K21" s="114"/>
      <c r="L21" s="49">
        <v>0.03</v>
      </c>
      <c r="M21" s="119" t="s">
        <v>162</v>
      </c>
      <c r="N21" s="114"/>
      <c r="O21" s="49">
        <v>0.12</v>
      </c>
      <c r="P21" s="26" t="s">
        <v>163</v>
      </c>
      <c r="Q21" s="49">
        <v>0.25</v>
      </c>
    </row>
    <row r="22" spans="1:17" s="22" customFormat="1" ht="18" customHeight="1">
      <c r="A22" s="110"/>
      <c r="B22" s="111"/>
      <c r="C22" s="111"/>
      <c r="D22" s="111"/>
      <c r="E22" s="111"/>
      <c r="F22" s="111"/>
      <c r="G22" s="111"/>
      <c r="H22" s="112"/>
      <c r="J22" s="110"/>
      <c r="K22" s="111"/>
      <c r="L22" s="111"/>
      <c r="M22" s="111"/>
      <c r="N22" s="111"/>
      <c r="O22" s="111"/>
      <c r="P22" s="111"/>
      <c r="Q22" s="112"/>
    </row>
    <row r="23" spans="1:17" s="22" customFormat="1" ht="18" customHeight="1">
      <c r="A23" s="113" t="s">
        <v>95</v>
      </c>
      <c r="B23" s="114"/>
      <c r="C23" s="50">
        <v>7.7999999999999996E-3</v>
      </c>
      <c r="D23" s="115" t="s">
        <v>96</v>
      </c>
      <c r="E23" s="116"/>
      <c r="F23" s="49">
        <v>0.7</v>
      </c>
      <c r="G23" s="27" t="s">
        <v>97</v>
      </c>
      <c r="H23" s="49">
        <v>0.05</v>
      </c>
      <c r="J23" s="113" t="s">
        <v>164</v>
      </c>
      <c r="K23" s="114"/>
      <c r="L23" s="50">
        <v>7.7999999999999996E-3</v>
      </c>
      <c r="M23" s="115" t="s">
        <v>165</v>
      </c>
      <c r="N23" s="116"/>
      <c r="O23" s="49">
        <v>0.7</v>
      </c>
      <c r="P23" s="27" t="s">
        <v>166</v>
      </c>
      <c r="Q23" s="49">
        <v>0.05</v>
      </c>
    </row>
    <row r="24" spans="1:17" s="22" customFormat="1" ht="18" customHeight="1">
      <c r="A24" s="110"/>
      <c r="B24" s="111"/>
      <c r="C24" s="111"/>
      <c r="D24" s="111"/>
      <c r="E24" s="111"/>
      <c r="F24" s="111"/>
      <c r="G24" s="111"/>
      <c r="H24" s="112"/>
      <c r="J24" s="110"/>
      <c r="K24" s="111"/>
      <c r="L24" s="111"/>
      <c r="M24" s="111"/>
      <c r="N24" s="111"/>
      <c r="O24" s="111"/>
      <c r="P24" s="111"/>
      <c r="Q24" s="112"/>
    </row>
    <row r="25" spans="1:17" s="22" customFormat="1" ht="18" customHeight="1">
      <c r="A25" s="113" t="s">
        <v>90</v>
      </c>
      <c r="B25" s="114"/>
      <c r="C25" s="49">
        <v>0.08</v>
      </c>
      <c r="D25" s="115" t="s">
        <v>91</v>
      </c>
      <c r="E25" s="116"/>
      <c r="F25" s="49">
        <v>0.04</v>
      </c>
      <c r="G25" s="27" t="s">
        <v>92</v>
      </c>
      <c r="H25" s="51">
        <v>50</v>
      </c>
      <c r="J25" s="113" t="s">
        <v>167</v>
      </c>
      <c r="K25" s="114"/>
      <c r="L25" s="49">
        <v>0.08</v>
      </c>
      <c r="M25" s="115" t="s">
        <v>168</v>
      </c>
      <c r="N25" s="116"/>
      <c r="O25" s="49">
        <v>0.04</v>
      </c>
      <c r="P25" s="27" t="s">
        <v>169</v>
      </c>
      <c r="Q25" s="51">
        <v>50</v>
      </c>
    </row>
    <row r="26" spans="1:17" s="22" customFormat="1" ht="18" customHeight="1">
      <c r="A26" s="110"/>
      <c r="B26" s="111"/>
      <c r="C26" s="111"/>
      <c r="D26" s="111"/>
      <c r="E26" s="111"/>
      <c r="F26" s="111"/>
      <c r="G26" s="111"/>
      <c r="H26" s="112"/>
      <c r="J26" s="110"/>
      <c r="K26" s="111"/>
      <c r="L26" s="111"/>
      <c r="M26" s="111"/>
      <c r="N26" s="111"/>
      <c r="O26" s="111"/>
      <c r="P26" s="111"/>
      <c r="Q26" s="112"/>
    </row>
    <row r="27" spans="1:17" s="22" customFormat="1" ht="18" customHeight="1" thickBot="1">
      <c r="A27" s="117" t="s">
        <v>86</v>
      </c>
      <c r="B27" s="118"/>
      <c r="C27" s="54">
        <f>学习中心教室建设模型!F3</f>
        <v>0.8</v>
      </c>
      <c r="D27" s="117" t="s">
        <v>87</v>
      </c>
      <c r="E27" s="118"/>
      <c r="F27" s="54">
        <f>学习中心教室建设模型!F4</f>
        <v>0.2</v>
      </c>
      <c r="G27" s="28" t="s">
        <v>88</v>
      </c>
      <c r="H27" s="52">
        <v>7.0000000000000007E-2</v>
      </c>
      <c r="J27" s="117" t="s">
        <v>170</v>
      </c>
      <c r="K27" s="118"/>
      <c r="L27" s="54">
        <f>C27</f>
        <v>0.8</v>
      </c>
      <c r="M27" s="117" t="s">
        <v>171</v>
      </c>
      <c r="N27" s="118"/>
      <c r="O27" s="54">
        <f>F27</f>
        <v>0.2</v>
      </c>
      <c r="P27" s="28" t="s">
        <v>172</v>
      </c>
      <c r="Q27" s="52">
        <v>7.0000000000000007E-2</v>
      </c>
    </row>
    <row r="28" spans="1:17" ht="18" customHeight="1">
      <c r="A28" s="3"/>
      <c r="B28" s="3"/>
      <c r="C28" s="4"/>
      <c r="D28" s="5"/>
      <c r="E28" s="5"/>
      <c r="F28" s="6"/>
      <c r="G28" s="7"/>
      <c r="H28" s="4"/>
    </row>
    <row r="29" spans="1:17" ht="18" customHeight="1">
      <c r="A29" s="3"/>
      <c r="B29" s="72" t="s">
        <v>136</v>
      </c>
      <c r="C29" s="72"/>
      <c r="D29" s="72"/>
      <c r="E29" s="72"/>
      <c r="F29" s="72"/>
      <c r="G29" s="72"/>
      <c r="H29" s="4"/>
      <c r="K29" s="72" t="s">
        <v>137</v>
      </c>
      <c r="L29" s="72"/>
      <c r="M29" s="72"/>
      <c r="N29" s="72"/>
      <c r="O29" s="72"/>
      <c r="P29" s="72"/>
    </row>
    <row r="30" spans="1:17" ht="18" customHeight="1" thickBot="1"/>
    <row r="31" spans="1:17" ht="18" customHeight="1">
      <c r="A31" s="75" t="s">
        <v>12</v>
      </c>
      <c r="B31" s="75"/>
      <c r="C31" s="75"/>
      <c r="D31" s="75"/>
      <c r="E31" s="75" t="s">
        <v>14</v>
      </c>
      <c r="F31" s="75"/>
      <c r="G31" s="75"/>
      <c r="H31" s="75"/>
      <c r="J31" s="104" t="s">
        <v>12</v>
      </c>
      <c r="K31" s="105"/>
      <c r="L31" s="105"/>
      <c r="M31" s="105"/>
      <c r="N31" s="105" t="s">
        <v>14</v>
      </c>
      <c r="O31" s="105"/>
      <c r="P31" s="105"/>
      <c r="Q31" s="106"/>
    </row>
    <row r="32" spans="1:17" ht="18" customHeight="1">
      <c r="A32" s="129" t="s">
        <v>49</v>
      </c>
      <c r="B32" s="130" t="s">
        <v>36</v>
      </c>
      <c r="C32" s="132">
        <v>500000</v>
      </c>
      <c r="D32" s="132"/>
      <c r="E32" s="133" t="s">
        <v>28</v>
      </c>
      <c r="F32" s="8" t="s">
        <v>48</v>
      </c>
      <c r="G32" s="100"/>
      <c r="H32" s="100"/>
      <c r="J32" s="93" t="s">
        <v>132</v>
      </c>
      <c r="K32" s="107" t="s">
        <v>133</v>
      </c>
      <c r="L32" s="99">
        <f>C57</f>
        <v>424886.39697599999</v>
      </c>
      <c r="M32" s="99"/>
      <c r="N32" s="94" t="s">
        <v>28</v>
      </c>
      <c r="O32" s="8" t="s">
        <v>48</v>
      </c>
      <c r="P32" s="100"/>
      <c r="Q32" s="101"/>
    </row>
    <row r="33" spans="1:17" ht="18" customHeight="1">
      <c r="A33" s="129"/>
      <c r="B33" s="130"/>
      <c r="C33" s="132"/>
      <c r="D33" s="132"/>
      <c r="E33" s="133"/>
      <c r="F33" s="9" t="s">
        <v>16</v>
      </c>
      <c r="G33" s="43">
        <f>C5*F7*H5</f>
        <v>72000</v>
      </c>
      <c r="H33" s="44"/>
      <c r="J33" s="93"/>
      <c r="K33" s="108"/>
      <c r="L33" s="99"/>
      <c r="M33" s="99"/>
      <c r="N33" s="95"/>
      <c r="O33" s="9" t="s">
        <v>16</v>
      </c>
      <c r="P33" s="100">
        <f>(L5*L27*O7*Q5)+(L5*O27*O7*Q5)</f>
        <v>144000</v>
      </c>
      <c r="Q33" s="101"/>
    </row>
    <row r="34" spans="1:17" ht="18" customHeight="1">
      <c r="A34" s="129"/>
      <c r="B34" s="130"/>
      <c r="C34" s="132"/>
      <c r="D34" s="132"/>
      <c r="E34" s="133"/>
      <c r="F34" s="9" t="s">
        <v>15</v>
      </c>
      <c r="G34" s="43">
        <f>C5*F9*H4</f>
        <v>3600</v>
      </c>
      <c r="H34" s="44"/>
      <c r="J34" s="93"/>
      <c r="K34" s="108"/>
      <c r="L34" s="99"/>
      <c r="M34" s="99"/>
      <c r="N34" s="95"/>
      <c r="O34" s="9" t="s">
        <v>15</v>
      </c>
      <c r="P34" s="100">
        <f>L5*O9*Q4</f>
        <v>7200</v>
      </c>
      <c r="Q34" s="101"/>
    </row>
    <row r="35" spans="1:17" ht="18" customHeight="1">
      <c r="A35" s="129"/>
      <c r="B35" s="130"/>
      <c r="C35" s="132"/>
      <c r="D35" s="132"/>
      <c r="E35" s="133"/>
      <c r="F35" s="9" t="s">
        <v>17</v>
      </c>
      <c r="G35" s="43">
        <f>C5*H7</f>
        <v>210000</v>
      </c>
      <c r="H35" s="44" t="s">
        <v>127</v>
      </c>
      <c r="J35" s="93"/>
      <c r="K35" s="108"/>
      <c r="L35" s="99"/>
      <c r="M35" s="99"/>
      <c r="N35" s="95"/>
      <c r="O35" s="9" t="s">
        <v>17</v>
      </c>
      <c r="P35" s="100"/>
      <c r="Q35" s="101"/>
    </row>
    <row r="36" spans="1:17" ht="18" customHeight="1">
      <c r="A36" s="129"/>
      <c r="B36" s="130"/>
      <c r="C36" s="132"/>
      <c r="D36" s="132"/>
      <c r="E36" s="133"/>
      <c r="F36" s="9" t="s">
        <v>18</v>
      </c>
      <c r="G36" s="43">
        <f>C7*H11</f>
        <v>54000</v>
      </c>
      <c r="H36" s="45" t="s">
        <v>128</v>
      </c>
      <c r="J36" s="93"/>
      <c r="K36" s="108"/>
      <c r="L36" s="99"/>
      <c r="M36" s="99"/>
      <c r="N36" s="95"/>
      <c r="O36" s="9" t="s">
        <v>18</v>
      </c>
      <c r="P36" s="100"/>
      <c r="Q36" s="101"/>
    </row>
    <row r="37" spans="1:17" ht="18" customHeight="1">
      <c r="A37" s="129"/>
      <c r="B37" s="130"/>
      <c r="C37" s="132"/>
      <c r="D37" s="132"/>
      <c r="E37" s="133"/>
      <c r="F37" s="9" t="s">
        <v>26</v>
      </c>
      <c r="G37" s="43">
        <f>C11*F11</f>
        <v>15000</v>
      </c>
      <c r="H37" s="45" t="s">
        <v>129</v>
      </c>
      <c r="J37" s="93"/>
      <c r="K37" s="108"/>
      <c r="L37" s="99"/>
      <c r="M37" s="99"/>
      <c r="N37" s="95"/>
      <c r="O37" s="9" t="s">
        <v>26</v>
      </c>
      <c r="P37" s="102"/>
      <c r="Q37" s="103"/>
    </row>
    <row r="38" spans="1:17" ht="18" customHeight="1">
      <c r="A38" s="129"/>
      <c r="B38" s="130"/>
      <c r="C38" s="132"/>
      <c r="D38" s="132"/>
      <c r="E38" s="133"/>
      <c r="F38" s="9" t="s">
        <v>19</v>
      </c>
      <c r="G38" s="43">
        <f>C9*H9*H4</f>
        <v>120000</v>
      </c>
      <c r="H38" s="45"/>
      <c r="J38" s="93"/>
      <c r="K38" s="108"/>
      <c r="L38" s="99"/>
      <c r="M38" s="99"/>
      <c r="N38" s="95"/>
      <c r="O38" s="9" t="s">
        <v>19</v>
      </c>
      <c r="P38" s="100">
        <f>L9*Q9*Q4</f>
        <v>240000</v>
      </c>
      <c r="Q38" s="101"/>
    </row>
    <row r="39" spans="1:17" ht="18" customHeight="1">
      <c r="A39" s="129"/>
      <c r="B39" s="130"/>
      <c r="C39" s="132"/>
      <c r="D39" s="132"/>
      <c r="E39" s="133"/>
      <c r="F39" s="9" t="s">
        <v>93</v>
      </c>
      <c r="G39" s="43">
        <f>C9*H9*C25*H4</f>
        <v>9600</v>
      </c>
      <c r="H39" s="45"/>
      <c r="J39" s="93"/>
      <c r="K39" s="108"/>
      <c r="L39" s="99"/>
      <c r="M39" s="99"/>
      <c r="N39" s="95"/>
      <c r="O39" s="9" t="s">
        <v>93</v>
      </c>
      <c r="P39" s="102">
        <f>L9*Q9*L25*Q4</f>
        <v>19200</v>
      </c>
      <c r="Q39" s="103"/>
    </row>
    <row r="40" spans="1:17" ht="18" customHeight="1">
      <c r="A40" s="129"/>
      <c r="B40" s="130"/>
      <c r="C40" s="132"/>
      <c r="D40" s="132"/>
      <c r="E40" s="133"/>
      <c r="F40" s="9" t="s">
        <v>94</v>
      </c>
      <c r="G40" s="43">
        <f>C9*H9*F25*H4</f>
        <v>4800</v>
      </c>
      <c r="H40" s="45"/>
      <c r="J40" s="93"/>
      <c r="K40" s="108"/>
      <c r="L40" s="99"/>
      <c r="M40" s="99"/>
      <c r="N40" s="95"/>
      <c r="O40" s="9" t="s">
        <v>94</v>
      </c>
      <c r="P40" s="100">
        <f>L9*Q9*O25*Q4</f>
        <v>9600</v>
      </c>
      <c r="Q40" s="101"/>
    </row>
    <row r="41" spans="1:17" ht="18" customHeight="1">
      <c r="A41" s="129"/>
      <c r="B41" s="130"/>
      <c r="C41" s="132"/>
      <c r="D41" s="132"/>
      <c r="E41" s="133"/>
      <c r="F41" s="9" t="s">
        <v>126</v>
      </c>
      <c r="G41" s="43">
        <v>120000</v>
      </c>
      <c r="H41" s="45" t="s">
        <v>130</v>
      </c>
      <c r="J41" s="93"/>
      <c r="K41" s="109"/>
      <c r="L41" s="99"/>
      <c r="M41" s="99"/>
      <c r="N41" s="95"/>
      <c r="O41" s="9" t="s">
        <v>126</v>
      </c>
      <c r="P41" s="100"/>
      <c r="Q41" s="101"/>
    </row>
    <row r="42" spans="1:17" ht="18" customHeight="1">
      <c r="A42" s="129"/>
      <c r="B42" s="1" t="s">
        <v>33</v>
      </c>
      <c r="C42" s="99">
        <f>SUM(C32:C40)</f>
        <v>500000</v>
      </c>
      <c r="D42" s="99"/>
      <c r="E42" s="133"/>
      <c r="F42" s="20" t="s">
        <v>33</v>
      </c>
      <c r="G42" s="100">
        <f>SUM(G33:G40)</f>
        <v>489000</v>
      </c>
      <c r="H42" s="100"/>
      <c r="J42" s="93"/>
      <c r="K42" s="1" t="s">
        <v>33</v>
      </c>
      <c r="L42" s="87">
        <f>SUM(L32:L40)</f>
        <v>424886.39697599999</v>
      </c>
      <c r="M42" s="87"/>
      <c r="N42" s="96"/>
      <c r="O42" s="20" t="s">
        <v>33</v>
      </c>
      <c r="P42" s="100">
        <f>SUM(P33:P40)</f>
        <v>420000</v>
      </c>
      <c r="Q42" s="101"/>
    </row>
    <row r="43" spans="1:17" ht="18" customHeight="1">
      <c r="A43" s="75" t="s">
        <v>34</v>
      </c>
      <c r="B43" s="75"/>
      <c r="C43" s="135">
        <f>C42-G42</f>
        <v>11000</v>
      </c>
      <c r="D43" s="135"/>
      <c r="E43" s="135"/>
      <c r="F43" s="135"/>
      <c r="G43" s="135"/>
      <c r="H43" s="135"/>
      <c r="J43" s="75" t="s">
        <v>34</v>
      </c>
      <c r="K43" s="75"/>
      <c r="L43" s="91">
        <f>L42-P42</f>
        <v>4886.3969759999891</v>
      </c>
      <c r="M43" s="91"/>
      <c r="N43" s="91"/>
      <c r="O43" s="91"/>
      <c r="P43" s="91"/>
      <c r="Q43" s="92"/>
    </row>
    <row r="44" spans="1:17" ht="18" customHeight="1">
      <c r="A44" s="129" t="s">
        <v>27</v>
      </c>
      <c r="B44" s="11" t="s">
        <v>13</v>
      </c>
      <c r="C44" s="131">
        <f>C13*F13</f>
        <v>640000</v>
      </c>
      <c r="D44" s="131"/>
      <c r="E44" s="133" t="s">
        <v>29</v>
      </c>
      <c r="F44" s="8" t="s">
        <v>41</v>
      </c>
      <c r="G44" s="85">
        <f>C55*H23</f>
        <v>42000</v>
      </c>
      <c r="H44" s="85"/>
      <c r="J44" s="93" t="s">
        <v>27</v>
      </c>
      <c r="K44" s="11" t="s">
        <v>13</v>
      </c>
      <c r="L44" s="84">
        <f>L13*O13</f>
        <v>1200000</v>
      </c>
      <c r="M44" s="84"/>
      <c r="N44" s="94" t="s">
        <v>29</v>
      </c>
      <c r="O44" s="8" t="s">
        <v>41</v>
      </c>
      <c r="P44" s="85">
        <f>L55*Q23</f>
        <v>80400</v>
      </c>
      <c r="Q44" s="86"/>
    </row>
    <row r="45" spans="1:17" ht="18" customHeight="1">
      <c r="A45" s="129"/>
      <c r="B45" s="11" t="s">
        <v>21</v>
      </c>
      <c r="C45" s="131">
        <f>C15*F15</f>
        <v>120000</v>
      </c>
      <c r="D45" s="131"/>
      <c r="E45" s="133"/>
      <c r="F45" s="9" t="s">
        <v>39</v>
      </c>
      <c r="G45" s="85">
        <f>(C44*H13/1+C21)*C21+(C45*H15/1+C21)*C21+(C46*H17/1+C21)*C21</f>
        <v>21060.002700000001</v>
      </c>
      <c r="H45" s="85"/>
      <c r="J45" s="93"/>
      <c r="K45" s="11" t="s">
        <v>21</v>
      </c>
      <c r="L45" s="84">
        <f>L15*O15</f>
        <v>280000</v>
      </c>
      <c r="M45" s="84"/>
      <c r="N45" s="95"/>
      <c r="O45" s="9" t="s">
        <v>39</v>
      </c>
      <c r="P45" s="85">
        <f>(L44*Q13/1+L21)*L21+(L45*Q15/1+L21)*L21+(L46*Q17/1+L21)*L21</f>
        <v>40428.002699999997</v>
      </c>
      <c r="Q45" s="86"/>
    </row>
    <row r="46" spans="1:17" ht="18" customHeight="1">
      <c r="A46" s="129"/>
      <c r="B46" s="11" t="s">
        <v>22</v>
      </c>
      <c r="C46" s="131">
        <f>C17*F17</f>
        <v>80000</v>
      </c>
      <c r="D46" s="131"/>
      <c r="E46" s="133"/>
      <c r="F46" s="9" t="s">
        <v>40</v>
      </c>
      <c r="G46" s="85">
        <f>G45*F21</f>
        <v>2527.2003239999999</v>
      </c>
      <c r="H46" s="85"/>
      <c r="J46" s="93"/>
      <c r="K46" s="11" t="s">
        <v>22</v>
      </c>
      <c r="L46" s="97">
        <f>L17*O17</f>
        <v>128000</v>
      </c>
      <c r="M46" s="98"/>
      <c r="N46" s="95"/>
      <c r="O46" s="9" t="s">
        <v>40</v>
      </c>
      <c r="P46" s="85">
        <f>P45*O21</f>
        <v>4851.3603239999993</v>
      </c>
      <c r="Q46" s="86"/>
    </row>
    <row r="47" spans="1:17" ht="18" customHeight="1">
      <c r="A47" s="129"/>
      <c r="B47" s="11"/>
      <c r="C47" s="131"/>
      <c r="D47" s="131"/>
      <c r="E47" s="133"/>
      <c r="F47" s="9" t="s">
        <v>23</v>
      </c>
      <c r="G47" s="85">
        <f>C55*C19</f>
        <v>42000</v>
      </c>
      <c r="H47" s="85"/>
      <c r="J47" s="93"/>
      <c r="K47" s="11"/>
      <c r="L47" s="84"/>
      <c r="M47" s="84"/>
      <c r="N47" s="95"/>
      <c r="O47" s="9" t="s">
        <v>23</v>
      </c>
      <c r="P47" s="85">
        <f>L55*L19</f>
        <v>80400</v>
      </c>
      <c r="Q47" s="86"/>
    </row>
    <row r="48" spans="1:17" ht="18" customHeight="1">
      <c r="A48" s="129"/>
      <c r="B48" s="11"/>
      <c r="C48" s="131"/>
      <c r="D48" s="131"/>
      <c r="E48" s="133"/>
      <c r="F48" s="9" t="s">
        <v>42</v>
      </c>
      <c r="G48" s="85">
        <f>C44*H13*H19</f>
        <v>204800</v>
      </c>
      <c r="H48" s="85"/>
      <c r="J48" s="93"/>
      <c r="K48" s="11"/>
      <c r="L48" s="84"/>
      <c r="M48" s="84"/>
      <c r="N48" s="95"/>
      <c r="O48" s="9" t="s">
        <v>42</v>
      </c>
      <c r="P48" s="85">
        <f>L44*Q13*Q19</f>
        <v>384000</v>
      </c>
      <c r="Q48" s="86"/>
    </row>
    <row r="49" spans="1:17" ht="18" customHeight="1">
      <c r="A49" s="129"/>
      <c r="B49" s="11"/>
      <c r="C49" s="131"/>
      <c r="D49" s="131"/>
      <c r="E49" s="133"/>
      <c r="F49" s="9" t="s">
        <v>43</v>
      </c>
      <c r="G49" s="85">
        <f>(C45*H15*H21)+(C46*H17*H21)</f>
        <v>57000</v>
      </c>
      <c r="H49" s="85"/>
      <c r="J49" s="93"/>
      <c r="K49" s="11"/>
      <c r="L49" s="84"/>
      <c r="M49" s="84"/>
      <c r="N49" s="95"/>
      <c r="O49" s="9" t="s">
        <v>43</v>
      </c>
      <c r="P49" s="85">
        <f>(L45*Q15*Q21)+(L46*Q17*Q21)</f>
        <v>96900</v>
      </c>
      <c r="Q49" s="86"/>
    </row>
    <row r="50" spans="1:17" ht="18" customHeight="1">
      <c r="A50" s="129"/>
      <c r="B50" s="11"/>
      <c r="C50" s="131"/>
      <c r="D50" s="131"/>
      <c r="E50" s="133"/>
      <c r="F50" s="9" t="s">
        <v>44</v>
      </c>
      <c r="G50" s="85">
        <f>(C44*H13*H27)+(C45*H15*H27)+(C46*H17*H27)</f>
        <v>49140</v>
      </c>
      <c r="H50" s="85"/>
      <c r="J50" s="93"/>
      <c r="K50" s="11"/>
      <c r="L50" s="84"/>
      <c r="M50" s="84"/>
      <c r="N50" s="95"/>
      <c r="O50" s="9" t="s">
        <v>44</v>
      </c>
      <c r="P50" s="85">
        <f>(L44*Q13*Q27)+(L45*Q15*Q27)+(L46*Q17*Q27)</f>
        <v>94332</v>
      </c>
      <c r="Q50" s="86"/>
    </row>
    <row r="51" spans="1:17" ht="18" customHeight="1">
      <c r="A51" s="129"/>
      <c r="B51" s="11"/>
      <c r="C51" s="131"/>
      <c r="D51" s="131"/>
      <c r="E51" s="133"/>
      <c r="F51" s="21" t="s">
        <v>45</v>
      </c>
      <c r="G51" s="89"/>
      <c r="H51" s="89"/>
      <c r="J51" s="93"/>
      <c r="K51" s="11"/>
      <c r="L51" s="84"/>
      <c r="M51" s="84"/>
      <c r="N51" s="95"/>
      <c r="O51" s="10" t="s">
        <v>45</v>
      </c>
      <c r="P51" s="89"/>
      <c r="Q51" s="90"/>
    </row>
    <row r="52" spans="1:17" ht="18" customHeight="1">
      <c r="A52" s="129"/>
      <c r="B52" s="11"/>
      <c r="C52" s="131"/>
      <c r="D52" s="131"/>
      <c r="E52" s="133"/>
      <c r="F52" s="9" t="s">
        <v>24</v>
      </c>
      <c r="G52" s="89"/>
      <c r="H52" s="89"/>
      <c r="J52" s="93"/>
      <c r="K52" s="11"/>
      <c r="L52" s="84"/>
      <c r="M52" s="84"/>
      <c r="N52" s="95"/>
      <c r="O52" s="9" t="s">
        <v>24</v>
      </c>
      <c r="P52" s="89"/>
      <c r="Q52" s="90"/>
    </row>
    <row r="53" spans="1:17" ht="18" customHeight="1">
      <c r="A53" s="129"/>
      <c r="B53" s="11"/>
      <c r="C53" s="131"/>
      <c r="D53" s="131"/>
      <c r="E53" s="133"/>
      <c r="F53" s="9" t="s">
        <v>25</v>
      </c>
      <c r="G53" s="85">
        <f>C9*H25*H4</f>
        <v>3000</v>
      </c>
      <c r="H53" s="85"/>
      <c r="J53" s="93"/>
      <c r="K53" s="11"/>
      <c r="L53" s="84"/>
      <c r="M53" s="84"/>
      <c r="N53" s="95"/>
      <c r="O53" s="9" t="s">
        <v>25</v>
      </c>
      <c r="P53" s="85">
        <f>L9*Q25*Q4</f>
        <v>6000</v>
      </c>
      <c r="Q53" s="86"/>
    </row>
    <row r="54" spans="1:17" ht="18" customHeight="1">
      <c r="A54" s="129"/>
      <c r="B54" s="11"/>
      <c r="C54" s="131"/>
      <c r="D54" s="131"/>
      <c r="E54" s="133"/>
      <c r="F54" s="9" t="s">
        <v>73</v>
      </c>
      <c r="G54" s="85">
        <f>C55*F23*C23</f>
        <v>4586.3999999999996</v>
      </c>
      <c r="H54" s="85"/>
      <c r="J54" s="93"/>
      <c r="K54" s="11"/>
      <c r="L54" s="84"/>
      <c r="M54" s="84"/>
      <c r="N54" s="95"/>
      <c r="O54" s="9" t="s">
        <v>69</v>
      </c>
      <c r="P54" s="85">
        <f>L55*O23*L23</f>
        <v>8779.68</v>
      </c>
      <c r="Q54" s="86"/>
    </row>
    <row r="55" spans="1:17" ht="18" customHeight="1">
      <c r="A55" s="129"/>
      <c r="B55" s="1" t="s">
        <v>33</v>
      </c>
      <c r="C55" s="87">
        <f>SUM(C44:D54)</f>
        <v>840000</v>
      </c>
      <c r="D55" s="87"/>
      <c r="E55" s="133"/>
      <c r="F55" s="2" t="s">
        <v>33</v>
      </c>
      <c r="G55" s="100">
        <f>SUM(G44:H54)</f>
        <v>426113.60302400001</v>
      </c>
      <c r="H55" s="100"/>
      <c r="J55" s="93"/>
      <c r="K55" s="1" t="s">
        <v>33</v>
      </c>
      <c r="L55" s="87">
        <f>SUM(L44:M54)</f>
        <v>1608000</v>
      </c>
      <c r="M55" s="87"/>
      <c r="N55" s="96"/>
      <c r="O55" s="2" t="s">
        <v>33</v>
      </c>
      <c r="P55" s="87">
        <f>SUM(P44:Q54)</f>
        <v>796091.04302400001</v>
      </c>
      <c r="Q55" s="88"/>
    </row>
    <row r="56" spans="1:17" ht="18" customHeight="1">
      <c r="A56" s="75" t="s">
        <v>35</v>
      </c>
      <c r="B56" s="75"/>
      <c r="C56" s="134">
        <f>C55-G55</f>
        <v>413886.39697599999</v>
      </c>
      <c r="D56" s="134"/>
      <c r="E56" s="134"/>
      <c r="F56" s="134"/>
      <c r="G56" s="134"/>
      <c r="H56" s="134"/>
      <c r="J56" s="74" t="s">
        <v>35</v>
      </c>
      <c r="K56" s="75"/>
      <c r="L56" s="76">
        <f>L55-P55</f>
        <v>811908.95697599999</v>
      </c>
      <c r="M56" s="77"/>
      <c r="N56" s="77"/>
      <c r="O56" s="77"/>
      <c r="P56" s="77"/>
      <c r="Q56" s="78"/>
    </row>
    <row r="57" spans="1:17" ht="18" customHeight="1" thickBot="1">
      <c r="A57" s="75" t="s">
        <v>37</v>
      </c>
      <c r="B57" s="75"/>
      <c r="C57" s="87">
        <f>C43+C56</f>
        <v>424886.39697599999</v>
      </c>
      <c r="D57" s="87"/>
      <c r="E57" s="87"/>
      <c r="F57" s="87"/>
      <c r="G57" s="87"/>
      <c r="H57" s="87"/>
      <c r="J57" s="79" t="s">
        <v>37</v>
      </c>
      <c r="K57" s="80"/>
      <c r="L57" s="81">
        <f>L43+L56</f>
        <v>816795.35395199992</v>
      </c>
      <c r="M57" s="81"/>
      <c r="N57" s="81"/>
      <c r="O57" s="81"/>
      <c r="P57" s="81"/>
      <c r="Q57" s="82"/>
    </row>
    <row r="58" spans="1:17" ht="18" customHeight="1"/>
    <row r="59" spans="1:17" s="29" customFormat="1" ht="18" customHeight="1">
      <c r="B59" s="83" t="s">
        <v>123</v>
      </c>
      <c r="C59" s="83"/>
      <c r="D59" s="83"/>
      <c r="E59" s="83"/>
      <c r="F59" s="83"/>
      <c r="G59" s="83"/>
      <c r="K59" s="83" t="s">
        <v>135</v>
      </c>
      <c r="L59" s="83"/>
      <c r="M59" s="83"/>
      <c r="N59" s="83"/>
      <c r="O59" s="83"/>
      <c r="P59" s="83"/>
    </row>
    <row r="60" spans="1:17" s="29" customFormat="1" ht="18" customHeight="1"/>
    <row r="61" spans="1:17" s="29" customFormat="1" ht="18" customHeight="1">
      <c r="B61" s="30" t="s">
        <v>50</v>
      </c>
      <c r="C61" s="30" t="s">
        <v>74</v>
      </c>
      <c r="D61" s="30" t="s">
        <v>75</v>
      </c>
      <c r="E61" s="30" t="s">
        <v>76</v>
      </c>
      <c r="F61" s="30" t="s">
        <v>77</v>
      </c>
      <c r="G61" s="30" t="s">
        <v>78</v>
      </c>
      <c r="H61" s="31" t="s">
        <v>131</v>
      </c>
      <c r="K61" s="30" t="s">
        <v>50</v>
      </c>
      <c r="L61" s="30" t="s">
        <v>74</v>
      </c>
      <c r="M61" s="30" t="s">
        <v>75</v>
      </c>
      <c r="N61" s="30" t="s">
        <v>76</v>
      </c>
      <c r="O61" s="30" t="s">
        <v>77</v>
      </c>
      <c r="P61" s="30" t="s">
        <v>78</v>
      </c>
      <c r="Q61" s="31" t="s">
        <v>131</v>
      </c>
    </row>
    <row r="62" spans="1:17" s="29" customFormat="1">
      <c r="B62" s="32" t="s">
        <v>64</v>
      </c>
      <c r="C62" s="33">
        <f>C63+C64+C65</f>
        <v>702000</v>
      </c>
      <c r="D62" s="33">
        <f t="shared" ref="D62:G62" si="0">D63+D64+D65</f>
        <v>0</v>
      </c>
      <c r="E62" s="33">
        <f t="shared" si="0"/>
        <v>0</v>
      </c>
      <c r="F62" s="33">
        <f t="shared" si="0"/>
        <v>0</v>
      </c>
      <c r="G62" s="33">
        <f t="shared" si="0"/>
        <v>0</v>
      </c>
      <c r="H62" s="34">
        <v>1</v>
      </c>
      <c r="K62" s="32" t="s">
        <v>64</v>
      </c>
      <c r="L62" s="35">
        <f>C62</f>
        <v>702000</v>
      </c>
      <c r="M62" s="35">
        <f t="shared" ref="M62:P62" si="1">M63+M64+M65</f>
        <v>1485600</v>
      </c>
      <c r="N62" s="35">
        <f t="shared" si="1"/>
        <v>0</v>
      </c>
      <c r="O62" s="35">
        <f t="shared" si="1"/>
        <v>0</v>
      </c>
      <c r="P62" s="35">
        <f t="shared" si="1"/>
        <v>0</v>
      </c>
      <c r="Q62" s="34">
        <v>1</v>
      </c>
    </row>
    <row r="63" spans="1:17" s="29" customFormat="1">
      <c r="B63" s="36" t="s">
        <v>65</v>
      </c>
      <c r="C63" s="33">
        <f>C44*H13</f>
        <v>512000</v>
      </c>
      <c r="D63" s="33"/>
      <c r="E63" s="33"/>
      <c r="F63" s="33"/>
      <c r="G63" s="33"/>
      <c r="H63" s="34"/>
      <c r="K63" s="36" t="s">
        <v>65</v>
      </c>
      <c r="L63" s="35">
        <f t="shared" ref="L63:L87" si="2">C63</f>
        <v>512000</v>
      </c>
      <c r="M63" s="35">
        <f>(C44-L63)+(L44*Q13)</f>
        <v>1088000</v>
      </c>
      <c r="N63" s="35"/>
      <c r="O63" s="35"/>
      <c r="P63" s="35"/>
      <c r="Q63" s="34"/>
    </row>
    <row r="64" spans="1:17" s="29" customFormat="1">
      <c r="B64" s="37" t="s">
        <v>66</v>
      </c>
      <c r="C64" s="33">
        <f>C45*H15</f>
        <v>114000</v>
      </c>
      <c r="D64" s="33"/>
      <c r="E64" s="33"/>
      <c r="F64" s="33"/>
      <c r="G64" s="33"/>
      <c r="H64" s="34"/>
      <c r="K64" s="37" t="s">
        <v>66</v>
      </c>
      <c r="L64" s="35">
        <f t="shared" si="2"/>
        <v>114000</v>
      </c>
      <c r="M64" s="35">
        <f>(C45-L64)+(L45*Q15)</f>
        <v>272000</v>
      </c>
      <c r="N64" s="35"/>
      <c r="O64" s="35"/>
      <c r="P64" s="35"/>
      <c r="Q64" s="34"/>
    </row>
    <row r="65" spans="2:17" s="29" customFormat="1">
      <c r="B65" s="37" t="s">
        <v>67</v>
      </c>
      <c r="C65" s="33">
        <f>C46*H17</f>
        <v>76000</v>
      </c>
      <c r="D65" s="33"/>
      <c r="E65" s="33"/>
      <c r="F65" s="33"/>
      <c r="G65" s="33"/>
      <c r="H65" s="34"/>
      <c r="K65" s="37" t="s">
        <v>67</v>
      </c>
      <c r="L65" s="35">
        <f t="shared" si="2"/>
        <v>76000</v>
      </c>
      <c r="M65" s="35">
        <f>(C46-L65)+(L46*Q17)</f>
        <v>125600</v>
      </c>
      <c r="N65" s="35"/>
      <c r="O65" s="35"/>
      <c r="P65" s="35"/>
      <c r="Q65" s="34"/>
    </row>
    <row r="66" spans="2:17" s="29" customFormat="1">
      <c r="B66" s="32" t="s">
        <v>51</v>
      </c>
      <c r="C66" s="35">
        <f>(C62/1+C21)*C21*F21</f>
        <v>2527.200108</v>
      </c>
      <c r="D66" s="33"/>
      <c r="E66" s="33"/>
      <c r="F66" s="33"/>
      <c r="G66" s="33"/>
      <c r="H66" s="34">
        <f>C66/C62</f>
        <v>3.600000153846154E-3</v>
      </c>
      <c r="K66" s="32" t="s">
        <v>51</v>
      </c>
      <c r="L66" s="35">
        <f t="shared" si="2"/>
        <v>2527.200108</v>
      </c>
      <c r="M66" s="35">
        <f>(M62/1+L21)*L21*O21</f>
        <v>5348.160108</v>
      </c>
      <c r="N66" s="35"/>
      <c r="O66" s="35"/>
      <c r="P66" s="35"/>
      <c r="Q66" s="34">
        <f>L66/L62</f>
        <v>3.600000153846154E-3</v>
      </c>
    </row>
    <row r="67" spans="2:17" s="29" customFormat="1">
      <c r="B67" s="32" t="s">
        <v>100</v>
      </c>
      <c r="C67" s="33">
        <f>C68+C69+C70</f>
        <v>324200</v>
      </c>
      <c r="D67" s="33">
        <f t="shared" ref="D67:G67" si="3">D68+D69+D70</f>
        <v>0</v>
      </c>
      <c r="E67" s="33">
        <f t="shared" si="3"/>
        <v>0</v>
      </c>
      <c r="F67" s="33">
        <f t="shared" si="3"/>
        <v>0</v>
      </c>
      <c r="G67" s="33">
        <f t="shared" si="3"/>
        <v>0</v>
      </c>
      <c r="H67" s="34">
        <f>H68+H69+H70</f>
        <v>0.46182336182336181</v>
      </c>
      <c r="K67" s="32" t="s">
        <v>100</v>
      </c>
      <c r="L67" s="35">
        <f t="shared" si="2"/>
        <v>324200</v>
      </c>
      <c r="M67" s="35">
        <f t="shared" ref="M67:P67" si="4">M68+M69+M70</f>
        <v>572400</v>
      </c>
      <c r="N67" s="35">
        <f t="shared" si="4"/>
        <v>0</v>
      </c>
      <c r="O67" s="35">
        <f t="shared" si="4"/>
        <v>0</v>
      </c>
      <c r="P67" s="35">
        <f t="shared" si="4"/>
        <v>0</v>
      </c>
      <c r="Q67" s="34">
        <f>Q68+Q69+Q70</f>
        <v>0.46182336182336181</v>
      </c>
    </row>
    <row r="68" spans="2:17" s="29" customFormat="1">
      <c r="B68" s="38" t="s">
        <v>52</v>
      </c>
      <c r="C68" s="33">
        <f>(C63*H19)+(C64+C65)*H21</f>
        <v>261800</v>
      </c>
      <c r="D68" s="33"/>
      <c r="E68" s="33"/>
      <c r="F68" s="33"/>
      <c r="G68" s="33"/>
      <c r="H68" s="34">
        <f>C68/C62</f>
        <v>0.37293447293447296</v>
      </c>
      <c r="K68" s="38" t="s">
        <v>52</v>
      </c>
      <c r="L68" s="35">
        <f t="shared" si="2"/>
        <v>261800</v>
      </c>
      <c r="M68" s="35">
        <f>(M63*Q19)+(M64+M65)*Q21</f>
        <v>534600</v>
      </c>
      <c r="N68" s="35"/>
      <c r="O68" s="35"/>
      <c r="P68" s="35"/>
      <c r="Q68" s="34">
        <f>L68/L62</f>
        <v>0.37293447293447296</v>
      </c>
    </row>
    <row r="69" spans="2:17" s="29" customFormat="1">
      <c r="B69" s="38" t="s">
        <v>53</v>
      </c>
      <c r="C69" s="33">
        <f>(C5*C27*F7)*H4</f>
        <v>57600</v>
      </c>
      <c r="D69" s="33"/>
      <c r="E69" s="33"/>
      <c r="F69" s="33"/>
      <c r="G69" s="33"/>
      <c r="H69" s="34">
        <f>C69/C62</f>
        <v>8.2051282051282051E-2</v>
      </c>
      <c r="K69" s="38" t="s">
        <v>53</v>
      </c>
      <c r="L69" s="35">
        <f t="shared" si="2"/>
        <v>57600</v>
      </c>
      <c r="M69" s="35">
        <f>(L5*O27)*O7*Q4</f>
        <v>28800</v>
      </c>
      <c r="N69" s="35"/>
      <c r="O69" s="35"/>
      <c r="P69" s="35"/>
      <c r="Q69" s="34">
        <f>L69/L62</f>
        <v>8.2051282051282051E-2</v>
      </c>
    </row>
    <row r="70" spans="2:17" s="29" customFormat="1">
      <c r="B70" s="38" t="s">
        <v>54</v>
      </c>
      <c r="C70" s="33">
        <f>(C13+C15+C17)*F19</f>
        <v>4800</v>
      </c>
      <c r="D70" s="33"/>
      <c r="E70" s="33"/>
      <c r="F70" s="33"/>
      <c r="G70" s="33"/>
      <c r="H70" s="34">
        <f>C70/C62</f>
        <v>6.8376068376068376E-3</v>
      </c>
      <c r="K70" s="38" t="s">
        <v>54</v>
      </c>
      <c r="L70" s="35">
        <f t="shared" si="2"/>
        <v>4800</v>
      </c>
      <c r="M70" s="35">
        <f>(L13+L15+L17)*O19</f>
        <v>9000</v>
      </c>
      <c r="N70" s="35"/>
      <c r="O70" s="35"/>
      <c r="P70" s="35"/>
      <c r="Q70" s="34">
        <f>L70/L62</f>
        <v>6.8376068376068376E-3</v>
      </c>
    </row>
    <row r="71" spans="2:17" s="29" customFormat="1">
      <c r="B71" s="32" t="s">
        <v>55</v>
      </c>
      <c r="C71" s="35">
        <f>C62-C66-C67</f>
        <v>375272.79989200004</v>
      </c>
      <c r="D71" s="33"/>
      <c r="E71" s="33"/>
      <c r="F71" s="33"/>
      <c r="G71" s="33"/>
      <c r="H71" s="34"/>
      <c r="K71" s="32" t="s">
        <v>55</v>
      </c>
      <c r="L71" s="35">
        <f t="shared" si="2"/>
        <v>375272.79989200004</v>
      </c>
      <c r="M71" s="35">
        <f>M62-M66-M67</f>
        <v>907851.83989199996</v>
      </c>
      <c r="N71" s="35"/>
      <c r="O71" s="35"/>
      <c r="P71" s="35"/>
      <c r="Q71" s="34"/>
    </row>
    <row r="72" spans="2:17" s="29" customFormat="1">
      <c r="B72" s="32" t="s">
        <v>98</v>
      </c>
      <c r="C72" s="34">
        <f>C71/C62</f>
        <v>0.53457663802279209</v>
      </c>
      <c r="D72" s="33"/>
      <c r="E72" s="33"/>
      <c r="F72" s="33"/>
      <c r="G72" s="33"/>
      <c r="H72" s="34">
        <f>H62-H66-H67</f>
        <v>0.53457663802279198</v>
      </c>
      <c r="K72" s="32" t="s">
        <v>98</v>
      </c>
      <c r="L72" s="34">
        <f t="shared" si="2"/>
        <v>0.53457663802279209</v>
      </c>
      <c r="M72" s="39">
        <f>M71/M62</f>
        <v>0.6111011307835218</v>
      </c>
      <c r="N72" s="33"/>
      <c r="O72" s="33"/>
      <c r="P72" s="33"/>
      <c r="Q72" s="34">
        <f>Q62-Q66-Q67</f>
        <v>0.53457663802279198</v>
      </c>
    </row>
    <row r="73" spans="2:17" s="29" customFormat="1">
      <c r="B73" s="40" t="s">
        <v>101</v>
      </c>
      <c r="C73" s="41">
        <f>C74+C75+C76+C77+C78+C79+C80</f>
        <v>348043.06666666671</v>
      </c>
      <c r="D73" s="41">
        <f t="shared" ref="D73:G73" si="5">D74+D75+D76+D77+D78+D79+D80</f>
        <v>0</v>
      </c>
      <c r="E73" s="41">
        <f t="shared" si="5"/>
        <v>0</v>
      </c>
      <c r="F73" s="41">
        <f t="shared" si="5"/>
        <v>0</v>
      </c>
      <c r="G73" s="41">
        <f t="shared" si="5"/>
        <v>0</v>
      </c>
      <c r="H73" s="34">
        <f>H74+H75+H76+H77+H78+H79+H80</f>
        <v>0.49578784425451095</v>
      </c>
      <c r="K73" s="40" t="s">
        <v>101</v>
      </c>
      <c r="L73" s="35">
        <f t="shared" si="2"/>
        <v>348043.06666666671</v>
      </c>
      <c r="M73" s="41">
        <f t="shared" ref="M73:P73" si="6">M74+M75+M76+M77+M78+M79+M80</f>
        <v>658511.68000000005</v>
      </c>
      <c r="N73" s="41">
        <f t="shared" si="6"/>
        <v>0</v>
      </c>
      <c r="O73" s="41">
        <f t="shared" si="6"/>
        <v>0</v>
      </c>
      <c r="P73" s="41">
        <f t="shared" si="6"/>
        <v>0</v>
      </c>
      <c r="Q73" s="34">
        <f>Q74+Q75+Q76+Q77+Q78+Q79+Q80</f>
        <v>0.49578784425451095</v>
      </c>
    </row>
    <row r="74" spans="2:17" s="29" customFormat="1">
      <c r="B74" s="36" t="s">
        <v>56</v>
      </c>
      <c r="C74" s="41">
        <f>(C9*H9*H4)+(C9*H9*C25*H4)+(C9*H9*F25*H4)+(C55*C19)+G51</f>
        <v>176400</v>
      </c>
      <c r="D74" s="41"/>
      <c r="E74" s="41"/>
      <c r="F74" s="41"/>
      <c r="G74" s="41"/>
      <c r="H74" s="34">
        <f>C74/C62</f>
        <v>0.25128205128205128</v>
      </c>
      <c r="K74" s="36" t="s">
        <v>56</v>
      </c>
      <c r="L74" s="35">
        <f t="shared" si="2"/>
        <v>176400</v>
      </c>
      <c r="M74" s="41">
        <f>P38+P39+P40+P47+P51</f>
        <v>349200</v>
      </c>
      <c r="N74" s="41"/>
      <c r="O74" s="41"/>
      <c r="P74" s="41"/>
      <c r="Q74" s="34">
        <f>L74/L62</f>
        <v>0.25128205128205128</v>
      </c>
    </row>
    <row r="75" spans="2:17" s="29" customFormat="1">
      <c r="B75" s="37" t="s">
        <v>57</v>
      </c>
      <c r="C75" s="41">
        <f>G50</f>
        <v>49140</v>
      </c>
      <c r="D75" s="41"/>
      <c r="E75" s="41"/>
      <c r="F75" s="41"/>
      <c r="G75" s="41"/>
      <c r="H75" s="34">
        <f>C75/C62</f>
        <v>7.0000000000000007E-2</v>
      </c>
      <c r="K75" s="37" t="s">
        <v>57</v>
      </c>
      <c r="L75" s="35">
        <f t="shared" si="2"/>
        <v>49140</v>
      </c>
      <c r="M75" s="41">
        <f>P50</f>
        <v>94332</v>
      </c>
      <c r="N75" s="41"/>
      <c r="O75" s="41"/>
      <c r="P75" s="41"/>
      <c r="Q75" s="34">
        <f>L75/L62</f>
        <v>7.0000000000000007E-2</v>
      </c>
    </row>
    <row r="76" spans="2:17" s="29" customFormat="1">
      <c r="B76" s="37" t="s">
        <v>58</v>
      </c>
      <c r="C76" s="41">
        <f>(C9*H25*H4)+(C55*H23)+(G41/36)*H4</f>
        <v>65000</v>
      </c>
      <c r="D76" s="41"/>
      <c r="E76" s="41"/>
      <c r="F76" s="41"/>
      <c r="G76" s="41"/>
      <c r="H76" s="34">
        <f>C76/C62</f>
        <v>9.2592592592592587E-2</v>
      </c>
      <c r="K76" s="37" t="s">
        <v>58</v>
      </c>
      <c r="L76" s="35">
        <f t="shared" si="2"/>
        <v>65000</v>
      </c>
      <c r="M76" s="41">
        <f>P44+P53</f>
        <v>86400</v>
      </c>
      <c r="N76" s="41"/>
      <c r="O76" s="41"/>
      <c r="P76" s="41"/>
      <c r="Q76" s="34">
        <f>L76/L62</f>
        <v>9.2592592592592587E-2</v>
      </c>
    </row>
    <row r="77" spans="2:17" s="29" customFormat="1">
      <c r="B77" s="37" t="s">
        <v>59</v>
      </c>
      <c r="C77" s="41">
        <f>(C5*F27*F7)*H4+G34+G52</f>
        <v>18000</v>
      </c>
      <c r="D77" s="41"/>
      <c r="E77" s="41"/>
      <c r="F77" s="41"/>
      <c r="G77" s="41"/>
      <c r="H77" s="34">
        <f>C77/C62</f>
        <v>2.564102564102564E-2</v>
      </c>
      <c r="K77" s="37" t="s">
        <v>59</v>
      </c>
      <c r="L77" s="35">
        <f t="shared" si="2"/>
        <v>18000</v>
      </c>
      <c r="M77" s="41">
        <f>(L5*O27*O7*Q4)+P34+P52</f>
        <v>36000</v>
      </c>
      <c r="N77" s="41"/>
      <c r="O77" s="41"/>
      <c r="P77" s="41"/>
      <c r="Q77" s="34">
        <f>L77/L62</f>
        <v>2.564102564102564E-2</v>
      </c>
    </row>
    <row r="78" spans="2:17" s="29" customFormat="1">
      <c r="B78" s="37" t="s">
        <v>69</v>
      </c>
      <c r="C78" s="41">
        <f>(C55*F23)*C23</f>
        <v>4586.3999999999996</v>
      </c>
      <c r="D78" s="41"/>
      <c r="E78" s="41"/>
      <c r="F78" s="41"/>
      <c r="G78" s="41"/>
      <c r="H78" s="34">
        <f>C78/C62</f>
        <v>6.5333333333333328E-3</v>
      </c>
      <c r="K78" s="37" t="s">
        <v>69</v>
      </c>
      <c r="L78" s="35">
        <f t="shared" si="2"/>
        <v>4586.3999999999996</v>
      </c>
      <c r="M78" s="41">
        <f>P54</f>
        <v>8779.68</v>
      </c>
      <c r="N78" s="41"/>
      <c r="O78" s="41"/>
      <c r="P78" s="41"/>
      <c r="Q78" s="34">
        <f>L78/L62</f>
        <v>6.5333333333333328E-3</v>
      </c>
    </row>
    <row r="79" spans="2:17" s="29" customFormat="1">
      <c r="B79" s="37" t="s">
        <v>60</v>
      </c>
      <c r="C79" s="41">
        <f>(C5*H7)/F5*(H4-1)</f>
        <v>29166.666666666664</v>
      </c>
      <c r="D79" s="41"/>
      <c r="E79" s="41"/>
      <c r="F79" s="41"/>
      <c r="G79" s="41"/>
      <c r="H79" s="34">
        <f>C79/C62</f>
        <v>4.1547958214624876E-2</v>
      </c>
      <c r="K79" s="37" t="s">
        <v>60</v>
      </c>
      <c r="L79" s="35">
        <f t="shared" si="2"/>
        <v>29166.666666666664</v>
      </c>
      <c r="M79" s="41">
        <f>(L5*Q7)/O5*Q4</f>
        <v>70000</v>
      </c>
      <c r="N79" s="41"/>
      <c r="O79" s="41"/>
      <c r="P79" s="41"/>
      <c r="Q79" s="34">
        <f>L79/L62</f>
        <v>4.1547958214624876E-2</v>
      </c>
    </row>
    <row r="80" spans="2:17" s="29" customFormat="1">
      <c r="B80" s="37" t="s">
        <v>68</v>
      </c>
      <c r="C80" s="41">
        <f>(G36+G37)/60*(H4-1)</f>
        <v>5750</v>
      </c>
      <c r="D80" s="41"/>
      <c r="E80" s="41"/>
      <c r="F80" s="41"/>
      <c r="G80" s="41"/>
      <c r="H80" s="34">
        <f>C80/C62</f>
        <v>8.1908831908831907E-3</v>
      </c>
      <c r="K80" s="37" t="s">
        <v>68</v>
      </c>
      <c r="L80" s="35">
        <f t="shared" si="2"/>
        <v>5750</v>
      </c>
      <c r="M80" s="41">
        <f>(G36+G37)/60*Q4</f>
        <v>13800</v>
      </c>
      <c r="N80" s="41"/>
      <c r="O80" s="41"/>
      <c r="P80" s="41"/>
      <c r="Q80" s="34">
        <f>L80/L62</f>
        <v>8.1908831908831907E-3</v>
      </c>
    </row>
    <row r="81" spans="2:17" s="29" customFormat="1">
      <c r="B81" s="42" t="s">
        <v>70</v>
      </c>
      <c r="C81" s="41">
        <f>C71-C73</f>
        <v>27229.73322533333</v>
      </c>
      <c r="D81" s="41"/>
      <c r="E81" s="41"/>
      <c r="F81" s="41"/>
      <c r="G81" s="41"/>
      <c r="H81" s="34">
        <f>H72-H73</f>
        <v>3.8788793768281038E-2</v>
      </c>
      <c r="K81" s="42" t="s">
        <v>70</v>
      </c>
      <c r="L81" s="35">
        <f t="shared" si="2"/>
        <v>27229.73322533333</v>
      </c>
      <c r="M81" s="41">
        <f>M71-M73</f>
        <v>249340.15989199991</v>
      </c>
      <c r="N81" s="41"/>
      <c r="O81" s="41"/>
      <c r="P81" s="41"/>
      <c r="Q81" s="34">
        <f>Q72-Q73</f>
        <v>3.8788793768281038E-2</v>
      </c>
    </row>
    <row r="82" spans="2:17" s="29" customFormat="1">
      <c r="B82" s="42" t="s">
        <v>71</v>
      </c>
      <c r="C82" s="41"/>
      <c r="D82" s="41"/>
      <c r="E82" s="41"/>
      <c r="F82" s="41"/>
      <c r="G82" s="41"/>
      <c r="H82" s="34">
        <f>C82/C62</f>
        <v>0</v>
      </c>
      <c r="K82" s="42" t="s">
        <v>71</v>
      </c>
      <c r="L82" s="35">
        <f t="shared" si="2"/>
        <v>0</v>
      </c>
      <c r="M82" s="41"/>
      <c r="N82" s="41"/>
      <c r="O82" s="41"/>
      <c r="P82" s="41"/>
      <c r="Q82" s="34">
        <f>L82/L62</f>
        <v>0</v>
      </c>
    </row>
    <row r="83" spans="2:17" s="29" customFormat="1">
      <c r="B83" s="42" t="s">
        <v>72</v>
      </c>
      <c r="C83" s="41"/>
      <c r="D83" s="41"/>
      <c r="E83" s="41"/>
      <c r="F83" s="41"/>
      <c r="G83" s="41"/>
      <c r="H83" s="34">
        <f>C83/C62</f>
        <v>0</v>
      </c>
      <c r="K83" s="42" t="s">
        <v>72</v>
      </c>
      <c r="L83" s="35">
        <f t="shared" si="2"/>
        <v>0</v>
      </c>
      <c r="M83" s="41"/>
      <c r="N83" s="41"/>
      <c r="O83" s="41"/>
      <c r="P83" s="41"/>
      <c r="Q83" s="34">
        <f>L83/L62</f>
        <v>0</v>
      </c>
    </row>
    <row r="84" spans="2:17" s="29" customFormat="1">
      <c r="B84" s="32" t="s">
        <v>61</v>
      </c>
      <c r="C84" s="41">
        <f>C81+C82-C83</f>
        <v>27229.73322533333</v>
      </c>
      <c r="D84" s="41"/>
      <c r="E84" s="41"/>
      <c r="F84" s="41"/>
      <c r="G84" s="41"/>
      <c r="H84" s="34"/>
      <c r="K84" s="32" t="s">
        <v>61</v>
      </c>
      <c r="L84" s="35">
        <f t="shared" si="2"/>
        <v>27229.73322533333</v>
      </c>
      <c r="M84" s="41">
        <f>M81+M82-M83</f>
        <v>249340.15989199991</v>
      </c>
      <c r="N84" s="41"/>
      <c r="O84" s="41"/>
      <c r="P84" s="41"/>
      <c r="Q84" s="34"/>
    </row>
    <row r="85" spans="2:17" s="29" customFormat="1">
      <c r="B85" s="32" t="s">
        <v>62</v>
      </c>
      <c r="C85" s="41">
        <f>C84*0.25</f>
        <v>6807.4333063333324</v>
      </c>
      <c r="D85" s="41"/>
      <c r="E85" s="41"/>
      <c r="F85" s="41"/>
      <c r="G85" s="41"/>
      <c r="H85" s="34">
        <f>C85/C62</f>
        <v>9.6971984420702734E-3</v>
      </c>
      <c r="K85" s="32" t="s">
        <v>62</v>
      </c>
      <c r="L85" s="35">
        <f t="shared" si="2"/>
        <v>6807.4333063333324</v>
      </c>
      <c r="M85" s="41">
        <f>M84*0.25</f>
        <v>62335.039972999977</v>
      </c>
      <c r="N85" s="41"/>
      <c r="O85" s="41"/>
      <c r="P85" s="41"/>
      <c r="Q85" s="34">
        <f>L85/L62</f>
        <v>9.6971984420702734E-3</v>
      </c>
    </row>
    <row r="86" spans="2:17" s="29" customFormat="1">
      <c r="B86" s="32" t="s">
        <v>63</v>
      </c>
      <c r="C86" s="41">
        <f>C84-C85</f>
        <v>20422.299918999997</v>
      </c>
      <c r="D86" s="41"/>
      <c r="E86" s="41"/>
      <c r="F86" s="41"/>
      <c r="G86" s="41"/>
      <c r="H86" s="34"/>
      <c r="K86" s="32" t="s">
        <v>63</v>
      </c>
      <c r="L86" s="35">
        <f t="shared" si="2"/>
        <v>20422.299918999997</v>
      </c>
      <c r="M86" s="41">
        <f>M84-M85</f>
        <v>187005.11991899993</v>
      </c>
      <c r="N86" s="41"/>
      <c r="O86" s="41"/>
      <c r="P86" s="41"/>
      <c r="Q86" s="34"/>
    </row>
    <row r="87" spans="2:17" s="29" customFormat="1">
      <c r="B87" s="33" t="s">
        <v>99</v>
      </c>
      <c r="C87" s="39">
        <f>C86/C62</f>
        <v>2.9091595326210824E-2</v>
      </c>
      <c r="D87" s="39"/>
      <c r="E87" s="39"/>
      <c r="F87" s="39"/>
      <c r="G87" s="39"/>
      <c r="H87" s="34">
        <f>H81-H85</f>
        <v>2.9091595326210765E-2</v>
      </c>
      <c r="K87" s="33" t="s">
        <v>99</v>
      </c>
      <c r="L87" s="39">
        <f t="shared" si="2"/>
        <v>2.9091595326210824E-2</v>
      </c>
      <c r="M87" s="39">
        <f>M86/M62</f>
        <v>0.12587851367730205</v>
      </c>
      <c r="N87" s="39"/>
      <c r="O87" s="39"/>
      <c r="P87" s="39"/>
      <c r="Q87" s="34">
        <f>Q81-Q85</f>
        <v>2.9091595326210765E-2</v>
      </c>
    </row>
  </sheetData>
  <sheetProtection password="CF7A" sheet="1" objects="1" scenarios="1"/>
  <mergeCells count="167">
    <mergeCell ref="B59:G59"/>
    <mergeCell ref="C35:D35"/>
    <mergeCell ref="C36:D36"/>
    <mergeCell ref="A31:D31"/>
    <mergeCell ref="A23:B23"/>
    <mergeCell ref="D23:E23"/>
    <mergeCell ref="A24:H24"/>
    <mergeCell ref="C32:D32"/>
    <mergeCell ref="C33:D33"/>
    <mergeCell ref="C34:D34"/>
    <mergeCell ref="G50:H50"/>
    <mergeCell ref="G51:H51"/>
    <mergeCell ref="C48:D48"/>
    <mergeCell ref="C43:H43"/>
    <mergeCell ref="C40:D40"/>
    <mergeCell ref="E32:E42"/>
    <mergeCell ref="C37:D37"/>
    <mergeCell ref="C38:D38"/>
    <mergeCell ref="G52:H52"/>
    <mergeCell ref="A43:B43"/>
    <mergeCell ref="A6:H6"/>
    <mergeCell ref="A8:H8"/>
    <mergeCell ref="A10:H10"/>
    <mergeCell ref="A12:H12"/>
    <mergeCell ref="G42:H42"/>
    <mergeCell ref="G44:H44"/>
    <mergeCell ref="A44:A55"/>
    <mergeCell ref="C55:D55"/>
    <mergeCell ref="C54:D54"/>
    <mergeCell ref="E31:H31"/>
    <mergeCell ref="A25:B25"/>
    <mergeCell ref="D25:E25"/>
    <mergeCell ref="G54:H54"/>
    <mergeCell ref="G32:H32"/>
    <mergeCell ref="A21:B21"/>
    <mergeCell ref="A22:H22"/>
    <mergeCell ref="G48:H48"/>
    <mergeCell ref="C45:D45"/>
    <mergeCell ref="G45:H45"/>
    <mergeCell ref="C39:D39"/>
    <mergeCell ref="C41:D41"/>
    <mergeCell ref="G49:H49"/>
    <mergeCell ref="C42:D42"/>
    <mergeCell ref="A57:B57"/>
    <mergeCell ref="C57:H57"/>
    <mergeCell ref="C47:D47"/>
    <mergeCell ref="G47:H47"/>
    <mergeCell ref="E44:E55"/>
    <mergeCell ref="G55:H55"/>
    <mergeCell ref="A56:B56"/>
    <mergeCell ref="C56:H56"/>
    <mergeCell ref="C46:D46"/>
    <mergeCell ref="G46:H46"/>
    <mergeCell ref="G53:H53"/>
    <mergeCell ref="C53:D53"/>
    <mergeCell ref="C44:D44"/>
    <mergeCell ref="C50:D50"/>
    <mergeCell ref="C51:D51"/>
    <mergeCell ref="C52:D52"/>
    <mergeCell ref="C49:D49"/>
    <mergeCell ref="A2:H2"/>
    <mergeCell ref="C4:E4"/>
    <mergeCell ref="F4:G4"/>
    <mergeCell ref="D11:E11"/>
    <mergeCell ref="A14:H14"/>
    <mergeCell ref="A3:H3"/>
    <mergeCell ref="A4:B4"/>
    <mergeCell ref="D21:E21"/>
    <mergeCell ref="B32:B41"/>
    <mergeCell ref="A26:H26"/>
    <mergeCell ref="A27:B27"/>
    <mergeCell ref="D27:E27"/>
    <mergeCell ref="A19:B19"/>
    <mergeCell ref="D19:E19"/>
    <mergeCell ref="J3:Q3"/>
    <mergeCell ref="J4:K4"/>
    <mergeCell ref="L4:N4"/>
    <mergeCell ref="O4:P4"/>
    <mergeCell ref="J6:Q6"/>
    <mergeCell ref="A32:A42"/>
    <mergeCell ref="A16:H16"/>
    <mergeCell ref="A18:H18"/>
    <mergeCell ref="A20:H20"/>
    <mergeCell ref="J16:Q16"/>
    <mergeCell ref="J18:Q18"/>
    <mergeCell ref="J19:K19"/>
    <mergeCell ref="M19:N19"/>
    <mergeCell ref="J20:Q20"/>
    <mergeCell ref="J8:Q8"/>
    <mergeCell ref="J10:Q10"/>
    <mergeCell ref="M11:N11"/>
    <mergeCell ref="J12:Q12"/>
    <mergeCell ref="J14:Q14"/>
    <mergeCell ref="J24:Q24"/>
    <mergeCell ref="J25:K25"/>
    <mergeCell ref="M25:N25"/>
    <mergeCell ref="J26:Q26"/>
    <mergeCell ref="J27:K27"/>
    <mergeCell ref="M27:N27"/>
    <mergeCell ref="J21:K21"/>
    <mergeCell ref="M21:N21"/>
    <mergeCell ref="J22:Q22"/>
    <mergeCell ref="J23:K23"/>
    <mergeCell ref="M23:N23"/>
    <mergeCell ref="J31:M31"/>
    <mergeCell ref="N31:Q31"/>
    <mergeCell ref="J32:J42"/>
    <mergeCell ref="K32:K41"/>
    <mergeCell ref="L32:M32"/>
    <mergeCell ref="N32:N42"/>
    <mergeCell ref="P32:Q32"/>
    <mergeCell ref="L33:M33"/>
    <mergeCell ref="P33:Q33"/>
    <mergeCell ref="L34:M34"/>
    <mergeCell ref="P34:Q34"/>
    <mergeCell ref="L35:M35"/>
    <mergeCell ref="P35:Q35"/>
    <mergeCell ref="L36:M36"/>
    <mergeCell ref="P36:Q36"/>
    <mergeCell ref="L37:M37"/>
    <mergeCell ref="L40:M40"/>
    <mergeCell ref="P40:Q40"/>
    <mergeCell ref="L41:M41"/>
    <mergeCell ref="P41:Q41"/>
    <mergeCell ref="L42:M42"/>
    <mergeCell ref="P42:Q42"/>
    <mergeCell ref="P37:Q37"/>
    <mergeCell ref="L38:M38"/>
    <mergeCell ref="P38:Q38"/>
    <mergeCell ref="L39:M39"/>
    <mergeCell ref="P39:Q39"/>
    <mergeCell ref="N44:N55"/>
    <mergeCell ref="P44:Q44"/>
    <mergeCell ref="L45:M45"/>
    <mergeCell ref="P45:Q45"/>
    <mergeCell ref="L46:M46"/>
    <mergeCell ref="P46:Q46"/>
    <mergeCell ref="L47:M47"/>
    <mergeCell ref="P47:Q47"/>
    <mergeCell ref="L48:M48"/>
    <mergeCell ref="P48:Q48"/>
    <mergeCell ref="L49:M49"/>
    <mergeCell ref="P49:Q49"/>
    <mergeCell ref="B29:G29"/>
    <mergeCell ref="K29:P29"/>
    <mergeCell ref="J2:Q2"/>
    <mergeCell ref="J56:K56"/>
    <mergeCell ref="L56:Q56"/>
    <mergeCell ref="J57:K57"/>
    <mergeCell ref="L57:Q57"/>
    <mergeCell ref="K59:P59"/>
    <mergeCell ref="L53:M53"/>
    <mergeCell ref="P53:Q53"/>
    <mergeCell ref="L54:M54"/>
    <mergeCell ref="P54:Q54"/>
    <mergeCell ref="L55:M55"/>
    <mergeCell ref="P55:Q55"/>
    <mergeCell ref="L50:M50"/>
    <mergeCell ref="P50:Q50"/>
    <mergeCell ref="L51:M51"/>
    <mergeCell ref="P51:Q51"/>
    <mergeCell ref="L52:M52"/>
    <mergeCell ref="P52:Q52"/>
    <mergeCell ref="J43:K43"/>
    <mergeCell ref="L43:Q43"/>
    <mergeCell ref="J44:J55"/>
    <mergeCell ref="L44:M44"/>
  </mergeCells>
  <phoneticPr fontId="3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学习中心教室建设模型</vt:lpstr>
      <vt:lpstr>学习中心首年建设资金及盈利模型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fu</cp:lastModifiedBy>
  <cp:lastPrinted>2015-06-25T11:21:37Z</cp:lastPrinted>
  <dcterms:created xsi:type="dcterms:W3CDTF">2015-06-22T08:03:11Z</dcterms:created>
  <dcterms:modified xsi:type="dcterms:W3CDTF">2016-05-12T08:35:15Z</dcterms:modified>
</cp:coreProperties>
</file>