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13470" yWindow="1920" windowWidth="15480" windowHeight="10110" tabRatio="851"/>
  </bookViews>
  <sheets>
    <sheet name="盈利模型" sheetId="12" r:id="rId1"/>
    <sheet name="指标库" sheetId="13" r:id="rId2"/>
    <sheet name="Sheet1" sheetId="14" r:id="rId3"/>
    <sheet name="Sheet2" sheetId="15" r:id="rId4"/>
  </sheets>
  <calcPr calcId="144525"/>
</workbook>
</file>

<file path=xl/calcChain.xml><?xml version="1.0" encoding="utf-8"?>
<calcChain xmlns="http://schemas.openxmlformats.org/spreadsheetml/2006/main">
  <c r="F18" i="14" l="1"/>
  <c r="F19" i="14" s="1"/>
  <c r="F5" i="14"/>
  <c r="N6" i="14"/>
  <c r="J4" i="14"/>
  <c r="G5" i="14"/>
  <c r="G6" i="14"/>
  <c r="G4" i="14"/>
  <c r="B7" i="14"/>
  <c r="B8" i="14" s="1"/>
  <c r="B12" i="14"/>
  <c r="B11" i="14"/>
  <c r="N4" i="14"/>
  <c r="N5" i="14"/>
  <c r="F21" i="14" l="1"/>
  <c r="F20" i="14"/>
  <c r="N8" i="14"/>
  <c r="G8" i="14"/>
  <c r="B9" i="14"/>
  <c r="G7" i="14"/>
  <c r="N7" i="14"/>
  <c r="F7" i="14"/>
  <c r="F6" i="14"/>
  <c r="I5" i="14"/>
  <c r="E5" i="14"/>
  <c r="K5" i="14"/>
  <c r="L4" i="14"/>
  <c r="K4" i="14"/>
  <c r="I4" i="14"/>
  <c r="E4" i="14"/>
  <c r="D4" i="14" s="1"/>
  <c r="H4" i="14" s="1"/>
  <c r="O4" i="14" s="1"/>
  <c r="C4" i="14"/>
  <c r="F8" i="14" l="1"/>
  <c r="F9" i="14"/>
  <c r="F10" i="14" s="1"/>
  <c r="N9" i="14"/>
  <c r="G9" i="14"/>
  <c r="L6" i="14"/>
  <c r="I6" i="14"/>
  <c r="E6" i="14"/>
  <c r="K6" i="14"/>
  <c r="J6" i="14"/>
  <c r="C6" i="14"/>
  <c r="C5" i="14"/>
  <c r="J5" i="14"/>
  <c r="L5" i="14"/>
  <c r="D5" i="14"/>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39" i="12"/>
  <c r="L40" i="12"/>
  <c r="L41" i="12"/>
  <c r="L42" i="12"/>
  <c r="L43" i="12"/>
  <c r="L44" i="12"/>
  <c r="L45" i="12"/>
  <c r="L46" i="12"/>
  <c r="L47" i="12"/>
  <c r="L48" i="12"/>
  <c r="K14" i="12"/>
  <c r="K15" i="12"/>
  <c r="K16" i="12"/>
  <c r="K17" i="12"/>
  <c r="K18"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C7" i="12"/>
  <c r="C8" i="12"/>
  <c r="D7" i="12"/>
  <c r="D8" i="12"/>
  <c r="E7" i="12"/>
  <c r="E8" i="12"/>
  <c r="G21" i="14" l="1"/>
  <c r="F12" i="14"/>
  <c r="L7" i="14"/>
  <c r="D6" i="14"/>
  <c r="H5" i="14"/>
  <c r="O5" i="14" s="1"/>
  <c r="I7" i="14"/>
  <c r="E7" i="14"/>
  <c r="H6" i="14"/>
  <c r="O6" i="14" s="1"/>
  <c r="J7" i="14"/>
  <c r="C7" i="14"/>
  <c r="K7" i="14"/>
  <c r="I65" i="12"/>
  <c r="F65" i="12"/>
  <c r="C65" i="12"/>
  <c r="I77" i="12"/>
  <c r="I71" i="12"/>
  <c r="I56" i="12"/>
  <c r="F77" i="12"/>
  <c r="F71" i="12"/>
  <c r="F56" i="12"/>
  <c r="C56" i="12"/>
  <c r="C71" i="12"/>
  <c r="P5" i="14" l="1"/>
  <c r="Q5" i="14" s="1"/>
  <c r="L8" i="14"/>
  <c r="P6" i="14"/>
  <c r="Q6" i="14" s="1"/>
  <c r="D7" i="14"/>
  <c r="I8" i="14"/>
  <c r="E8" i="14"/>
  <c r="K8" i="14"/>
  <c r="J8" i="14"/>
  <c r="C8" i="14"/>
  <c r="H7" i="14"/>
  <c r="O7" i="14" s="1"/>
  <c r="O18" i="13"/>
  <c r="U18" i="13" s="1"/>
  <c r="N18" i="13"/>
  <c r="T18" i="13" s="1"/>
  <c r="M18" i="13"/>
  <c r="S18" i="13" s="1"/>
  <c r="L18" i="13"/>
  <c r="R18" i="13" s="1"/>
  <c r="K18" i="13"/>
  <c r="Q18" i="13" s="1"/>
  <c r="O17" i="13"/>
  <c r="U17" i="13" s="1"/>
  <c r="N17" i="13"/>
  <c r="T17" i="13" s="1"/>
  <c r="M17" i="13"/>
  <c r="S17" i="13" s="1"/>
  <c r="L17" i="13"/>
  <c r="R17" i="13" s="1"/>
  <c r="K17" i="13"/>
  <c r="Q17" i="13" s="1"/>
  <c r="O16" i="13"/>
  <c r="U16" i="13" s="1"/>
  <c r="N16" i="13"/>
  <c r="T16" i="13" s="1"/>
  <c r="M16" i="13"/>
  <c r="S16" i="13" s="1"/>
  <c r="L16" i="13"/>
  <c r="R16" i="13" s="1"/>
  <c r="K16" i="13"/>
  <c r="Q16" i="13" s="1"/>
  <c r="O15" i="13"/>
  <c r="U15" i="13" s="1"/>
  <c r="N15" i="13"/>
  <c r="T15" i="13" s="1"/>
  <c r="M15" i="13"/>
  <c r="S15" i="13" s="1"/>
  <c r="L15" i="13"/>
  <c r="R15" i="13" s="1"/>
  <c r="K15" i="13"/>
  <c r="Q15" i="13" s="1"/>
  <c r="O58" i="13"/>
  <c r="I58" i="13" s="1"/>
  <c r="N58" i="13"/>
  <c r="M58" i="13"/>
  <c r="G58" i="13" s="1"/>
  <c r="L58" i="13"/>
  <c r="F58" i="13" s="1"/>
  <c r="K58" i="13"/>
  <c r="E58" i="13" s="1"/>
  <c r="H58" i="13"/>
  <c r="O57" i="13"/>
  <c r="I57" i="13" s="1"/>
  <c r="N57" i="13"/>
  <c r="M57" i="13"/>
  <c r="G57" i="13" s="1"/>
  <c r="L57" i="13"/>
  <c r="F57" i="13" s="1"/>
  <c r="K57" i="13"/>
  <c r="E57" i="13" s="1"/>
  <c r="H57" i="13"/>
  <c r="O56" i="13"/>
  <c r="I56" i="13" s="1"/>
  <c r="N56" i="13"/>
  <c r="M56" i="13"/>
  <c r="G56" i="13" s="1"/>
  <c r="L56" i="13"/>
  <c r="F56" i="13" s="1"/>
  <c r="K56" i="13"/>
  <c r="E56" i="13" s="1"/>
  <c r="H56" i="13"/>
  <c r="O55" i="13"/>
  <c r="I55" i="13" s="1"/>
  <c r="N55" i="13"/>
  <c r="H55" i="13" s="1"/>
  <c r="M55" i="13"/>
  <c r="G55" i="13" s="1"/>
  <c r="L55" i="13"/>
  <c r="F55" i="13" s="1"/>
  <c r="K55" i="13"/>
  <c r="E55" i="13" s="1"/>
  <c r="L9" i="14" l="1"/>
  <c r="D8" i="14"/>
  <c r="H8" i="14" s="1"/>
  <c r="O8" i="14" s="1"/>
  <c r="P8" i="14" s="1"/>
  <c r="Q8" i="14" s="1"/>
  <c r="I9" i="14"/>
  <c r="E9" i="14"/>
  <c r="P7" i="14"/>
  <c r="Q7" i="14" s="1"/>
  <c r="J9" i="14"/>
  <c r="C9" i="14"/>
  <c r="K9" i="14"/>
  <c r="I87" i="12"/>
  <c r="F87" i="12"/>
  <c r="I84" i="12"/>
  <c r="I86" i="12" s="1"/>
  <c r="F84" i="12"/>
  <c r="C77" i="12"/>
  <c r="O54" i="13"/>
  <c r="U54" i="13" s="1"/>
  <c r="N54" i="13"/>
  <c r="T54" i="13" s="1"/>
  <c r="M54" i="13"/>
  <c r="S54" i="13" s="1"/>
  <c r="L54" i="13"/>
  <c r="R54" i="13" s="1"/>
  <c r="K54" i="13"/>
  <c r="Q54" i="13" s="1"/>
  <c r="O53" i="13"/>
  <c r="U53" i="13" s="1"/>
  <c r="N53" i="13"/>
  <c r="T53" i="13" s="1"/>
  <c r="M53" i="13"/>
  <c r="S53" i="13" s="1"/>
  <c r="L53" i="13"/>
  <c r="R53" i="13" s="1"/>
  <c r="K53" i="13"/>
  <c r="Q53" i="13" s="1"/>
  <c r="O52" i="13"/>
  <c r="U52" i="13" s="1"/>
  <c r="N52" i="13"/>
  <c r="T52" i="13" s="1"/>
  <c r="M52" i="13"/>
  <c r="S52" i="13" s="1"/>
  <c r="L52" i="13"/>
  <c r="R52" i="13" s="1"/>
  <c r="K52" i="13"/>
  <c r="Q52" i="13" s="1"/>
  <c r="O51" i="13"/>
  <c r="U51" i="13" s="1"/>
  <c r="N51" i="13"/>
  <c r="T51" i="13" s="1"/>
  <c r="M51" i="13"/>
  <c r="S51" i="13" s="1"/>
  <c r="L51" i="13"/>
  <c r="R51" i="13" s="1"/>
  <c r="K51" i="13"/>
  <c r="Q51" i="13" s="1"/>
  <c r="D54" i="13"/>
  <c r="D53" i="13"/>
  <c r="O78" i="13"/>
  <c r="I78" i="13" s="1"/>
  <c r="N78" i="13"/>
  <c r="M78" i="13"/>
  <c r="L78" i="13"/>
  <c r="F78" i="13" s="1"/>
  <c r="K78" i="13"/>
  <c r="E78" i="13" s="1"/>
  <c r="H78" i="13"/>
  <c r="G78" i="13"/>
  <c r="D78" i="13"/>
  <c r="O77" i="13"/>
  <c r="I77" i="13" s="1"/>
  <c r="N77" i="13"/>
  <c r="M77" i="13"/>
  <c r="G77" i="13" s="1"/>
  <c r="L77" i="13"/>
  <c r="F77" i="13" s="1"/>
  <c r="K77" i="13"/>
  <c r="H77" i="13"/>
  <c r="D77" i="13"/>
  <c r="O76" i="13"/>
  <c r="I76" i="13" s="1"/>
  <c r="N76" i="13"/>
  <c r="H76" i="13" s="1"/>
  <c r="M76" i="13"/>
  <c r="G76" i="13" s="1"/>
  <c r="L76" i="13"/>
  <c r="F76" i="13" s="1"/>
  <c r="K76" i="13"/>
  <c r="E76" i="13" s="1"/>
  <c r="O75" i="13"/>
  <c r="I75" i="13" s="1"/>
  <c r="N75" i="13"/>
  <c r="H75" i="13" s="1"/>
  <c r="M75" i="13"/>
  <c r="G75" i="13" s="1"/>
  <c r="L75" i="13"/>
  <c r="F75" i="13" s="1"/>
  <c r="K75" i="13"/>
  <c r="E75" i="13" s="1"/>
  <c r="O74" i="13"/>
  <c r="I74" i="13" s="1"/>
  <c r="N74" i="13"/>
  <c r="M74" i="13"/>
  <c r="G74" i="13" s="1"/>
  <c r="L74" i="13"/>
  <c r="F74" i="13" s="1"/>
  <c r="K74" i="13"/>
  <c r="E74" i="13" s="1"/>
  <c r="H74" i="13"/>
  <c r="D74" i="13"/>
  <c r="O73" i="13"/>
  <c r="I73" i="13" s="1"/>
  <c r="N73" i="13"/>
  <c r="H73" i="13" s="1"/>
  <c r="M73" i="13"/>
  <c r="G73" i="13" s="1"/>
  <c r="L73" i="13"/>
  <c r="F73" i="13" s="1"/>
  <c r="K73" i="13"/>
  <c r="E73" i="13" s="1"/>
  <c r="D73" i="13"/>
  <c r="O72" i="13"/>
  <c r="I72" i="13" s="1"/>
  <c r="N72" i="13"/>
  <c r="M72" i="13"/>
  <c r="G72" i="13" s="1"/>
  <c r="L72" i="13"/>
  <c r="F72" i="13" s="1"/>
  <c r="K72" i="13"/>
  <c r="E72" i="13" s="1"/>
  <c r="H72" i="13"/>
  <c r="O71" i="13"/>
  <c r="I71" i="13" s="1"/>
  <c r="N71" i="13"/>
  <c r="H71" i="13" s="1"/>
  <c r="M71" i="13"/>
  <c r="G71" i="13" s="1"/>
  <c r="L71" i="13"/>
  <c r="F71" i="13" s="1"/>
  <c r="K71" i="13"/>
  <c r="E71" i="13" s="1"/>
  <c r="O70" i="13"/>
  <c r="I70" i="13" s="1"/>
  <c r="N70" i="13"/>
  <c r="H70" i="13" s="1"/>
  <c r="M70" i="13"/>
  <c r="G70" i="13" s="1"/>
  <c r="L70" i="13"/>
  <c r="F70" i="13" s="1"/>
  <c r="K70" i="13"/>
  <c r="E70" i="13" s="1"/>
  <c r="O69" i="13"/>
  <c r="I69" i="13" s="1"/>
  <c r="N69" i="13"/>
  <c r="H69" i="13" s="1"/>
  <c r="M69" i="13"/>
  <c r="G69" i="13" s="1"/>
  <c r="L69" i="13"/>
  <c r="F69" i="13" s="1"/>
  <c r="K69" i="13"/>
  <c r="E69" i="13" s="1"/>
  <c r="O68" i="13"/>
  <c r="I68" i="13" s="1"/>
  <c r="N68" i="13"/>
  <c r="H68" i="13" s="1"/>
  <c r="M68" i="13"/>
  <c r="G68" i="13" s="1"/>
  <c r="L68" i="13"/>
  <c r="F68" i="13" s="1"/>
  <c r="K68" i="13"/>
  <c r="E68" i="13" s="1"/>
  <c r="O67" i="13"/>
  <c r="I67" i="13" s="1"/>
  <c r="N67" i="13"/>
  <c r="H67" i="13" s="1"/>
  <c r="M67" i="13"/>
  <c r="G67" i="13" s="1"/>
  <c r="L67" i="13"/>
  <c r="F67" i="13" s="1"/>
  <c r="K67" i="13"/>
  <c r="E67" i="13" s="1"/>
  <c r="I62" i="13"/>
  <c r="I61" i="13"/>
  <c r="O62" i="13"/>
  <c r="O61" i="13"/>
  <c r="N60" i="13"/>
  <c r="N59" i="13"/>
  <c r="M60" i="13"/>
  <c r="M59" i="13"/>
  <c r="L60" i="13"/>
  <c r="L59" i="13"/>
  <c r="K60" i="13"/>
  <c r="K59" i="13"/>
  <c r="H60" i="13"/>
  <c r="H59" i="13"/>
  <c r="G60" i="13"/>
  <c r="G59" i="13"/>
  <c r="F60" i="13"/>
  <c r="F59" i="13"/>
  <c r="E60" i="13"/>
  <c r="U62" i="13"/>
  <c r="U61" i="13"/>
  <c r="Q62" i="13"/>
  <c r="K62" i="13" s="1"/>
  <c r="E62" i="13" s="1"/>
  <c r="R62" i="13"/>
  <c r="L62" i="13" s="1"/>
  <c r="F62" i="13" s="1"/>
  <c r="S62" i="13"/>
  <c r="M62" i="13" s="1"/>
  <c r="G62" i="13" s="1"/>
  <c r="T62" i="13"/>
  <c r="N62" i="13" s="1"/>
  <c r="H62" i="13" s="1"/>
  <c r="R61" i="13"/>
  <c r="L61" i="13" s="1"/>
  <c r="F61" i="13" s="1"/>
  <c r="S61" i="13"/>
  <c r="M61" i="13" s="1"/>
  <c r="G61" i="13" s="1"/>
  <c r="T61" i="13"/>
  <c r="N61" i="13" s="1"/>
  <c r="H61" i="13" s="1"/>
  <c r="Q61" i="13"/>
  <c r="K23" i="13"/>
  <c r="Q23" i="13" s="1"/>
  <c r="O26" i="13"/>
  <c r="U26" i="13" s="1"/>
  <c r="O25" i="13"/>
  <c r="U25" i="13" s="1"/>
  <c r="O24" i="13"/>
  <c r="U24" i="13" s="1"/>
  <c r="O23" i="13"/>
  <c r="U23" i="13" s="1"/>
  <c r="N26" i="13"/>
  <c r="T26" i="13" s="1"/>
  <c r="N25" i="13"/>
  <c r="T25" i="13" s="1"/>
  <c r="N24" i="13"/>
  <c r="T24" i="13" s="1"/>
  <c r="N23" i="13"/>
  <c r="T23" i="13" s="1"/>
  <c r="M26" i="13"/>
  <c r="S26" i="13" s="1"/>
  <c r="M25" i="13"/>
  <c r="S25" i="13" s="1"/>
  <c r="M24" i="13"/>
  <c r="S24" i="13" s="1"/>
  <c r="M23" i="13"/>
  <c r="S23" i="13" s="1"/>
  <c r="L26" i="13"/>
  <c r="R26" i="13" s="1"/>
  <c r="L25" i="13"/>
  <c r="R25" i="13" s="1"/>
  <c r="L24" i="13"/>
  <c r="R24" i="13" s="1"/>
  <c r="L23" i="13"/>
  <c r="R23" i="13" s="1"/>
  <c r="K26" i="13"/>
  <c r="Q26" i="13" s="1"/>
  <c r="K25" i="13"/>
  <c r="Q25" i="13" s="1"/>
  <c r="K24" i="13"/>
  <c r="Q24" i="13" s="1"/>
  <c r="D9" i="14" l="1"/>
  <c r="H9" i="14" s="1"/>
  <c r="O9" i="14" s="1"/>
  <c r="F86" i="12"/>
  <c r="E77" i="13"/>
  <c r="K61" i="13"/>
  <c r="E59" i="13"/>
  <c r="P9" i="14" l="1"/>
  <c r="Q9" i="14" s="1"/>
  <c r="E61" i="13"/>
  <c r="O38" i="13" l="1"/>
  <c r="U38" i="13" s="1"/>
  <c r="N38" i="13"/>
  <c r="T38" i="13" s="1"/>
  <c r="M38" i="13"/>
  <c r="S38" i="13" s="1"/>
  <c r="L38" i="13"/>
  <c r="R38" i="13" s="1"/>
  <c r="K38" i="13"/>
  <c r="Q38" i="13" s="1"/>
  <c r="O37" i="13"/>
  <c r="U37" i="13" s="1"/>
  <c r="N37" i="13"/>
  <c r="T37" i="13" s="1"/>
  <c r="M37" i="13"/>
  <c r="S37" i="13" s="1"/>
  <c r="L37" i="13"/>
  <c r="R37" i="13" s="1"/>
  <c r="K37" i="13"/>
  <c r="Q37" i="13" s="1"/>
  <c r="O36" i="13"/>
  <c r="U36" i="13" s="1"/>
  <c r="N36" i="13"/>
  <c r="T36" i="13" s="1"/>
  <c r="M36" i="13"/>
  <c r="S36" i="13" s="1"/>
  <c r="L36" i="13"/>
  <c r="R36" i="13" s="1"/>
  <c r="K36" i="13"/>
  <c r="Q36" i="13" s="1"/>
  <c r="O35" i="13"/>
  <c r="U35" i="13" s="1"/>
  <c r="N35" i="13"/>
  <c r="T35" i="13" s="1"/>
  <c r="M35" i="13"/>
  <c r="S35" i="13" s="1"/>
  <c r="L35" i="13"/>
  <c r="R35" i="13" s="1"/>
  <c r="K35" i="13"/>
  <c r="Q35" i="13" s="1"/>
  <c r="D30" i="13" l="1"/>
  <c r="D29" i="13"/>
  <c r="D34" i="13"/>
  <c r="D33" i="13"/>
  <c r="D26" i="13"/>
  <c r="D25" i="13"/>
  <c r="F11" i="13" l="1"/>
  <c r="G11" i="13"/>
  <c r="H11" i="13"/>
  <c r="I11" i="13"/>
  <c r="F12" i="13"/>
  <c r="G12" i="13"/>
  <c r="H12" i="13"/>
  <c r="I12" i="13"/>
  <c r="F13" i="13"/>
  <c r="G13" i="13"/>
  <c r="H13" i="13"/>
  <c r="I13" i="13"/>
  <c r="F14" i="13"/>
  <c r="G14" i="13"/>
  <c r="H14" i="13"/>
  <c r="I14" i="13"/>
  <c r="D70" i="13"/>
  <c r="D69" i="13"/>
  <c r="D66" i="13"/>
  <c r="D65" i="13"/>
  <c r="D62" i="13"/>
  <c r="D61" i="13"/>
  <c r="D58" i="13"/>
  <c r="D57" i="13"/>
  <c r="D50" i="13"/>
  <c r="D49" i="13"/>
  <c r="D46" i="13"/>
  <c r="D45" i="13"/>
  <c r="D42" i="13"/>
  <c r="D41" i="13"/>
  <c r="D38" i="13"/>
  <c r="D37" i="13"/>
  <c r="D22" i="13"/>
  <c r="D21" i="13"/>
  <c r="D18" i="13"/>
  <c r="D17" i="13"/>
  <c r="D14" i="13"/>
  <c r="D13" i="13"/>
  <c r="D10" i="13"/>
  <c r="D9" i="13"/>
  <c r="D5" i="13"/>
  <c r="D6" i="13"/>
  <c r="O10" i="13" l="1"/>
  <c r="U10" i="13" s="1"/>
  <c r="N10" i="13"/>
  <c r="T10" i="13" s="1"/>
  <c r="M10" i="13"/>
  <c r="S10" i="13" s="1"/>
  <c r="L10" i="13"/>
  <c r="R10" i="13" s="1"/>
  <c r="K10" i="13"/>
  <c r="Q10" i="13" s="1"/>
  <c r="O8" i="13"/>
  <c r="U8" i="13" s="1"/>
  <c r="N8" i="13"/>
  <c r="T8" i="13" s="1"/>
  <c r="M8" i="13"/>
  <c r="S8" i="13" s="1"/>
  <c r="L8" i="13"/>
  <c r="R8" i="13" s="1"/>
  <c r="K8" i="13"/>
  <c r="Q8" i="13" s="1"/>
  <c r="O9" i="13"/>
  <c r="U9" i="13" s="1"/>
  <c r="N9" i="13"/>
  <c r="T9" i="13" s="1"/>
  <c r="M9" i="13"/>
  <c r="S9" i="13" s="1"/>
  <c r="L9" i="13"/>
  <c r="R9" i="13" s="1"/>
  <c r="K9" i="13"/>
  <c r="O7" i="13"/>
  <c r="U7" i="13" s="1"/>
  <c r="N7" i="13"/>
  <c r="T7" i="13" s="1"/>
  <c r="M7" i="13"/>
  <c r="S7" i="13" s="1"/>
  <c r="L7" i="13"/>
  <c r="R7" i="13" s="1"/>
  <c r="K7" i="13"/>
  <c r="Q9" i="13" l="1"/>
  <c r="Q7" i="13"/>
  <c r="O6" i="13"/>
  <c r="N6" i="13"/>
  <c r="M6" i="13"/>
  <c r="L6" i="13"/>
  <c r="K6" i="13"/>
  <c r="Q6" i="13" s="1"/>
  <c r="O4" i="13"/>
  <c r="N4" i="13"/>
  <c r="M4" i="13"/>
  <c r="L4" i="13"/>
  <c r="K4" i="13"/>
  <c r="Q4" i="13" s="1"/>
  <c r="K5" i="13"/>
  <c r="K3" i="13"/>
  <c r="M3" i="13"/>
  <c r="N3" i="13"/>
  <c r="O3" i="13"/>
  <c r="M5" i="13"/>
  <c r="N5" i="13"/>
  <c r="O5" i="13"/>
  <c r="L5" i="13"/>
  <c r="L3" i="13"/>
  <c r="U1" i="13"/>
  <c r="T1" i="13"/>
  <c r="S1" i="13"/>
  <c r="R1" i="13"/>
  <c r="O1" i="13"/>
  <c r="N1" i="13"/>
  <c r="M1" i="13"/>
  <c r="L1" i="13"/>
  <c r="I1" i="13"/>
  <c r="H1" i="13"/>
  <c r="G1" i="13"/>
  <c r="F1" i="13"/>
  <c r="R3" i="13" l="1"/>
  <c r="R11" i="13" s="1"/>
  <c r="L11" i="13"/>
  <c r="U5" i="13"/>
  <c r="U13" i="13" s="1"/>
  <c r="O13" i="13"/>
  <c r="S5" i="13"/>
  <c r="S13" i="13" s="1"/>
  <c r="M13" i="13"/>
  <c r="T3" i="13"/>
  <c r="T11" i="13" s="1"/>
  <c r="N11" i="13"/>
  <c r="S4" i="13"/>
  <c r="S12" i="13" s="1"/>
  <c r="M12" i="13"/>
  <c r="U4" i="13"/>
  <c r="U12" i="13" s="1"/>
  <c r="O12" i="13"/>
  <c r="R6" i="13"/>
  <c r="R14" i="13" s="1"/>
  <c r="L14" i="13"/>
  <c r="T6" i="13"/>
  <c r="T14" i="13" s="1"/>
  <c r="N14" i="13"/>
  <c r="R5" i="13"/>
  <c r="R13" i="13" s="1"/>
  <c r="L13" i="13"/>
  <c r="T5" i="13"/>
  <c r="T13" i="13" s="1"/>
  <c r="N13" i="13"/>
  <c r="U3" i="13"/>
  <c r="U11" i="13" s="1"/>
  <c r="O11" i="13"/>
  <c r="S3" i="13"/>
  <c r="S11" i="13" s="1"/>
  <c r="M11" i="13"/>
  <c r="R4" i="13"/>
  <c r="R12" i="13" s="1"/>
  <c r="L12" i="13"/>
  <c r="T4" i="13"/>
  <c r="T12" i="13" s="1"/>
  <c r="N12" i="13"/>
  <c r="S6" i="13"/>
  <c r="S14" i="13" s="1"/>
  <c r="M14" i="13"/>
  <c r="U6" i="13"/>
  <c r="U14" i="13" s="1"/>
  <c r="O14" i="13"/>
  <c r="Q3" i="13"/>
  <c r="Q5" i="13"/>
  <c r="E13" i="13"/>
  <c r="K13" i="13"/>
  <c r="Q13" i="13"/>
  <c r="E12" i="13"/>
  <c r="K12" i="13"/>
  <c r="Q12" i="13"/>
  <c r="E14" i="13"/>
  <c r="K14" i="13"/>
  <c r="Q14" i="13"/>
  <c r="K11" i="13"/>
  <c r="Q11" i="13"/>
  <c r="E11" i="13"/>
  <c r="K13" i="12"/>
  <c r="K12" i="12"/>
  <c r="K11" i="12"/>
  <c r="K10" i="12"/>
  <c r="K9" i="12"/>
  <c r="G8" i="12" l="1" a="1"/>
  <c r="G8" i="12" s="1"/>
  <c r="I8" i="12" a="1"/>
  <c r="F8" i="12" a="1"/>
  <c r="F8" i="12" s="1"/>
  <c r="H7" i="12" a="1"/>
  <c r="H7" i="12" s="1"/>
  <c r="J7" i="12" a="1"/>
  <c r="H8" i="12" a="1"/>
  <c r="H8" i="12" s="1"/>
  <c r="J8" i="12" a="1"/>
  <c r="J8" i="12" s="1"/>
  <c r="G7" i="12" a="1"/>
  <c r="G7" i="12" s="1"/>
  <c r="I7" i="12" a="1"/>
  <c r="I7" i="12" s="1"/>
  <c r="F7" i="12" a="1"/>
  <c r="F7" i="12" s="1"/>
  <c r="J7" i="12"/>
  <c r="I8" i="12"/>
  <c r="L8" i="12"/>
  <c r="C82" i="12" l="1"/>
  <c r="C80" i="12"/>
  <c r="C78" i="12"/>
  <c r="C83" i="12"/>
  <c r="C81" i="12"/>
  <c r="C79" i="12"/>
  <c r="K83" i="12"/>
  <c r="H83" i="12"/>
  <c r="E83" i="12"/>
  <c r="G83" i="12"/>
  <c r="D83" i="12"/>
  <c r="J83" i="12"/>
  <c r="J60" i="12"/>
  <c r="G60" i="12"/>
  <c r="E60" i="12"/>
  <c r="K60" i="12"/>
  <c r="H60" i="12"/>
  <c r="J61" i="12"/>
  <c r="G61" i="12"/>
  <c r="K61" i="12"/>
  <c r="H61" i="12"/>
  <c r="E61" i="12"/>
  <c r="J62" i="12"/>
  <c r="G62" i="12"/>
  <c r="E62" i="12"/>
  <c r="K62" i="12"/>
  <c r="H62" i="12"/>
  <c r="D64" i="12"/>
  <c r="J64" i="12"/>
  <c r="G64" i="12"/>
  <c r="E64" i="12"/>
  <c r="K64" i="12"/>
  <c r="H64" i="12"/>
  <c r="J63" i="12"/>
  <c r="G63" i="12"/>
  <c r="K63" i="12"/>
  <c r="H63" i="12"/>
  <c r="E63" i="12"/>
  <c r="D60" i="12"/>
  <c r="D61" i="12"/>
  <c r="D62" i="12"/>
  <c r="D63" i="12"/>
  <c r="E80" i="12"/>
  <c r="E79" i="12"/>
  <c r="E78" i="12"/>
  <c r="E76" i="12"/>
  <c r="K72" i="12"/>
  <c r="H72" i="12"/>
  <c r="E72" i="12"/>
  <c r="E59" i="12"/>
  <c r="E58" i="12"/>
  <c r="E57" i="12"/>
  <c r="E73" i="12" s="1"/>
  <c r="E55" i="12"/>
  <c r="E54" i="12"/>
  <c r="D80" i="12"/>
  <c r="D79" i="12"/>
  <c r="D78" i="12"/>
  <c r="D76" i="12"/>
  <c r="J72" i="12"/>
  <c r="G72" i="12"/>
  <c r="D72" i="12"/>
  <c r="D59" i="12"/>
  <c r="D58" i="12"/>
  <c r="D57" i="12"/>
  <c r="D73" i="12" s="1"/>
  <c r="D55" i="12"/>
  <c r="D54" i="12"/>
  <c r="E81" i="12"/>
  <c r="E82" i="12"/>
  <c r="D81" i="12"/>
  <c r="D82" i="12"/>
  <c r="K82" i="12"/>
  <c r="J82" i="12"/>
  <c r="K76" i="12"/>
  <c r="H76" i="12"/>
  <c r="H82" i="12"/>
  <c r="G82" i="12"/>
  <c r="J76" i="12"/>
  <c r="G76" i="12"/>
  <c r="K81" i="12"/>
  <c r="J81" i="12"/>
  <c r="K80" i="12"/>
  <c r="J80" i="12"/>
  <c r="J79" i="12"/>
  <c r="J78" i="12"/>
  <c r="H81" i="12"/>
  <c r="G81" i="12"/>
  <c r="H80" i="12"/>
  <c r="G80" i="12"/>
  <c r="K78" i="12"/>
  <c r="K79" i="12"/>
  <c r="H78" i="12"/>
  <c r="G79" i="12"/>
  <c r="G78" i="12"/>
  <c r="H79" i="12"/>
  <c r="J58" i="12"/>
  <c r="K58" i="12"/>
  <c r="G58" i="12"/>
  <c r="H58" i="12"/>
  <c r="K59" i="12"/>
  <c r="J59" i="12"/>
  <c r="H59" i="12"/>
  <c r="G59" i="12"/>
  <c r="K57" i="12"/>
  <c r="K73" i="12" s="1"/>
  <c r="H57" i="12"/>
  <c r="H73" i="12" s="1"/>
  <c r="J57" i="12"/>
  <c r="J73" i="12" s="1"/>
  <c r="G57" i="12"/>
  <c r="G73" i="12" s="1"/>
  <c r="K7" i="12"/>
  <c r="K8" i="12"/>
  <c r="K55" i="12"/>
  <c r="J54" i="12"/>
  <c r="H55" i="12"/>
  <c r="G55" i="12"/>
  <c r="K54" i="12"/>
  <c r="K56" i="12" s="1"/>
  <c r="J55" i="12"/>
  <c r="H54" i="12"/>
  <c r="H56" i="12" s="1"/>
  <c r="G54" i="12"/>
  <c r="G56" i="12" s="1"/>
  <c r="L7" i="12"/>
  <c r="D69" i="12" l="1"/>
  <c r="D56" i="12"/>
  <c r="E56" i="12"/>
  <c r="D68" i="12"/>
  <c r="D66" i="12"/>
  <c r="D70" i="12"/>
  <c r="D67" i="12"/>
  <c r="C84" i="12"/>
  <c r="K65" i="12"/>
  <c r="G65" i="12"/>
  <c r="H65" i="12"/>
  <c r="E65" i="12"/>
  <c r="J65" i="12"/>
  <c r="J56" i="12"/>
  <c r="J69" i="12"/>
  <c r="D65" i="12"/>
  <c r="K70" i="12"/>
  <c r="G70" i="12"/>
  <c r="H68" i="12"/>
  <c r="K68" i="12"/>
  <c r="G68" i="12"/>
  <c r="H67" i="12"/>
  <c r="K67" i="12"/>
  <c r="E67" i="12"/>
  <c r="G71" i="12"/>
  <c r="H66" i="12"/>
  <c r="J71" i="12"/>
  <c r="E66" i="12"/>
  <c r="K66" i="12"/>
  <c r="H69" i="12"/>
  <c r="E69" i="12"/>
  <c r="K69" i="12"/>
  <c r="J70" i="12"/>
  <c r="H70" i="12"/>
  <c r="E70" i="12"/>
  <c r="E68" i="12"/>
  <c r="J68" i="12"/>
  <c r="J67" i="12"/>
  <c r="G67" i="12"/>
  <c r="E71" i="12"/>
  <c r="H71" i="12"/>
  <c r="K71" i="12"/>
  <c r="D71" i="12"/>
  <c r="G66" i="12"/>
  <c r="J66" i="12"/>
  <c r="G69" i="12"/>
  <c r="G84" i="12"/>
  <c r="K75" i="12"/>
  <c r="H75" i="12"/>
  <c r="E75" i="12"/>
  <c r="H84" i="12"/>
  <c r="D84" i="12"/>
  <c r="E84" i="12"/>
  <c r="J84" i="12"/>
  <c r="K84" i="12"/>
  <c r="D75" i="12"/>
  <c r="J75" i="12"/>
  <c r="G75" i="12"/>
  <c r="K74" i="12"/>
  <c r="E74" i="12"/>
  <c r="H74" i="12"/>
  <c r="J74" i="12"/>
  <c r="D74" i="12"/>
  <c r="G74" i="12"/>
  <c r="C85" i="12" l="1"/>
  <c r="C86" i="12"/>
  <c r="C87" i="12" s="1"/>
  <c r="K77" i="12"/>
  <c r="D77" i="12"/>
  <c r="D85" i="12" s="1"/>
  <c r="J77" i="12"/>
  <c r="K86" i="12" s="1"/>
  <c r="K87" i="12" s="1"/>
  <c r="H77" i="12"/>
  <c r="G77" i="12"/>
  <c r="H86" i="12" s="1"/>
  <c r="H87" i="12" s="1"/>
  <c r="E77" i="12"/>
  <c r="E85" i="12" s="1"/>
  <c r="D89" i="12" l="1"/>
  <c r="G86" i="12"/>
  <c r="G87" i="12" s="1"/>
  <c r="J86" i="12"/>
  <c r="J87" i="12" s="1"/>
  <c r="D86" i="12"/>
  <c r="D87" i="12" s="1"/>
  <c r="E86" i="12"/>
  <c r="E87" i="12" s="1"/>
</calcChain>
</file>

<file path=xl/comments1.xml><?xml version="1.0" encoding="utf-8"?>
<comments xmlns="http://schemas.openxmlformats.org/spreadsheetml/2006/main">
  <authors>
    <author>tangwei</author>
    <author>汤为</author>
  </authors>
  <commentList>
    <comment ref="F5" authorId="0">
      <text>
        <r>
          <rPr>
            <b/>
            <sz val="9"/>
            <color indexed="81"/>
            <rFont val="宋体"/>
            <family val="3"/>
            <charset val="134"/>
          </rPr>
          <t>一个教室可以同时有多个部门属性，表示这些部门都可以在该教室内排课</t>
        </r>
      </text>
    </comment>
    <comment ref="N54" authorId="1">
      <text>
        <r>
          <rPr>
            <sz val="9"/>
            <color indexed="81"/>
            <rFont val="宋体"/>
            <family val="3"/>
            <charset val="134"/>
          </rPr>
          <t>一个教室有多个班级上课的要多次计算该教室的座位，闲置教室的座位不参与计算，例如：
某期间有5个班级上课，班级人数均为5人，其中三个班级在A教室上课，A教室座位数为10个，另外两个班级在B教室上课，B教室座位数为12个，则满座率=5+5+5+5+5/10*3+12*2=46%</t>
        </r>
      </text>
    </comment>
    <comment ref="N55" authorId="1">
      <text>
        <r>
          <rPr>
            <sz val="9"/>
            <color indexed="81"/>
            <rFont val="宋体"/>
            <family val="3"/>
            <charset val="134"/>
          </rPr>
          <t>教室可用时间的定义为：
1、工作日的可用时间为每天2小时
2、周末、寒暑假、节假日的可用时间为每天10小时
以此算法计算的全年可用时间约为2050个小时，每月的可用时间需要单独计算，约为150-300小时之间</t>
        </r>
      </text>
    </comment>
  </commentList>
</comments>
</file>

<file path=xl/sharedStrings.xml><?xml version="1.0" encoding="utf-8"?>
<sst xmlns="http://schemas.openxmlformats.org/spreadsheetml/2006/main" count="293" uniqueCount="182">
  <si>
    <t>盈亏平衡点</t>
  </si>
  <si>
    <t>正常小值</t>
  </si>
  <si>
    <t>正常大值</t>
  </si>
  <si>
    <t>人力费用</t>
    <phoneticPr fontId="1" type="noConversion"/>
  </si>
  <si>
    <t>教室分类</t>
    <phoneticPr fontId="1" type="noConversion"/>
  </si>
  <si>
    <t>第一年</t>
    <phoneticPr fontId="1" type="noConversion"/>
  </si>
  <si>
    <t>第二年</t>
    <phoneticPr fontId="1" type="noConversion"/>
  </si>
  <si>
    <t>第三年</t>
    <phoneticPr fontId="1" type="noConversion"/>
  </si>
  <si>
    <t>教室使用情况</t>
    <phoneticPr fontId="1" type="noConversion"/>
  </si>
  <si>
    <t>指标名称</t>
    <phoneticPr fontId="1" type="noConversion"/>
  </si>
  <si>
    <t>参考指标值</t>
    <phoneticPr fontId="1" type="noConversion"/>
  </si>
  <si>
    <t>满座率</t>
    <phoneticPr fontId="1" type="noConversion"/>
  </si>
  <si>
    <t>教室使用率</t>
    <phoneticPr fontId="1" type="noConversion"/>
  </si>
  <si>
    <t>教室利用率</t>
    <phoneticPr fontId="1" type="noConversion"/>
  </si>
  <si>
    <t>利润率</t>
  </si>
  <si>
    <t>利润</t>
    <phoneticPr fontId="1" type="noConversion"/>
  </si>
  <si>
    <t>租金及物业费</t>
    <phoneticPr fontId="1" type="noConversion"/>
  </si>
  <si>
    <t>实际/预计值</t>
    <phoneticPr fontId="1" type="noConversion"/>
  </si>
  <si>
    <t>座位数</t>
    <phoneticPr fontId="1" type="noConversion"/>
  </si>
  <si>
    <t>国内部</t>
  </si>
  <si>
    <t>少儿部</t>
  </si>
  <si>
    <t>部门使用频率比例</t>
    <phoneticPr fontId="1" type="noConversion"/>
  </si>
  <si>
    <t>合计</t>
    <phoneticPr fontId="1" type="noConversion"/>
  </si>
  <si>
    <t>国外部</t>
  </si>
  <si>
    <t>英语学习部</t>
  </si>
  <si>
    <t>中学部</t>
  </si>
  <si>
    <t>教室租金</t>
    <phoneticPr fontId="1" type="noConversion"/>
  </si>
  <si>
    <t>建筑面积</t>
    <phoneticPr fontId="1" type="noConversion"/>
  </si>
  <si>
    <t>小教室汇总</t>
    <phoneticPr fontId="1" type="noConversion"/>
  </si>
  <si>
    <t>大教室汇总</t>
    <phoneticPr fontId="1" type="noConversion"/>
  </si>
  <si>
    <t>大小值</t>
    <phoneticPr fontId="1" type="noConversion"/>
  </si>
  <si>
    <t>大教室</t>
    <phoneticPr fontId="1" type="noConversion"/>
  </si>
  <si>
    <t>小教室</t>
    <phoneticPr fontId="1" type="noConversion"/>
  </si>
  <si>
    <t>第二年</t>
    <phoneticPr fontId="1" type="noConversion"/>
  </si>
  <si>
    <t>参考高值</t>
    <phoneticPr fontId="1" type="noConversion"/>
  </si>
  <si>
    <t>参考低值</t>
    <phoneticPr fontId="1" type="noConversion"/>
  </si>
  <si>
    <t>每办公面积员工数</t>
    <phoneticPr fontId="1" type="noConversion"/>
  </si>
  <si>
    <t>经营数据</t>
    <phoneticPr fontId="1" type="noConversion"/>
  </si>
  <si>
    <t>每平米物业费(月）</t>
    <phoneticPr fontId="1" type="noConversion"/>
  </si>
  <si>
    <t>租金递增率（年）</t>
    <phoneticPr fontId="1" type="noConversion"/>
  </si>
  <si>
    <t>每座位最大招生人数（年）</t>
    <phoneticPr fontId="1" type="noConversion"/>
  </si>
  <si>
    <t>第一年总租金(含税)</t>
    <phoneticPr fontId="1" type="noConversion"/>
  </si>
  <si>
    <t>每平米装修费</t>
    <phoneticPr fontId="1" type="noConversion"/>
  </si>
  <si>
    <t>人均人力资源费（年）</t>
    <phoneticPr fontId="1" type="noConversion"/>
  </si>
  <si>
    <t>固定资产支出</t>
    <phoneticPr fontId="1" type="noConversion"/>
  </si>
  <si>
    <t>装修费摊销</t>
    <phoneticPr fontId="1" type="noConversion"/>
  </si>
  <si>
    <t>每教室固定资产支出</t>
    <phoneticPr fontId="1" type="noConversion"/>
  </si>
  <si>
    <t>每平米办公区域固定资产支出</t>
    <phoneticPr fontId="1" type="noConversion"/>
  </si>
  <si>
    <t>固定资产折旧</t>
    <phoneticPr fontId="1" type="noConversion"/>
  </si>
  <si>
    <t>变动支出合计</t>
    <phoneticPr fontId="1" type="noConversion"/>
  </si>
  <si>
    <t>固定支出合计</t>
    <phoneticPr fontId="1" type="noConversion"/>
  </si>
  <si>
    <t>固定成本</t>
    <phoneticPr fontId="1" type="noConversion"/>
  </si>
  <si>
    <t>变动成本</t>
    <phoneticPr fontId="1" type="noConversion"/>
  </si>
  <si>
    <t>教室名称</t>
    <phoneticPr fontId="1" type="noConversion"/>
  </si>
  <si>
    <t>教室编码</t>
    <phoneticPr fontId="1" type="noConversion"/>
  </si>
  <si>
    <t>课酬占收入比</t>
    <phoneticPr fontId="1" type="noConversion"/>
  </si>
  <si>
    <t>教材占收入比</t>
    <phoneticPr fontId="1" type="noConversion"/>
  </si>
  <si>
    <t>税金占收入比</t>
    <phoneticPr fontId="1" type="noConversion"/>
  </si>
  <si>
    <t>市场费占收入比</t>
    <phoneticPr fontId="1" type="noConversion"/>
  </si>
  <si>
    <t>水电行政费占收入比</t>
    <phoneticPr fontId="1" type="noConversion"/>
  </si>
  <si>
    <t>每平米固定日常费用支出</t>
    <phoneticPr fontId="1" type="noConversion"/>
  </si>
  <si>
    <t>变动日常费用占收入比</t>
    <phoneticPr fontId="1" type="noConversion"/>
  </si>
  <si>
    <t>教室每租金创收（年）</t>
    <phoneticPr fontId="1" type="noConversion"/>
  </si>
  <si>
    <t>满座率：平均每个班级所在教室的座位满员率</t>
    <phoneticPr fontId="1" type="noConversion"/>
  </si>
  <si>
    <t>教室使用率：平均每个教室在可用时间段内的实际使用情况</t>
    <phoneticPr fontId="1" type="noConversion"/>
  </si>
  <si>
    <t>指标算法</t>
    <phoneticPr fontId="1" type="noConversion"/>
  </si>
  <si>
    <t>指标解释</t>
    <phoneticPr fontId="1" type="noConversion"/>
  </si>
  <si>
    <t>指标含义</t>
    <phoneticPr fontId="1" type="noConversion"/>
  </si>
  <si>
    <t>本期上课人数之和/本期上课教室的座位数之和，座位数的算法见批注</t>
    <phoneticPr fontId="1" type="noConversion"/>
  </si>
  <si>
    <t>本期教室实际使用时间/本期教室可用时间，可用时间的算法见批注</t>
    <phoneticPr fontId="1" type="noConversion"/>
  </si>
  <si>
    <t>教室利用率：平均每个座位在可用时间段内的实际利用情况</t>
    <phoneticPr fontId="1" type="noConversion"/>
  </si>
  <si>
    <t>满座率×教室使用率</t>
    <phoneticPr fontId="1" type="noConversion"/>
  </si>
  <si>
    <r>
      <t xml:space="preserve">教室面积
</t>
    </r>
    <r>
      <rPr>
        <sz val="8"/>
        <color theme="1"/>
        <rFont val="微软雅黑"/>
        <family val="2"/>
        <charset val="134"/>
      </rPr>
      <t>(含公共面积分摊)</t>
    </r>
    <phoneticPr fontId="1" type="noConversion"/>
  </si>
  <si>
    <t>全职教职员工</t>
    <phoneticPr fontId="1" type="noConversion"/>
  </si>
  <si>
    <t>全职教职员工：签订劳动合同担任全职工作的教师或员工</t>
    <phoneticPr fontId="1" type="noConversion"/>
  </si>
  <si>
    <t>劳动全职教师+劳动全职员工</t>
    <phoneticPr fontId="1" type="noConversion"/>
  </si>
  <si>
    <t>招生人数合计</t>
    <phoneticPr fontId="1" type="noConversion"/>
  </si>
  <si>
    <t>招生人数</t>
    <phoneticPr fontId="1" type="noConversion"/>
  </si>
  <si>
    <t>培训收入</t>
    <phoneticPr fontId="1" type="noConversion"/>
  </si>
  <si>
    <t>培训收入合计</t>
    <phoneticPr fontId="1" type="noConversion"/>
  </si>
  <si>
    <t>装修支出</t>
    <phoneticPr fontId="1" type="noConversion"/>
  </si>
  <si>
    <t>装修支出：为达到可经营状态的必要改造、装璜、装饰的支出</t>
    <phoneticPr fontId="1" type="noConversion"/>
  </si>
  <si>
    <t>包括建筑、拆除、装饰、中央空调、通风、监控、消防工程的支出</t>
    <phoneticPr fontId="1" type="noConversion"/>
  </si>
  <si>
    <t>固定资产支出：购置、更换教学办公所需的长期使用资产</t>
    <phoneticPr fontId="1" type="noConversion"/>
  </si>
  <si>
    <t>包括计算机及外设、网络通讯设备、电器设备、车辆设备、办公家具、课桌椅</t>
    <phoneticPr fontId="1" type="noConversion"/>
  </si>
  <si>
    <t>反映为创造教学、办公环境而的投入的资本性改造支出，该指标值低为好</t>
    <phoneticPr fontId="1" type="noConversion"/>
  </si>
  <si>
    <t>反映人员配置的效率和效益，该指标值低为好</t>
    <phoneticPr fontId="1" type="noConversion"/>
  </si>
  <si>
    <t>综合反映教学点的使用是否充分，是否需要扩租或减租教学点面积，该指标值高为好</t>
    <phoneticPr fontId="1" type="noConversion"/>
  </si>
  <si>
    <t>反映教室的使用是否充分，是否需要扩租或减租教学点面积，该指标值高为好</t>
    <phoneticPr fontId="1" type="noConversion"/>
  </si>
  <si>
    <t>反映班级的招生是否充足、教室排课是否合理、班级毛利的高低，该指标值高为好</t>
    <phoneticPr fontId="1" type="noConversion"/>
  </si>
  <si>
    <t>反映为正常教学、办公而投入的资产设备支出，该指标值低为好</t>
    <phoneticPr fontId="1" type="noConversion"/>
  </si>
  <si>
    <t>招生人数：当期学生报名净人次</t>
    <phoneticPr fontId="1" type="noConversion"/>
  </si>
  <si>
    <t>反映招生宣传能力，学生认可程度，该指标值高为好</t>
    <phoneticPr fontId="1" type="noConversion"/>
  </si>
  <si>
    <t>报名系统“每日报名统计”模块:“报入+转入-转出-退班”字段或报名数据统计系统报名人数</t>
    <phoneticPr fontId="1" type="noConversion"/>
  </si>
  <si>
    <t>培训收入：当期按上课进度计算的班级总收入</t>
    <phoneticPr fontId="1" type="noConversion"/>
  </si>
  <si>
    <t>反映招生能力、课程进展，该指标值高为好</t>
    <phoneticPr fontId="1" type="noConversion"/>
  </si>
  <si>
    <t>报名系统“班级进度收入表”模块：“当期实现收入”字段或财务系统当期培训收入金额</t>
    <phoneticPr fontId="1" type="noConversion"/>
  </si>
  <si>
    <t>反映经营场地租赁成本，该指标值低为好</t>
    <phoneticPr fontId="1" type="noConversion"/>
  </si>
  <si>
    <t>租金及物业费：每期支付给出租方的固定租赁支出</t>
    <phoneticPr fontId="1" type="noConversion"/>
  </si>
  <si>
    <t>人力费用：每期支付给教职员工的与教学无关人力资源费用</t>
    <phoneticPr fontId="1" type="noConversion"/>
  </si>
  <si>
    <t>反映固定人员成本，该指标值低为好</t>
    <phoneticPr fontId="1" type="noConversion"/>
  </si>
  <si>
    <t>装修费摊销：装修支出在最多5年内平均计入到每年的费用中</t>
    <phoneticPr fontId="1" type="noConversion"/>
  </si>
  <si>
    <t>固定资产折旧：固定资产支出在最多5年内平均计入到每年的费用中</t>
    <phoneticPr fontId="1" type="noConversion"/>
  </si>
  <si>
    <t>固定支出：与招生、经营的变化相关性不大，固定需要支出的费用</t>
    <phoneticPr fontId="1" type="noConversion"/>
  </si>
  <si>
    <t>以上租金及物业费、人力费用、装修费摊销、折旧、固定日常费用的合计</t>
    <phoneticPr fontId="1" type="noConversion"/>
  </si>
  <si>
    <t>反映经营过程中每期固定支出的高低，固定成本越高，对收入的最低要求就越高</t>
    <phoneticPr fontId="1" type="noConversion"/>
  </si>
  <si>
    <t>课酬占收入比：向授课教师支付的酬劳、工资、奖金占收入的比重</t>
    <phoneticPr fontId="1" type="noConversion"/>
  </si>
  <si>
    <t>课酬占收入比</t>
    <phoneticPr fontId="1" type="noConversion"/>
  </si>
  <si>
    <t>教材资料占收入比</t>
    <phoneticPr fontId="1" type="noConversion"/>
  </si>
  <si>
    <t>税金占收入比</t>
    <phoneticPr fontId="1" type="noConversion"/>
  </si>
  <si>
    <t>市场费用占收入比</t>
    <phoneticPr fontId="1" type="noConversion"/>
  </si>
  <si>
    <t>水电行政费用占收入比</t>
    <phoneticPr fontId="1" type="noConversion"/>
  </si>
  <si>
    <t>变动日常费用占收入比</t>
    <phoneticPr fontId="1" type="noConversion"/>
  </si>
  <si>
    <t>（课酬+工资中中学、少儿部上课教师的工资）/培训收入</t>
    <phoneticPr fontId="1" type="noConversion"/>
  </si>
  <si>
    <t>反映每收入所支付的教师课酬成本，该指标值低为好</t>
    <phoneticPr fontId="1" type="noConversion"/>
  </si>
  <si>
    <t>教材资料占收入比：向学生发放教材资料成本占收入的比重</t>
    <phoneticPr fontId="1" type="noConversion"/>
  </si>
  <si>
    <t>教材资料/培训收入</t>
    <phoneticPr fontId="1" type="noConversion"/>
  </si>
  <si>
    <t>当期教室租金+办公房租+物业费金额</t>
    <phoneticPr fontId="1" type="noConversion"/>
  </si>
  <si>
    <t>当期人力资源费+绩效奖金金额</t>
    <phoneticPr fontId="1" type="noConversion"/>
  </si>
  <si>
    <t>装修费摊销+直接计入损益的装修费金额</t>
    <phoneticPr fontId="1" type="noConversion"/>
  </si>
  <si>
    <t>折旧费金额</t>
    <phoneticPr fontId="1" type="noConversion"/>
  </si>
  <si>
    <t>反映每收入所支付的教材成本，该指标值低为好</t>
    <phoneticPr fontId="1" type="noConversion"/>
  </si>
  <si>
    <t>税金占收入比：向税务局缴纳的营业税金及附加税种占收入的比重</t>
    <phoneticPr fontId="1" type="noConversion"/>
  </si>
  <si>
    <t>主营业务税金/培训收入，主营业务税金包括营业税金及其附加税种</t>
    <phoneticPr fontId="1" type="noConversion"/>
  </si>
  <si>
    <t>反映每收入向国家缴纳的营业税金，该指标大小由税法和税务局规定</t>
    <phoneticPr fontId="1" type="noConversion"/>
  </si>
  <si>
    <t>市场费用占收入比：为招生而发生的市场推广、活动费用占收入的比重</t>
    <phoneticPr fontId="1" type="noConversion"/>
  </si>
  <si>
    <t>市场推广费/培训收入</t>
    <phoneticPr fontId="1" type="noConversion"/>
  </si>
  <si>
    <t>反映每收入所花费的市场推广成本，该指标值低为好</t>
    <phoneticPr fontId="1" type="noConversion"/>
  </si>
  <si>
    <t>水电行政费用占收入比：为上课而发生的水电费等后勤费用占收入的比重</t>
    <phoneticPr fontId="1" type="noConversion"/>
  </si>
  <si>
    <t>水电费+保安费+保洁费+绿化费+维修费等经营相关的费用</t>
    <phoneticPr fontId="1" type="noConversion"/>
  </si>
  <si>
    <t>反映为正常教学、办公而支出的其他费用，该指标值低为好</t>
    <phoneticPr fontId="1" type="noConversion"/>
  </si>
  <si>
    <t>变动日常费用占收入比：与收入相关性较高的日常经营费用</t>
    <phoneticPr fontId="1" type="noConversion"/>
  </si>
  <si>
    <t>固定日常费用：与收入相关性较低的日常经营费用</t>
    <phoneticPr fontId="1" type="noConversion"/>
  </si>
  <si>
    <t>车辆费+差旅费+会议费+印刷制作费+邮寄费+运费等经营相关的费用</t>
    <phoneticPr fontId="1" type="noConversion"/>
  </si>
  <si>
    <t>反映为正常教学、办公而支出的其他后勤费用，该指标值低为好</t>
    <phoneticPr fontId="1" type="noConversion"/>
  </si>
  <si>
    <t>反映为正常教学、办公而支出的其他日常费用，该指标值低为好</t>
    <phoneticPr fontId="1" type="noConversion"/>
  </si>
  <si>
    <t>固定日常费用</t>
    <phoneticPr fontId="1" type="noConversion"/>
  </si>
  <si>
    <t>盈亏平衡点：收入和变动成本+固定成本恰好相等的收入值</t>
    <phoneticPr fontId="1" type="noConversion"/>
  </si>
  <si>
    <t>固定成本/（1-变动成本/收入）</t>
    <phoneticPr fontId="1" type="noConversion"/>
  </si>
  <si>
    <t>反映收支平衡的金额，收入低于盈亏平衡点则当期利润为负数，高于盈亏平衡点则当期利润为正数</t>
    <phoneticPr fontId="1" type="noConversion"/>
  </si>
  <si>
    <t>收入-变动成本-固定成本</t>
    <phoneticPr fontId="1" type="noConversion"/>
  </si>
  <si>
    <t>反映经营管理能力，如果利润持续亏损则说明经营管理能力不行需要关闭该中心或在管理上进行调整</t>
    <phoneticPr fontId="1" type="noConversion"/>
  </si>
  <si>
    <t>利润率：利润占收入的比重</t>
    <phoneticPr fontId="1" type="noConversion"/>
  </si>
  <si>
    <t>市内交通费+通讯费+招待礼品费+低值易耗品+办公用品+财务费用+其他业务、营业外收支等费用</t>
    <phoneticPr fontId="1" type="noConversion"/>
  </si>
  <si>
    <t>利润/收入</t>
    <phoneticPr fontId="1" type="noConversion"/>
  </si>
  <si>
    <t>税前利润</t>
    <phoneticPr fontId="1" type="noConversion"/>
  </si>
  <si>
    <t>利润：收入减去成本费用之后的结余金额，未扣除所得税费用</t>
    <phoneticPr fontId="1" type="noConversion"/>
  </si>
  <si>
    <t>反映经营管理能力，如果利润率低于行业、同级别机构的平均水平则需要关闭该中心或在管理上进行调整</t>
    <phoneticPr fontId="1" type="noConversion"/>
  </si>
  <si>
    <t>教学点参考指标模型</t>
    <phoneticPr fontId="1" type="noConversion"/>
  </si>
  <si>
    <t>RMLZ01005</t>
  </si>
  <si>
    <t>RMLZ01006</t>
  </si>
  <si>
    <t>RMLZ01007</t>
  </si>
  <si>
    <t>RMLZ01002</t>
  </si>
  <si>
    <t>RMLZ01003</t>
  </si>
  <si>
    <t>RMLZ01004</t>
  </si>
  <si>
    <t>RMLZ01008</t>
  </si>
  <si>
    <t>RMLZ01009</t>
  </si>
  <si>
    <t>RMLZ01010</t>
  </si>
  <si>
    <t>年份</t>
  </si>
  <si>
    <t>收入</t>
  </si>
  <si>
    <t>营业税金及附加</t>
  </si>
  <si>
    <t>直接成本</t>
  </si>
  <si>
    <t>课酬</t>
  </si>
  <si>
    <t>租金</t>
  </si>
  <si>
    <t>教材成本</t>
  </si>
  <si>
    <t>营业利润</t>
  </si>
  <si>
    <t>人力资源费用</t>
  </si>
  <si>
    <t>市场费用</t>
  </si>
  <si>
    <t>日常运营费</t>
  </si>
  <si>
    <t>行政后勤费</t>
  </si>
  <si>
    <t>装修摊销</t>
  </si>
  <si>
    <t>教学设备及办公家具折旧</t>
  </si>
  <si>
    <t>税前利润</t>
  </si>
  <si>
    <t>企业所得税</t>
  </si>
  <si>
    <t>税后利润</t>
  </si>
  <si>
    <t>第1年</t>
  </si>
  <si>
    <t>第2年</t>
  </si>
  <si>
    <t>第3年</t>
  </si>
  <si>
    <t>第4年</t>
  </si>
  <si>
    <t>第5年</t>
  </si>
  <si>
    <t>第6年</t>
  </si>
  <si>
    <t>RMLZ01001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</si>
</sst>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0;&quot;-&quot;"/>
    <numFmt numFmtId="177" formatCode="#,##0.00;\-#,##0.00;&quot;-&quot;"/>
    <numFmt numFmtId="178" formatCode="0.0%"/>
    <numFmt numFmtId="179" formatCode="#,##0_ "/>
    <numFmt numFmtId="180" formatCode="0_ "/>
  </numFmts>
  <fonts count="10" x14ac:knownFonts="1">
    <font>
      <sz val="11"/>
      <color theme="1"/>
      <name val="宋体"/>
      <family val="2"/>
      <charset val="134"/>
      <scheme val="minor"/>
    </font>
    <font>
      <sz val="9"/>
      <name val="宋体"/>
      <family val="2"/>
      <charset val="134"/>
      <scheme val="minor"/>
    </font>
    <font>
      <sz val="9"/>
      <color theme="1"/>
      <name val="微软雅黑"/>
      <family val="2"/>
      <charset val="134"/>
    </font>
    <font>
      <b/>
      <sz val="9"/>
      <color indexed="81"/>
      <name val="宋体"/>
      <family val="3"/>
      <charset val="134"/>
    </font>
    <font>
      <sz val="11"/>
      <color theme="1"/>
      <name val="宋体"/>
      <family val="2"/>
      <charset val="134"/>
      <scheme val="minor"/>
    </font>
    <font>
      <sz val="9"/>
      <color indexed="81"/>
      <name val="宋体"/>
      <family val="3"/>
      <charset val="134"/>
    </font>
    <font>
      <sz val="8"/>
      <color theme="1"/>
      <name val="微软雅黑"/>
      <family val="2"/>
      <charset val="134"/>
    </font>
    <font>
      <b/>
      <sz val="9"/>
      <color theme="1"/>
      <name val="微软雅黑"/>
      <family val="2"/>
      <charset val="134"/>
    </font>
    <font>
      <sz val="14"/>
      <color theme="1"/>
      <name val="微软雅黑"/>
      <family val="2"/>
      <charset val="134"/>
    </font>
    <font>
      <b/>
      <sz val="11"/>
      <color theme="1"/>
      <name val="宋体"/>
      <charset val="134"/>
      <scheme val="minor"/>
    </font>
  </fonts>
  <fills count="11">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rgb="FFFFFFE1"/>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rgb="FFEEEEEE"/>
        <bgColor indexed="64"/>
      </patternFill>
    </fill>
  </fills>
  <borders count="13">
    <border>
      <left/>
      <right/>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auto="1"/>
      </left>
      <right/>
      <top style="thin">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right/>
      <top style="hair">
        <color auto="1"/>
      </top>
      <bottom style="hair">
        <color auto="1"/>
      </bottom>
      <diagonal/>
    </border>
    <border>
      <left/>
      <right/>
      <top style="thin">
        <color auto="1"/>
      </top>
      <bottom style="hair">
        <color auto="1"/>
      </bottom>
      <diagonal/>
    </border>
    <border>
      <left/>
      <right style="hair">
        <color auto="1"/>
      </right>
      <top style="thin">
        <color auto="1"/>
      </top>
      <bottom style="hair">
        <color auto="1"/>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9" fontId="4" fillId="0" borderId="0" applyFont="0" applyFill="0" applyBorder="0" applyAlignment="0" applyProtection="0">
      <alignment vertical="center"/>
    </xf>
  </cellStyleXfs>
  <cellXfs count="85">
    <xf numFmtId="0" fontId="0" fillId="0" borderId="0" xfId="0">
      <alignment vertical="center"/>
    </xf>
    <xf numFmtId="0" fontId="2" fillId="3" borderId="2" xfId="0" applyNumberFormat="1" applyFont="1" applyFill="1" applyBorder="1" applyAlignment="1">
      <alignment horizontal="center" vertical="center" wrapText="1"/>
    </xf>
    <xf numFmtId="176" fontId="2" fillId="6" borderId="2" xfId="0" applyNumberFormat="1" applyFont="1" applyFill="1" applyBorder="1">
      <alignment vertical="center"/>
    </xf>
    <xf numFmtId="176" fontId="2" fillId="4" borderId="2" xfId="0" applyNumberFormat="1" applyFont="1" applyFill="1" applyBorder="1">
      <alignment vertical="center"/>
    </xf>
    <xf numFmtId="176" fontId="2" fillId="7" borderId="2" xfId="0" applyNumberFormat="1" applyFont="1" applyFill="1" applyBorder="1">
      <alignment vertical="center"/>
    </xf>
    <xf numFmtId="9" fontId="2" fillId="7" borderId="2" xfId="1" applyFont="1" applyFill="1" applyBorder="1" applyAlignment="1">
      <alignment horizontal="center" vertical="center"/>
    </xf>
    <xf numFmtId="0" fontId="0" fillId="0" borderId="0" xfId="0" applyAlignment="1">
      <alignment horizontal="center" vertical="center"/>
    </xf>
    <xf numFmtId="0" fontId="2" fillId="0" borderId="0" xfId="0" applyFont="1">
      <alignment vertical="center"/>
    </xf>
    <xf numFmtId="9" fontId="2" fillId="6" borderId="2" xfId="1" applyFont="1" applyFill="1" applyBorder="1" applyAlignment="1">
      <alignment horizontal="center" vertical="center"/>
    </xf>
    <xf numFmtId="9" fontId="2" fillId="0" borderId="2" xfId="1" applyFont="1" applyBorder="1">
      <alignment vertical="center"/>
    </xf>
    <xf numFmtId="9" fontId="2" fillId="6" borderId="2" xfId="1" applyFont="1" applyFill="1" applyBorder="1">
      <alignment vertical="center"/>
    </xf>
    <xf numFmtId="0" fontId="2" fillId="2" borderId="2" xfId="0" applyFont="1" applyFill="1" applyBorder="1" applyAlignment="1">
      <alignment horizontal="center" vertical="center"/>
    </xf>
    <xf numFmtId="9" fontId="2" fillId="0" borderId="2" xfId="1" applyNumberFormat="1" applyFont="1" applyBorder="1">
      <alignment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2" borderId="1" xfId="0" applyFont="1" applyFill="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vertical="center"/>
    </xf>
    <xf numFmtId="0" fontId="2" fillId="2" borderId="6" xfId="0" applyFont="1" applyFill="1" applyBorder="1" applyAlignment="1">
      <alignment vertical="center"/>
    </xf>
    <xf numFmtId="0" fontId="2" fillId="2" borderId="10" xfId="0" applyFont="1" applyFill="1" applyBorder="1" applyAlignment="1">
      <alignment vertical="center"/>
    </xf>
    <xf numFmtId="0" fontId="2" fillId="2" borderId="11" xfId="0" applyFont="1" applyFill="1" applyBorder="1" applyAlignment="1">
      <alignment vertical="center"/>
    </xf>
    <xf numFmtId="0" fontId="2" fillId="0" borderId="0" xfId="0" applyFont="1" applyAlignment="1">
      <alignment horizontal="center" vertical="center"/>
    </xf>
    <xf numFmtId="9" fontId="2" fillId="6" borderId="3" xfId="1" applyFont="1" applyFill="1" applyBorder="1" applyAlignment="1">
      <alignment vertical="center"/>
    </xf>
    <xf numFmtId="176" fontId="2" fillId="0" borderId="2" xfId="1" applyNumberFormat="1" applyFont="1" applyBorder="1">
      <alignment vertical="center"/>
    </xf>
    <xf numFmtId="177" fontId="2" fillId="0" borderId="2" xfId="1" applyNumberFormat="1" applyFont="1" applyBorder="1">
      <alignment vertical="center"/>
    </xf>
    <xf numFmtId="0" fontId="2" fillId="0" borderId="2" xfId="0" applyFont="1" applyBorder="1" applyAlignment="1">
      <alignment horizontal="center" vertical="center"/>
    </xf>
    <xf numFmtId="176" fontId="2" fillId="7" borderId="2" xfId="0" applyNumberFormat="1" applyFont="1" applyFill="1" applyBorder="1" applyAlignment="1">
      <alignment horizontal="center" vertical="center"/>
    </xf>
    <xf numFmtId="10" fontId="2" fillId="0" borderId="2" xfId="1" applyNumberFormat="1" applyFont="1" applyBorder="1">
      <alignment vertical="center"/>
    </xf>
    <xf numFmtId="178" fontId="2" fillId="0" borderId="2" xfId="1" applyNumberFormat="1" applyFont="1" applyBorder="1">
      <alignment vertical="center"/>
    </xf>
    <xf numFmtId="176" fontId="2" fillId="8" borderId="2" xfId="0" applyNumberFormat="1" applyFont="1" applyFill="1" applyBorder="1">
      <alignment vertical="center"/>
    </xf>
    <xf numFmtId="0" fontId="2" fillId="9" borderId="2" xfId="0" applyFont="1" applyFill="1" applyBorder="1" applyAlignment="1">
      <alignment horizontal="center" vertical="center"/>
    </xf>
    <xf numFmtId="0" fontId="2" fillId="9" borderId="2" xfId="0" applyFont="1" applyFill="1" applyBorder="1">
      <alignment vertical="center"/>
    </xf>
    <xf numFmtId="0" fontId="2" fillId="9" borderId="2" xfId="0" applyFont="1" applyFill="1" applyBorder="1" applyAlignment="1">
      <alignment horizontal="left" vertical="center"/>
    </xf>
    <xf numFmtId="9" fontId="2" fillId="2" borderId="2" xfId="1" applyFont="1" applyFill="1" applyBorder="1" applyAlignment="1">
      <alignment horizontal="center" vertical="center"/>
    </xf>
    <xf numFmtId="1" fontId="2" fillId="2" borderId="2" xfId="0" applyNumberFormat="1" applyFont="1" applyFill="1" applyBorder="1" applyAlignment="1">
      <alignment horizontal="center" vertical="center"/>
    </xf>
    <xf numFmtId="176" fontId="2" fillId="2" borderId="2" xfId="0" applyNumberFormat="1" applyFont="1" applyFill="1" applyBorder="1">
      <alignment vertical="center"/>
    </xf>
    <xf numFmtId="9" fontId="2" fillId="2" borderId="2" xfId="1" applyFont="1" applyFill="1" applyBorder="1">
      <alignment vertical="center"/>
    </xf>
    <xf numFmtId="10" fontId="2" fillId="2" borderId="2" xfId="1" applyNumberFormat="1" applyFont="1" applyFill="1" applyBorder="1">
      <alignment vertical="center"/>
    </xf>
    <xf numFmtId="178" fontId="2" fillId="2" borderId="2" xfId="1" applyNumberFormat="1" applyFont="1" applyFill="1" applyBorder="1">
      <alignment vertical="center"/>
    </xf>
    <xf numFmtId="0" fontId="2" fillId="9" borderId="2" xfId="0" applyFont="1" applyFill="1" applyBorder="1" applyAlignment="1">
      <alignment horizontal="left" vertical="center" indent="1"/>
    </xf>
    <xf numFmtId="0" fontId="2" fillId="0" borderId="7" xfId="0" applyFont="1" applyBorder="1" applyAlignment="1">
      <alignment vertical="center"/>
    </xf>
    <xf numFmtId="0" fontId="2" fillId="0" borderId="9" xfId="0" applyFont="1" applyBorder="1" applyAlignment="1">
      <alignment vertical="center"/>
    </xf>
    <xf numFmtId="0" fontId="2" fillId="0" borderId="2" xfId="0" applyFont="1" applyBorder="1" applyAlignment="1">
      <alignment vertical="center"/>
    </xf>
    <xf numFmtId="9" fontId="2" fillId="0" borderId="2" xfId="1" applyFont="1" applyFill="1" applyBorder="1" applyAlignment="1">
      <alignment horizontal="center" vertical="center"/>
    </xf>
    <xf numFmtId="1" fontId="2" fillId="0" borderId="2" xfId="0" applyNumberFormat="1" applyFont="1" applyFill="1" applyBorder="1" applyAlignment="1">
      <alignment horizontal="center" vertical="center"/>
    </xf>
    <xf numFmtId="176" fontId="2" fillId="0" borderId="2" xfId="0" applyNumberFormat="1" applyFont="1" applyFill="1" applyBorder="1">
      <alignment vertical="center"/>
    </xf>
    <xf numFmtId="9" fontId="2" fillId="0" borderId="2" xfId="1" applyFont="1" applyFill="1" applyBorder="1">
      <alignment vertical="center"/>
    </xf>
    <xf numFmtId="10" fontId="2" fillId="0" borderId="2" xfId="1" applyNumberFormat="1" applyFont="1" applyFill="1" applyBorder="1">
      <alignment vertical="center"/>
    </xf>
    <xf numFmtId="178" fontId="2" fillId="0" borderId="2" xfId="1" applyNumberFormat="1" applyFont="1" applyFill="1" applyBorder="1">
      <alignment vertical="center"/>
    </xf>
    <xf numFmtId="0" fontId="7" fillId="9" borderId="2" xfId="0" applyFont="1" applyFill="1" applyBorder="1" applyAlignment="1">
      <alignment horizontal="left" vertical="center"/>
    </xf>
    <xf numFmtId="176" fontId="7" fillId="4" borderId="2" xfId="0" applyNumberFormat="1" applyFont="1" applyFill="1" applyBorder="1">
      <alignment vertical="center"/>
    </xf>
    <xf numFmtId="0" fontId="7" fillId="9" borderId="2" xfId="0" applyFont="1" applyFill="1" applyBorder="1">
      <alignment vertical="center"/>
    </xf>
    <xf numFmtId="178" fontId="7" fillId="4" borderId="2" xfId="1" applyNumberFormat="1" applyFont="1" applyFill="1" applyBorder="1">
      <alignment vertical="center"/>
    </xf>
    <xf numFmtId="9" fontId="7" fillId="4" borderId="2" xfId="1" applyFont="1" applyFill="1" applyBorder="1">
      <alignment vertical="center"/>
    </xf>
    <xf numFmtId="9" fontId="7" fillId="4" borderId="2" xfId="1" applyNumberFormat="1" applyFont="1" applyFill="1" applyBorder="1" applyAlignment="1">
      <alignment horizontal="center" vertical="center"/>
    </xf>
    <xf numFmtId="0" fontId="8" fillId="0" borderId="0" xfId="0" applyFont="1">
      <alignment vertical="center"/>
    </xf>
    <xf numFmtId="179" fontId="2" fillId="7" borderId="2" xfId="0" applyNumberFormat="1" applyFont="1" applyFill="1" applyBorder="1">
      <alignment vertical="center"/>
    </xf>
    <xf numFmtId="176" fontId="0" fillId="0" borderId="0" xfId="0" applyNumberFormat="1">
      <alignment vertical="center"/>
    </xf>
    <xf numFmtId="0" fontId="9" fillId="10" borderId="12" xfId="0" applyFont="1" applyFill="1" applyBorder="1">
      <alignment vertical="center"/>
    </xf>
    <xf numFmtId="0" fontId="0" fillId="10" borderId="12" xfId="0" applyFill="1" applyBorder="1" applyAlignment="1">
      <alignment vertical="center" wrapText="1"/>
    </xf>
    <xf numFmtId="180" fontId="0" fillId="10" borderId="12" xfId="0" applyNumberFormat="1" applyFill="1" applyBorder="1" applyAlignment="1">
      <alignment vertical="center" wrapText="1"/>
    </xf>
    <xf numFmtId="0" fontId="0" fillId="0" borderId="12" xfId="0" applyBorder="1">
      <alignment vertical="center"/>
    </xf>
    <xf numFmtId="180" fontId="0" fillId="0" borderId="12" xfId="0" applyNumberFormat="1" applyBorder="1">
      <alignment vertical="center"/>
    </xf>
    <xf numFmtId="180" fontId="0" fillId="0" borderId="0" xfId="0" applyNumberFormat="1" applyFill="1" applyBorder="1">
      <alignment vertical="center"/>
    </xf>
    <xf numFmtId="180" fontId="0" fillId="0" borderId="0" xfId="0" applyNumberFormat="1">
      <alignment vertical="center"/>
    </xf>
    <xf numFmtId="0" fontId="2" fillId="9" borderId="7" xfId="0" applyFont="1" applyFill="1" applyBorder="1" applyAlignment="1">
      <alignment horizontal="center" vertical="center"/>
    </xf>
    <xf numFmtId="0" fontId="2" fillId="9" borderId="3" xfId="0" applyFont="1" applyFill="1" applyBorder="1" applyAlignment="1">
      <alignment horizontal="center" vertical="center"/>
    </xf>
    <xf numFmtId="0" fontId="2" fillId="9" borderId="4" xfId="0" applyFont="1" applyFill="1" applyBorder="1" applyAlignment="1">
      <alignment horizontal="center" vertical="center"/>
    </xf>
    <xf numFmtId="0" fontId="2" fillId="9" borderId="5" xfId="0" applyFont="1" applyFill="1" applyBorder="1" applyAlignment="1">
      <alignment horizontal="center" vertical="center"/>
    </xf>
    <xf numFmtId="0" fontId="2" fillId="9" borderId="2" xfId="0" applyFont="1" applyFill="1" applyBorder="1" applyAlignment="1">
      <alignment horizontal="center" vertical="center"/>
    </xf>
    <xf numFmtId="0" fontId="2" fillId="9" borderId="9" xfId="0" applyFont="1" applyFill="1" applyBorder="1" applyAlignment="1">
      <alignment horizontal="center" vertical="center"/>
    </xf>
    <xf numFmtId="0" fontId="2" fillId="9" borderId="8" xfId="0" applyFont="1" applyFill="1" applyBorder="1" applyAlignment="1">
      <alignment horizontal="center" vertical="center"/>
    </xf>
    <xf numFmtId="176" fontId="2" fillId="5" borderId="3" xfId="0" applyNumberFormat="1" applyFont="1" applyFill="1" applyBorder="1" applyAlignment="1">
      <alignment horizontal="center" vertical="center"/>
    </xf>
    <xf numFmtId="176" fontId="2" fillId="5" borderId="5" xfId="0" applyNumberFormat="1" applyFont="1" applyFill="1" applyBorder="1" applyAlignment="1">
      <alignment horizontal="center" vertical="center"/>
    </xf>
    <xf numFmtId="176" fontId="2" fillId="3" borderId="2" xfId="0" applyNumberFormat="1" applyFont="1" applyFill="1" applyBorder="1" applyAlignment="1">
      <alignment horizontal="center" vertical="center"/>
    </xf>
    <xf numFmtId="176" fontId="2" fillId="3" borderId="3" xfId="0" applyNumberFormat="1" applyFont="1" applyFill="1" applyBorder="1" applyAlignment="1">
      <alignment horizontal="center" vertical="center" wrapText="1"/>
    </xf>
    <xf numFmtId="176" fontId="2" fillId="3" borderId="5" xfId="0" applyNumberFormat="1" applyFont="1" applyFill="1" applyBorder="1" applyAlignment="1">
      <alignment horizontal="center" vertical="center" wrapText="1"/>
    </xf>
    <xf numFmtId="176" fontId="2" fillId="5" borderId="7" xfId="0" applyNumberFormat="1" applyFont="1" applyFill="1" applyBorder="1" applyAlignment="1">
      <alignment horizontal="center" vertical="center"/>
    </xf>
    <xf numFmtId="176" fontId="2" fillId="5" borderId="9" xfId="0" applyNumberFormat="1" applyFont="1" applyFill="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cellXfs>
  <cellStyles count="2">
    <cellStyle name="百分比" xfId="1" builtinId="5"/>
    <cellStyle name="常规" xfId="0" builtinId="0"/>
  </cellStyles>
  <dxfs count="0"/>
  <tableStyles count="0" defaultTableStyle="TableStyleMedium2" defaultPivotStyle="PivotStyleLight16"/>
  <colors>
    <mruColors>
      <color rgb="FFF8F9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90"/>
  <sheetViews>
    <sheetView showGridLines="0" tabSelected="1" workbookViewId="0">
      <selection activeCell="E8" sqref="E8"/>
    </sheetView>
  </sheetViews>
  <sheetFormatPr defaultRowHeight="13.5" x14ac:dyDescent="0.15"/>
  <cols>
    <col min="1" max="1" width="10.5" bestFit="1" customWidth="1"/>
    <col min="2" max="2" width="21" bestFit="1" customWidth="1"/>
    <col min="3" max="3" width="13.375" customWidth="1"/>
    <col min="4" max="4" width="12.625" customWidth="1"/>
    <col min="5" max="5" width="9.375" bestFit="1" customWidth="1"/>
    <col min="10" max="10" width="8.5" style="6" bestFit="1" customWidth="1"/>
    <col min="13" max="13" width="40.875" customWidth="1"/>
    <col min="14" max="14" width="68.25" customWidth="1"/>
    <col min="15" max="15" width="72.125" bestFit="1" customWidth="1"/>
  </cols>
  <sheetData>
    <row r="1" spans="2:12" ht="20.25" x14ac:dyDescent="0.15">
      <c r="F1" s="55" t="s">
        <v>148</v>
      </c>
    </row>
    <row r="2" spans="2:12" ht="14.25" x14ac:dyDescent="0.15">
      <c r="B2" s="1" t="s">
        <v>27</v>
      </c>
      <c r="C2" s="4">
        <v>430</v>
      </c>
      <c r="J2"/>
      <c r="K2" s="6"/>
    </row>
    <row r="3" spans="2:12" ht="13.5" customHeight="1" x14ac:dyDescent="0.15">
      <c r="B3" s="1" t="s">
        <v>41</v>
      </c>
      <c r="C3" s="4">
        <v>619200</v>
      </c>
      <c r="J3"/>
      <c r="K3" s="6"/>
    </row>
    <row r="4" spans="2:12" ht="13.5" customHeight="1" x14ac:dyDescent="0.15">
      <c r="J4"/>
      <c r="K4" s="6"/>
    </row>
    <row r="5" spans="2:12" ht="14.25" x14ac:dyDescent="0.15">
      <c r="B5" s="74" t="s">
        <v>53</v>
      </c>
      <c r="C5" s="74" t="s">
        <v>54</v>
      </c>
      <c r="D5" s="75" t="s">
        <v>72</v>
      </c>
      <c r="E5" s="74" t="s">
        <v>18</v>
      </c>
      <c r="F5" s="77" t="s">
        <v>21</v>
      </c>
      <c r="G5" s="78"/>
      <c r="H5" s="78"/>
      <c r="I5" s="78"/>
      <c r="J5" s="78"/>
      <c r="K5" s="78"/>
      <c r="L5" s="72" t="s">
        <v>26</v>
      </c>
    </row>
    <row r="6" spans="2:12" ht="14.25" x14ac:dyDescent="0.15">
      <c r="B6" s="74"/>
      <c r="C6" s="74"/>
      <c r="D6" s="76"/>
      <c r="E6" s="74"/>
      <c r="F6" s="1" t="s">
        <v>23</v>
      </c>
      <c r="G6" s="1" t="s">
        <v>19</v>
      </c>
      <c r="H6" s="1" t="s">
        <v>24</v>
      </c>
      <c r="I6" s="1" t="s">
        <v>25</v>
      </c>
      <c r="J6" s="1" t="s">
        <v>20</v>
      </c>
      <c r="K6" s="1" t="s">
        <v>22</v>
      </c>
      <c r="L6" s="73"/>
    </row>
    <row r="7" spans="2:12" ht="14.25" x14ac:dyDescent="0.15">
      <c r="B7" s="2" t="s">
        <v>29</v>
      </c>
      <c r="C7" s="2">
        <f>COUNTIF($D$9:$D$48,"&gt;15")</f>
        <v>3</v>
      </c>
      <c r="D7" s="2">
        <f>SUMIF($D$9:$D$48,"&gt;15",$D$9:$D$48)</f>
        <v>180</v>
      </c>
      <c r="E7" s="2">
        <f>SUMIF($D$9:$D$48,"&gt;15",$E$9:$E$48)</f>
        <v>54</v>
      </c>
      <c r="F7" s="8">
        <f t="array" ref="F7">SUM(($D$9:$D$48&gt;15)*($D$9:$D$48)*(F$9:F$48))/($D$7+$D$8)</f>
        <v>0</v>
      </c>
      <c r="G7" s="8">
        <f t="array" ref="G7">SUM(($D$9:$D$48&gt;15)*($D$9:$D$48)*(G$9:G$48))/($D$7+$D$8)</f>
        <v>0</v>
      </c>
      <c r="H7" s="8">
        <f t="array" ref="H7">SUM(($D$9:$D$48&gt;15)*($D$9:$D$48)*(H$9:H$48))/($D$7+$D$8)</f>
        <v>0</v>
      </c>
      <c r="I7" s="8">
        <f t="array" ref="I7">SUM(($D$9:$D$48&gt;15)*($D$9:$D$48)*(I$9:I$48))/($D$7+$D$8)</f>
        <v>0</v>
      </c>
      <c r="J7" s="8">
        <f t="array" ref="J7">SUM(($D$9:$D$48&gt;15)*($D$9:$D$48)*(J$9:J$48))/($D$7+$D$8)</f>
        <v>0.58064516129032262</v>
      </c>
      <c r="K7" s="22">
        <f>IF(SUM($F$7:$J$8)&lt;&gt;100%,"两行合计不等于100%",SUM(F7:J7))</f>
        <v>0.58064516129032262</v>
      </c>
      <c r="L7" s="3">
        <f>SUMIF($D$9:$D$48,"&gt;15",$L$9:$L$48)</f>
        <v>259200</v>
      </c>
    </row>
    <row r="8" spans="2:12" ht="14.25" x14ac:dyDescent="0.15">
      <c r="B8" s="2" t="s">
        <v>28</v>
      </c>
      <c r="C8" s="2">
        <f>COUNTIF($D$9:$D$48,"&lt;=15")</f>
        <v>13</v>
      </c>
      <c r="D8" s="2">
        <f>SUMIF($D$9:$D$48,"&lt;=15",$D$9:$D$48)</f>
        <v>130</v>
      </c>
      <c r="E8" s="2">
        <f>SUMIF($D$9:$D$48,"&lt;=15",$E$9:$E$48)</f>
        <v>13</v>
      </c>
      <c r="F8" s="8">
        <f t="array" ref="F8">SUM(($D$9:$D$48&lt;=15)*($D$9:$D$48)*(F$9:F$48))/($D$7+$D$8)</f>
        <v>2.903225806451613E-2</v>
      </c>
      <c r="G8" s="8">
        <f t="array" ref="G8">SUM(($D$9:$D$48&lt;=15)*($D$9:$D$48)*(G$9:G$48))/($D$7+$D$8)</f>
        <v>2.903225806451613E-2</v>
      </c>
      <c r="H8" s="8">
        <f t="array" ref="H8">SUM(($D$9:$D$48&lt;=15)*($D$9:$D$48)*(H$9:H$48))/($D$7+$D$8)</f>
        <v>3.870967741935484E-2</v>
      </c>
      <c r="I8" s="8">
        <f t="array" ref="I8">SUM(($D$9:$D$48&lt;=15)*($D$9:$D$48)*(I$9:I$48))/($D$7+$D$8)</f>
        <v>0.32258064516129031</v>
      </c>
      <c r="J8" s="8">
        <f t="array" ref="J8">SUM(($D$9:$D$48&lt;=15)*($D$9:$D$48)*(J$9:J$48))/($D$7+$D$8)</f>
        <v>0</v>
      </c>
      <c r="K8" s="22">
        <f>IF(SUM($F$7:$J$8)&lt;&gt;100%,"两行合计不等于100%",SUM(F8:J8))</f>
        <v>0.41935483870967738</v>
      </c>
      <c r="L8" s="3">
        <f>SUMIF($D$9:$D$48,"&lt;=15",$L$9:$L$48)</f>
        <v>187200</v>
      </c>
    </row>
    <row r="9" spans="2:12" ht="14.25" x14ac:dyDescent="0.15">
      <c r="B9" s="26">
        <v>201</v>
      </c>
      <c r="C9" s="26" t="s">
        <v>181</v>
      </c>
      <c r="D9" s="56">
        <v>60</v>
      </c>
      <c r="E9" s="56">
        <v>18</v>
      </c>
      <c r="F9" s="5"/>
      <c r="G9" s="5"/>
      <c r="H9" s="5"/>
      <c r="I9" s="5"/>
      <c r="J9" s="5">
        <v>1</v>
      </c>
      <c r="K9" s="5">
        <f t="shared" ref="K9:K48" si="0">SUM(F9:J9)</f>
        <v>1</v>
      </c>
      <c r="L9" s="2">
        <f t="shared" ref="L9:L48" si="1">$D9/$C$2*$C$3</f>
        <v>86400</v>
      </c>
    </row>
    <row r="10" spans="2:12" ht="14.25" x14ac:dyDescent="0.15">
      <c r="B10" s="26">
        <v>202</v>
      </c>
      <c r="C10" s="26" t="s">
        <v>152</v>
      </c>
      <c r="D10" s="56">
        <v>60</v>
      </c>
      <c r="E10" s="56">
        <v>18</v>
      </c>
      <c r="F10" s="5"/>
      <c r="G10" s="5"/>
      <c r="H10" s="5"/>
      <c r="I10" s="5"/>
      <c r="J10" s="5">
        <v>1</v>
      </c>
      <c r="K10" s="5">
        <f t="shared" si="0"/>
        <v>1</v>
      </c>
      <c r="L10" s="2">
        <f t="shared" si="1"/>
        <v>86400</v>
      </c>
    </row>
    <row r="11" spans="2:12" ht="14.25" x14ac:dyDescent="0.15">
      <c r="B11" s="26">
        <v>203</v>
      </c>
      <c r="C11" s="26" t="s">
        <v>153</v>
      </c>
      <c r="D11" s="56">
        <v>60</v>
      </c>
      <c r="E11" s="56">
        <v>18</v>
      </c>
      <c r="F11" s="5"/>
      <c r="G11" s="5"/>
      <c r="H11" s="5"/>
      <c r="I11" s="5"/>
      <c r="J11" s="5">
        <v>1</v>
      </c>
      <c r="K11" s="5">
        <f t="shared" si="0"/>
        <v>1</v>
      </c>
      <c r="L11" s="2">
        <f t="shared" si="1"/>
        <v>86400</v>
      </c>
    </row>
    <row r="12" spans="2:12" ht="14.25" x14ac:dyDescent="0.15">
      <c r="B12" s="26">
        <v>204</v>
      </c>
      <c r="C12" s="26" t="s">
        <v>154</v>
      </c>
      <c r="D12" s="56">
        <v>10</v>
      </c>
      <c r="E12" s="56">
        <v>1</v>
      </c>
      <c r="F12" s="5"/>
      <c r="G12" s="5"/>
      <c r="H12" s="5"/>
      <c r="I12" s="5">
        <v>1</v>
      </c>
      <c r="J12" s="5"/>
      <c r="K12" s="5">
        <f t="shared" si="0"/>
        <v>1</v>
      </c>
      <c r="L12" s="2">
        <f t="shared" si="1"/>
        <v>14400</v>
      </c>
    </row>
    <row r="13" spans="2:12" ht="14.25" x14ac:dyDescent="0.15">
      <c r="B13" s="26">
        <v>205</v>
      </c>
      <c r="C13" s="26" t="s">
        <v>149</v>
      </c>
      <c r="D13" s="56">
        <v>10</v>
      </c>
      <c r="E13" s="56">
        <v>1</v>
      </c>
      <c r="F13" s="5"/>
      <c r="G13" s="5"/>
      <c r="H13" s="5"/>
      <c r="I13" s="5">
        <v>1</v>
      </c>
      <c r="J13" s="5"/>
      <c r="K13" s="5">
        <f t="shared" si="0"/>
        <v>1</v>
      </c>
      <c r="L13" s="2">
        <f t="shared" si="1"/>
        <v>14400</v>
      </c>
    </row>
    <row r="14" spans="2:12" ht="14.25" x14ac:dyDescent="0.15">
      <c r="B14" s="26">
        <v>206</v>
      </c>
      <c r="C14" s="26" t="s">
        <v>150</v>
      </c>
      <c r="D14" s="56">
        <v>10</v>
      </c>
      <c r="E14" s="56">
        <v>1</v>
      </c>
      <c r="F14" s="5"/>
      <c r="G14" s="5"/>
      <c r="H14" s="5"/>
      <c r="I14" s="5">
        <v>1</v>
      </c>
      <c r="J14" s="5"/>
      <c r="K14" s="5">
        <f t="shared" si="0"/>
        <v>1</v>
      </c>
      <c r="L14" s="2">
        <f t="shared" si="1"/>
        <v>14400</v>
      </c>
    </row>
    <row r="15" spans="2:12" ht="14.25" x14ac:dyDescent="0.15">
      <c r="B15" s="26">
        <v>207</v>
      </c>
      <c r="C15" s="26" t="s">
        <v>151</v>
      </c>
      <c r="D15" s="56">
        <v>10</v>
      </c>
      <c r="E15" s="56">
        <v>1</v>
      </c>
      <c r="F15" s="5"/>
      <c r="G15" s="5"/>
      <c r="H15" s="5"/>
      <c r="I15" s="5">
        <v>1</v>
      </c>
      <c r="J15" s="5"/>
      <c r="K15" s="5">
        <f t="shared" si="0"/>
        <v>1</v>
      </c>
      <c r="L15" s="2">
        <f t="shared" si="1"/>
        <v>14400</v>
      </c>
    </row>
    <row r="16" spans="2:12" ht="14.25" x14ac:dyDescent="0.15">
      <c r="B16" s="26">
        <v>208</v>
      </c>
      <c r="C16" s="26" t="s">
        <v>155</v>
      </c>
      <c r="D16" s="56">
        <v>10</v>
      </c>
      <c r="E16" s="56">
        <v>1</v>
      </c>
      <c r="F16" s="5"/>
      <c r="G16" s="5"/>
      <c r="H16" s="5"/>
      <c r="I16" s="5">
        <v>1</v>
      </c>
      <c r="J16" s="5"/>
      <c r="K16" s="5">
        <f t="shared" si="0"/>
        <v>1</v>
      </c>
      <c r="L16" s="2">
        <f t="shared" si="1"/>
        <v>14400</v>
      </c>
    </row>
    <row r="17" spans="2:12" ht="14.25" x14ac:dyDescent="0.15">
      <c r="B17" s="26">
        <v>209</v>
      </c>
      <c r="C17" s="26" t="s">
        <v>156</v>
      </c>
      <c r="D17" s="56">
        <v>10</v>
      </c>
      <c r="E17" s="56">
        <v>1</v>
      </c>
      <c r="F17" s="5">
        <v>0.3</v>
      </c>
      <c r="G17" s="5">
        <v>0.3</v>
      </c>
      <c r="H17" s="5">
        <v>0.4</v>
      </c>
      <c r="I17" s="5"/>
      <c r="J17" s="5"/>
      <c r="K17" s="5">
        <f t="shared" si="0"/>
        <v>1</v>
      </c>
      <c r="L17" s="2">
        <f t="shared" si="1"/>
        <v>14400</v>
      </c>
    </row>
    <row r="18" spans="2:12" ht="14.25" x14ac:dyDescent="0.15">
      <c r="B18" s="26">
        <v>210</v>
      </c>
      <c r="C18" s="26" t="s">
        <v>157</v>
      </c>
      <c r="D18" s="56">
        <v>10</v>
      </c>
      <c r="E18" s="56">
        <v>1</v>
      </c>
      <c r="F18" s="5">
        <v>0.3</v>
      </c>
      <c r="G18" s="5">
        <v>0.3</v>
      </c>
      <c r="H18" s="5">
        <v>0.4</v>
      </c>
      <c r="I18" s="5"/>
      <c r="J18" s="5"/>
      <c r="K18" s="5">
        <f t="shared" si="0"/>
        <v>1</v>
      </c>
      <c r="L18" s="2">
        <f t="shared" si="1"/>
        <v>14400</v>
      </c>
    </row>
    <row r="19" spans="2:12" ht="14.25" x14ac:dyDescent="0.15">
      <c r="B19" s="26"/>
      <c r="C19" s="26"/>
      <c r="D19" s="56">
        <v>10</v>
      </c>
      <c r="E19" s="56">
        <v>1</v>
      </c>
      <c r="F19" s="5">
        <v>0.3</v>
      </c>
      <c r="G19" s="5">
        <v>0.3</v>
      </c>
      <c r="H19" s="5">
        <v>0.4</v>
      </c>
      <c r="I19" s="5"/>
      <c r="J19" s="5"/>
      <c r="K19" s="5">
        <f t="shared" si="0"/>
        <v>1</v>
      </c>
      <c r="L19" s="2">
        <f t="shared" si="1"/>
        <v>14400</v>
      </c>
    </row>
    <row r="20" spans="2:12" ht="14.25" x14ac:dyDescent="0.15">
      <c r="B20" s="4"/>
      <c r="C20" s="26"/>
      <c r="D20" s="56">
        <v>10</v>
      </c>
      <c r="E20" s="56">
        <v>1</v>
      </c>
      <c r="F20" s="5"/>
      <c r="G20" s="5"/>
      <c r="H20" s="5"/>
      <c r="I20" s="5">
        <v>1</v>
      </c>
      <c r="J20" s="5"/>
      <c r="K20" s="5">
        <f t="shared" si="0"/>
        <v>1</v>
      </c>
      <c r="L20" s="2">
        <f t="shared" si="1"/>
        <v>14400</v>
      </c>
    </row>
    <row r="21" spans="2:12" ht="14.25" x14ac:dyDescent="0.15">
      <c r="B21" s="4"/>
      <c r="C21" s="26"/>
      <c r="D21" s="56">
        <v>10</v>
      </c>
      <c r="E21" s="56">
        <v>1</v>
      </c>
      <c r="F21" s="5"/>
      <c r="G21" s="5"/>
      <c r="H21" s="5"/>
      <c r="I21" s="5">
        <v>1</v>
      </c>
      <c r="J21" s="5"/>
      <c r="K21" s="5">
        <f t="shared" si="0"/>
        <v>1</v>
      </c>
      <c r="L21" s="2">
        <f t="shared" si="1"/>
        <v>14400</v>
      </c>
    </row>
    <row r="22" spans="2:12" ht="14.25" x14ac:dyDescent="0.15">
      <c r="B22" s="4"/>
      <c r="C22" s="26"/>
      <c r="D22" s="56">
        <v>10</v>
      </c>
      <c r="E22" s="56">
        <v>1</v>
      </c>
      <c r="F22" s="5"/>
      <c r="G22" s="5"/>
      <c r="H22" s="5"/>
      <c r="I22" s="5">
        <v>1</v>
      </c>
      <c r="J22" s="5"/>
      <c r="K22" s="5">
        <f t="shared" si="0"/>
        <v>1</v>
      </c>
      <c r="L22" s="2">
        <f t="shared" si="1"/>
        <v>14400</v>
      </c>
    </row>
    <row r="23" spans="2:12" ht="14.25" x14ac:dyDescent="0.15">
      <c r="B23" s="4"/>
      <c r="C23" s="26"/>
      <c r="D23" s="56">
        <v>10</v>
      </c>
      <c r="E23" s="56">
        <v>1</v>
      </c>
      <c r="F23" s="5"/>
      <c r="G23" s="5"/>
      <c r="H23" s="5"/>
      <c r="I23" s="5">
        <v>1</v>
      </c>
      <c r="J23" s="5"/>
      <c r="K23" s="5">
        <f t="shared" si="0"/>
        <v>1</v>
      </c>
      <c r="L23" s="2">
        <f t="shared" si="1"/>
        <v>14400</v>
      </c>
    </row>
    <row r="24" spans="2:12" ht="14.25" x14ac:dyDescent="0.15">
      <c r="B24" s="4"/>
      <c r="C24" s="26"/>
      <c r="D24" s="56">
        <v>10</v>
      </c>
      <c r="E24" s="56">
        <v>1</v>
      </c>
      <c r="F24" s="5"/>
      <c r="G24" s="5"/>
      <c r="H24" s="5"/>
      <c r="I24" s="5">
        <v>1</v>
      </c>
      <c r="J24" s="5"/>
      <c r="K24" s="5">
        <f t="shared" si="0"/>
        <v>1</v>
      </c>
      <c r="L24" s="2">
        <f t="shared" si="1"/>
        <v>14400</v>
      </c>
    </row>
    <row r="25" spans="2:12" ht="14.25" x14ac:dyDescent="0.15">
      <c r="B25" s="4"/>
      <c r="C25" s="26"/>
      <c r="D25" s="56"/>
      <c r="E25" s="56"/>
      <c r="F25" s="5"/>
      <c r="G25" s="5"/>
      <c r="H25" s="5"/>
      <c r="I25" s="5"/>
      <c r="J25" s="5"/>
      <c r="K25" s="5">
        <f t="shared" si="0"/>
        <v>0</v>
      </c>
      <c r="L25" s="2">
        <f t="shared" si="1"/>
        <v>0</v>
      </c>
    </row>
    <row r="26" spans="2:12" ht="14.25" x14ac:dyDescent="0.15">
      <c r="B26" s="4"/>
      <c r="C26" s="26"/>
      <c r="D26" s="56"/>
      <c r="E26" s="56"/>
      <c r="F26" s="5"/>
      <c r="G26" s="5"/>
      <c r="H26" s="5"/>
      <c r="I26" s="5"/>
      <c r="J26" s="5"/>
      <c r="K26" s="5">
        <f t="shared" si="0"/>
        <v>0</v>
      </c>
      <c r="L26" s="2">
        <f t="shared" si="1"/>
        <v>0</v>
      </c>
    </row>
    <row r="27" spans="2:12" ht="14.25" x14ac:dyDescent="0.15">
      <c r="B27" s="4"/>
      <c r="C27" s="26"/>
      <c r="D27" s="4"/>
      <c r="E27" s="4"/>
      <c r="F27" s="5"/>
      <c r="G27" s="5"/>
      <c r="H27" s="5"/>
      <c r="I27" s="5"/>
      <c r="J27" s="5"/>
      <c r="K27" s="5">
        <f t="shared" si="0"/>
        <v>0</v>
      </c>
      <c r="L27" s="2">
        <f t="shared" si="1"/>
        <v>0</v>
      </c>
    </row>
    <row r="28" spans="2:12" ht="14.25" x14ac:dyDescent="0.15">
      <c r="B28" s="4"/>
      <c r="C28" s="26"/>
      <c r="D28" s="4"/>
      <c r="E28" s="4"/>
      <c r="F28" s="5"/>
      <c r="G28" s="5"/>
      <c r="H28" s="5"/>
      <c r="I28" s="5"/>
      <c r="J28" s="5"/>
      <c r="K28" s="5">
        <f t="shared" si="0"/>
        <v>0</v>
      </c>
      <c r="L28" s="2">
        <f t="shared" si="1"/>
        <v>0</v>
      </c>
    </row>
    <row r="29" spans="2:12" ht="14.25" x14ac:dyDescent="0.15">
      <c r="B29" s="4"/>
      <c r="C29" s="26"/>
      <c r="D29" s="4"/>
      <c r="E29" s="4"/>
      <c r="F29" s="5"/>
      <c r="G29" s="5"/>
      <c r="H29" s="5"/>
      <c r="I29" s="5"/>
      <c r="J29" s="5"/>
      <c r="K29" s="5">
        <f t="shared" si="0"/>
        <v>0</v>
      </c>
      <c r="L29" s="2">
        <f t="shared" si="1"/>
        <v>0</v>
      </c>
    </row>
    <row r="30" spans="2:12" ht="14.25" x14ac:dyDescent="0.15">
      <c r="B30" s="4"/>
      <c r="C30" s="26"/>
      <c r="D30" s="4"/>
      <c r="E30" s="4"/>
      <c r="F30" s="5"/>
      <c r="G30" s="5"/>
      <c r="H30" s="5"/>
      <c r="I30" s="5"/>
      <c r="J30" s="5"/>
      <c r="K30" s="5">
        <f t="shared" si="0"/>
        <v>0</v>
      </c>
      <c r="L30" s="2">
        <f t="shared" si="1"/>
        <v>0</v>
      </c>
    </row>
    <row r="31" spans="2:12" ht="14.25" x14ac:dyDescent="0.15">
      <c r="B31" s="4"/>
      <c r="C31" s="26"/>
      <c r="D31" s="4"/>
      <c r="E31" s="4"/>
      <c r="F31" s="5"/>
      <c r="G31" s="5"/>
      <c r="H31" s="5"/>
      <c r="I31" s="5"/>
      <c r="J31" s="5"/>
      <c r="K31" s="5">
        <f t="shared" si="0"/>
        <v>0</v>
      </c>
      <c r="L31" s="2">
        <f t="shared" si="1"/>
        <v>0</v>
      </c>
    </row>
    <row r="32" spans="2:12" ht="14.25" x14ac:dyDescent="0.15">
      <c r="B32" s="4"/>
      <c r="C32" s="26"/>
      <c r="D32" s="4"/>
      <c r="E32" s="4"/>
      <c r="F32" s="5"/>
      <c r="G32" s="5"/>
      <c r="H32" s="5"/>
      <c r="I32" s="5"/>
      <c r="J32" s="5"/>
      <c r="K32" s="5">
        <f t="shared" si="0"/>
        <v>0</v>
      </c>
      <c r="L32" s="2">
        <f t="shared" si="1"/>
        <v>0</v>
      </c>
    </row>
    <row r="33" spans="2:12" ht="14.25" x14ac:dyDescent="0.15">
      <c r="B33" s="4"/>
      <c r="C33" s="26"/>
      <c r="D33" s="4"/>
      <c r="E33" s="4"/>
      <c r="F33" s="5"/>
      <c r="G33" s="5"/>
      <c r="H33" s="5"/>
      <c r="I33" s="5"/>
      <c r="J33" s="5"/>
      <c r="K33" s="5">
        <f t="shared" si="0"/>
        <v>0</v>
      </c>
      <c r="L33" s="2">
        <f t="shared" si="1"/>
        <v>0</v>
      </c>
    </row>
    <row r="34" spans="2:12" ht="14.25" x14ac:dyDescent="0.15">
      <c r="B34" s="4"/>
      <c r="C34" s="26"/>
      <c r="D34" s="4"/>
      <c r="E34" s="4"/>
      <c r="F34" s="5"/>
      <c r="G34" s="5"/>
      <c r="H34" s="5"/>
      <c r="I34" s="5"/>
      <c r="J34" s="5"/>
      <c r="K34" s="5">
        <f t="shared" si="0"/>
        <v>0</v>
      </c>
      <c r="L34" s="2">
        <f t="shared" si="1"/>
        <v>0</v>
      </c>
    </row>
    <row r="35" spans="2:12" ht="14.25" x14ac:dyDescent="0.15">
      <c r="B35" s="4"/>
      <c r="C35" s="26"/>
      <c r="D35" s="4"/>
      <c r="E35" s="4"/>
      <c r="F35" s="5"/>
      <c r="G35" s="5"/>
      <c r="H35" s="5"/>
      <c r="I35" s="5"/>
      <c r="J35" s="5"/>
      <c r="K35" s="5">
        <f t="shared" si="0"/>
        <v>0</v>
      </c>
      <c r="L35" s="2">
        <f t="shared" si="1"/>
        <v>0</v>
      </c>
    </row>
    <row r="36" spans="2:12" ht="14.25" x14ac:dyDescent="0.15">
      <c r="B36" s="4"/>
      <c r="C36" s="26"/>
      <c r="D36" s="4"/>
      <c r="E36" s="4"/>
      <c r="F36" s="5"/>
      <c r="G36" s="5"/>
      <c r="H36" s="5"/>
      <c r="I36" s="5"/>
      <c r="J36" s="5"/>
      <c r="K36" s="5">
        <f t="shared" si="0"/>
        <v>0</v>
      </c>
      <c r="L36" s="2">
        <f t="shared" si="1"/>
        <v>0</v>
      </c>
    </row>
    <row r="37" spans="2:12" ht="14.25" x14ac:dyDescent="0.15">
      <c r="B37" s="4"/>
      <c r="C37" s="26"/>
      <c r="D37" s="4"/>
      <c r="E37" s="4"/>
      <c r="F37" s="5"/>
      <c r="G37" s="5"/>
      <c r="H37" s="5"/>
      <c r="I37" s="5"/>
      <c r="J37" s="5"/>
      <c r="K37" s="5">
        <f t="shared" si="0"/>
        <v>0</v>
      </c>
      <c r="L37" s="2">
        <f t="shared" si="1"/>
        <v>0</v>
      </c>
    </row>
    <row r="38" spans="2:12" ht="14.25" x14ac:dyDescent="0.15">
      <c r="B38" s="4"/>
      <c r="C38" s="26"/>
      <c r="D38" s="4"/>
      <c r="E38" s="4"/>
      <c r="F38" s="5"/>
      <c r="G38" s="5"/>
      <c r="H38" s="5"/>
      <c r="I38" s="5"/>
      <c r="J38" s="5"/>
      <c r="K38" s="5">
        <f t="shared" si="0"/>
        <v>0</v>
      </c>
      <c r="L38" s="2">
        <f t="shared" si="1"/>
        <v>0</v>
      </c>
    </row>
    <row r="39" spans="2:12" ht="14.25" x14ac:dyDescent="0.15">
      <c r="B39" s="4"/>
      <c r="C39" s="26"/>
      <c r="D39" s="4"/>
      <c r="E39" s="4"/>
      <c r="F39" s="5"/>
      <c r="G39" s="5"/>
      <c r="H39" s="5"/>
      <c r="I39" s="5"/>
      <c r="J39" s="5"/>
      <c r="K39" s="5">
        <f t="shared" si="0"/>
        <v>0</v>
      </c>
      <c r="L39" s="2">
        <f t="shared" si="1"/>
        <v>0</v>
      </c>
    </row>
    <row r="40" spans="2:12" ht="14.25" x14ac:dyDescent="0.15">
      <c r="B40" s="4"/>
      <c r="C40" s="26"/>
      <c r="D40" s="4"/>
      <c r="E40" s="4"/>
      <c r="F40" s="5"/>
      <c r="G40" s="5"/>
      <c r="H40" s="5"/>
      <c r="I40" s="5"/>
      <c r="J40" s="5"/>
      <c r="K40" s="5">
        <f t="shared" si="0"/>
        <v>0</v>
      </c>
      <c r="L40" s="2">
        <f t="shared" si="1"/>
        <v>0</v>
      </c>
    </row>
    <row r="41" spans="2:12" ht="14.25" x14ac:dyDescent="0.15">
      <c r="B41" s="4"/>
      <c r="C41" s="26"/>
      <c r="D41" s="4"/>
      <c r="E41" s="4"/>
      <c r="F41" s="5"/>
      <c r="G41" s="5"/>
      <c r="H41" s="5"/>
      <c r="I41" s="5"/>
      <c r="J41" s="5"/>
      <c r="K41" s="5">
        <f t="shared" si="0"/>
        <v>0</v>
      </c>
      <c r="L41" s="2">
        <f t="shared" si="1"/>
        <v>0</v>
      </c>
    </row>
    <row r="42" spans="2:12" ht="14.25" x14ac:dyDescent="0.15">
      <c r="B42" s="4"/>
      <c r="C42" s="26"/>
      <c r="D42" s="4"/>
      <c r="E42" s="4"/>
      <c r="F42" s="5"/>
      <c r="G42" s="5"/>
      <c r="H42" s="5"/>
      <c r="I42" s="5"/>
      <c r="J42" s="5"/>
      <c r="K42" s="5">
        <f t="shared" si="0"/>
        <v>0</v>
      </c>
      <c r="L42" s="2">
        <f t="shared" si="1"/>
        <v>0</v>
      </c>
    </row>
    <row r="43" spans="2:12" ht="14.25" x14ac:dyDescent="0.15">
      <c r="B43" s="4"/>
      <c r="C43" s="26"/>
      <c r="D43" s="4"/>
      <c r="E43" s="4"/>
      <c r="F43" s="5"/>
      <c r="G43" s="5"/>
      <c r="H43" s="5"/>
      <c r="I43" s="5"/>
      <c r="J43" s="5"/>
      <c r="K43" s="5">
        <f t="shared" si="0"/>
        <v>0</v>
      </c>
      <c r="L43" s="2">
        <f t="shared" si="1"/>
        <v>0</v>
      </c>
    </row>
    <row r="44" spans="2:12" ht="14.25" x14ac:dyDescent="0.15">
      <c r="B44" s="4"/>
      <c r="C44" s="26"/>
      <c r="D44" s="4"/>
      <c r="E44" s="4"/>
      <c r="F44" s="5"/>
      <c r="G44" s="5"/>
      <c r="H44" s="5"/>
      <c r="I44" s="5"/>
      <c r="J44" s="5"/>
      <c r="K44" s="5">
        <f t="shared" si="0"/>
        <v>0</v>
      </c>
      <c r="L44" s="2">
        <f t="shared" si="1"/>
        <v>0</v>
      </c>
    </row>
    <row r="45" spans="2:12" ht="14.25" x14ac:dyDescent="0.15">
      <c r="B45" s="4"/>
      <c r="C45" s="26"/>
      <c r="D45" s="4"/>
      <c r="E45" s="4"/>
      <c r="F45" s="5"/>
      <c r="G45" s="5"/>
      <c r="H45" s="5"/>
      <c r="I45" s="5"/>
      <c r="J45" s="5"/>
      <c r="K45" s="5">
        <f t="shared" si="0"/>
        <v>0</v>
      </c>
      <c r="L45" s="2">
        <f t="shared" si="1"/>
        <v>0</v>
      </c>
    </row>
    <row r="46" spans="2:12" ht="14.25" x14ac:dyDescent="0.15">
      <c r="B46" s="4"/>
      <c r="C46" s="26"/>
      <c r="D46" s="4"/>
      <c r="E46" s="4"/>
      <c r="F46" s="5"/>
      <c r="G46" s="5"/>
      <c r="H46" s="5"/>
      <c r="I46" s="5"/>
      <c r="J46" s="5"/>
      <c r="K46" s="5">
        <f t="shared" si="0"/>
        <v>0</v>
      </c>
      <c r="L46" s="2">
        <f t="shared" si="1"/>
        <v>0</v>
      </c>
    </row>
    <row r="47" spans="2:12" ht="14.25" x14ac:dyDescent="0.15">
      <c r="B47" s="4"/>
      <c r="C47" s="26"/>
      <c r="D47" s="4"/>
      <c r="E47" s="4"/>
      <c r="F47" s="5"/>
      <c r="G47" s="5"/>
      <c r="H47" s="5"/>
      <c r="I47" s="5"/>
      <c r="J47" s="5"/>
      <c r="K47" s="5">
        <f t="shared" si="0"/>
        <v>0</v>
      </c>
      <c r="L47" s="2">
        <f t="shared" si="1"/>
        <v>0</v>
      </c>
    </row>
    <row r="48" spans="2:12" ht="14.25" x14ac:dyDescent="0.15">
      <c r="B48" s="4"/>
      <c r="C48" s="26"/>
      <c r="D48" s="4"/>
      <c r="E48" s="4"/>
      <c r="F48" s="5"/>
      <c r="G48" s="5"/>
      <c r="H48" s="5"/>
      <c r="I48" s="5"/>
      <c r="J48" s="5"/>
      <c r="K48" s="5">
        <f t="shared" si="0"/>
        <v>0</v>
      </c>
      <c r="L48" s="2">
        <f t="shared" si="1"/>
        <v>0</v>
      </c>
    </row>
    <row r="52" spans="1:15" ht="14.25" x14ac:dyDescent="0.15">
      <c r="A52" s="66" t="s">
        <v>10</v>
      </c>
      <c r="B52" s="66" t="s">
        <v>9</v>
      </c>
      <c r="C52" s="65" t="s">
        <v>5</v>
      </c>
      <c r="D52" s="70"/>
      <c r="E52" s="71"/>
      <c r="F52" s="65" t="s">
        <v>6</v>
      </c>
      <c r="G52" s="70"/>
      <c r="H52" s="71"/>
      <c r="I52" s="65" t="s">
        <v>7</v>
      </c>
      <c r="J52" s="70"/>
      <c r="K52" s="71"/>
      <c r="L52" s="65" t="s">
        <v>66</v>
      </c>
      <c r="M52" s="70"/>
      <c r="N52" s="65" t="s">
        <v>65</v>
      </c>
      <c r="O52" s="65" t="s">
        <v>67</v>
      </c>
    </row>
    <row r="53" spans="1:15" ht="14.25" x14ac:dyDescent="0.15">
      <c r="A53" s="68"/>
      <c r="B53" s="68"/>
      <c r="C53" s="30" t="s">
        <v>17</v>
      </c>
      <c r="D53" s="30" t="s">
        <v>35</v>
      </c>
      <c r="E53" s="30" t="s">
        <v>34</v>
      </c>
      <c r="F53" s="30" t="s">
        <v>17</v>
      </c>
      <c r="G53" s="30" t="s">
        <v>35</v>
      </c>
      <c r="H53" s="30" t="s">
        <v>34</v>
      </c>
      <c r="I53" s="30" t="s">
        <v>17</v>
      </c>
      <c r="J53" s="30" t="s">
        <v>35</v>
      </c>
      <c r="K53" s="30" t="s">
        <v>34</v>
      </c>
      <c r="L53" s="65"/>
      <c r="M53" s="70"/>
      <c r="N53" s="65"/>
      <c r="O53" s="65"/>
    </row>
    <row r="54" spans="1:15" ht="14.25" x14ac:dyDescent="0.15">
      <c r="A54" s="69" t="s">
        <v>8</v>
      </c>
      <c r="B54" s="31" t="s">
        <v>11</v>
      </c>
      <c r="C54" s="43"/>
      <c r="D54" s="33">
        <f>SUMPRODUCT($F$7:$J$8,指标库!$E$3:$I$4)</f>
        <v>0.55967741935483861</v>
      </c>
      <c r="E54" s="33">
        <f>SUMPRODUCT($F$7:$J$8,指标库!$E$5:$I$6)</f>
        <v>0.60967741935483877</v>
      </c>
      <c r="F54" s="43"/>
      <c r="G54" s="33">
        <f>SUMPRODUCT($F$7:$J$8,指标库!$K$3:$O$4)</f>
        <v>0.60967741935483877</v>
      </c>
      <c r="H54" s="33">
        <f>SUMPRODUCT($F$7:$J$8,指标库!$K$5:$O$6)</f>
        <v>0.6596774193548387</v>
      </c>
      <c r="I54" s="43"/>
      <c r="J54" s="33">
        <f>SUMPRODUCT($F$7:$J$8,指标库!$Q$3:$U$4)</f>
        <v>0.6596774193548387</v>
      </c>
      <c r="K54" s="33">
        <f>SUMPRODUCT($F$7:$J$8,指标库!$Q$5:$U$6)</f>
        <v>0.70967741935483875</v>
      </c>
      <c r="L54" s="40" t="s">
        <v>63</v>
      </c>
      <c r="M54" s="41"/>
      <c r="N54" s="40" t="s">
        <v>68</v>
      </c>
      <c r="O54" s="42" t="s">
        <v>89</v>
      </c>
    </row>
    <row r="55" spans="1:15" ht="14.25" x14ac:dyDescent="0.15">
      <c r="A55" s="69"/>
      <c r="B55" s="31" t="s">
        <v>12</v>
      </c>
      <c r="C55" s="43"/>
      <c r="D55" s="33">
        <f>SUMPRODUCT($F$7:$J$8,指标库!$E$7:$I$8)</f>
        <v>0.12064516129032257</v>
      </c>
      <c r="E55" s="33">
        <f>SUMPRODUCT($F$7:$J$8,指标库!$E$9:$I$10)</f>
        <v>0.14645161290322581</v>
      </c>
      <c r="F55" s="43"/>
      <c r="G55" s="33">
        <f>SUMPRODUCT($F$7:$J$8,指标库!$K$7:$O$8)</f>
        <v>0.1506451612903226</v>
      </c>
      <c r="H55" s="33">
        <f>SUMPRODUCT($F$7:$J$8,指标库!$K$9:$O$10)</f>
        <v>0.17645161290322581</v>
      </c>
      <c r="I55" s="43"/>
      <c r="J55" s="33">
        <f>SUMPRODUCT($F$7:$J$8,指标库!$Q$7:$U$8)</f>
        <v>0.18064516129032257</v>
      </c>
      <c r="K55" s="33">
        <f>SUMPRODUCT($F$7:$J$8,指标库!$Q$9:$U$10)</f>
        <v>0.20645161290322581</v>
      </c>
      <c r="L55" s="40" t="s">
        <v>64</v>
      </c>
      <c r="M55" s="41"/>
      <c r="N55" s="40" t="s">
        <v>69</v>
      </c>
      <c r="O55" s="42" t="s">
        <v>88</v>
      </c>
    </row>
    <row r="56" spans="1:15" ht="14.25" x14ac:dyDescent="0.15">
      <c r="A56" s="69"/>
      <c r="B56" s="51" t="s">
        <v>13</v>
      </c>
      <c r="C56" s="54">
        <f t="shared" ref="C56" si="2">C54*C55</f>
        <v>0</v>
      </c>
      <c r="D56" s="54">
        <f>D54*D55</f>
        <v>6.7522372528616009E-2</v>
      </c>
      <c r="E56" s="54">
        <f t="shared" ref="E56:K56" si="3">E54*E55</f>
        <v>8.9288241415192524E-2</v>
      </c>
      <c r="F56" s="54">
        <f t="shared" si="3"/>
        <v>0</v>
      </c>
      <c r="G56" s="54">
        <f t="shared" si="3"/>
        <v>9.1844953173777333E-2</v>
      </c>
      <c r="H56" s="54">
        <f t="shared" si="3"/>
        <v>0.11640114464099896</v>
      </c>
      <c r="I56" s="54">
        <f t="shared" si="3"/>
        <v>0</v>
      </c>
      <c r="J56" s="54">
        <f t="shared" si="3"/>
        <v>0.1191675338189386</v>
      </c>
      <c r="K56" s="54">
        <f t="shared" si="3"/>
        <v>0.14651404786680541</v>
      </c>
      <c r="L56" s="40" t="s">
        <v>70</v>
      </c>
      <c r="M56" s="41"/>
      <c r="N56" s="40" t="s">
        <v>71</v>
      </c>
      <c r="O56" s="42" t="s">
        <v>87</v>
      </c>
    </row>
    <row r="57" spans="1:15" ht="14.25" x14ac:dyDescent="0.15">
      <c r="A57" s="66" t="s">
        <v>37</v>
      </c>
      <c r="B57" s="32" t="s">
        <v>73</v>
      </c>
      <c r="C57" s="44"/>
      <c r="D57" s="34">
        <f>INT(SUMPRODUCT($F$7:$J$8,指标库!$E$23:$I$24)*(盈利模型!$C$2-盈利模型!$D$7-盈利模型!$D$8))</f>
        <v>8</v>
      </c>
      <c r="E57" s="34">
        <f>INT(SUMPRODUCT($F$7:$J$8,指标库!$E$25:$I$26)*(盈利模型!$C$2-盈利模型!$D$7-盈利模型!$D$8))</f>
        <v>10</v>
      </c>
      <c r="F57" s="44"/>
      <c r="G57" s="34">
        <f>INT(SUMPRODUCT($F$7:$J$8,指标库!$K$23:$O$24)*(盈利模型!$C$2-盈利模型!$D$7-盈利模型!$D$8))</f>
        <v>9</v>
      </c>
      <c r="H57" s="34">
        <f>INT(SUMPRODUCT($F$7:$J$8,指标库!$K$25:$O$26)*(盈利模型!$C$2-盈利模型!$D$7-盈利模型!$D$8))</f>
        <v>11</v>
      </c>
      <c r="I57" s="44"/>
      <c r="J57" s="34">
        <f>INT(SUMPRODUCT($F$7:$J$8,指标库!$Q$23:$U$24)*(盈利模型!$C$2-盈利模型!$D$7-盈利模型!$D$8))</f>
        <v>10</v>
      </c>
      <c r="K57" s="34">
        <f>INT(SUMPRODUCT($F$7:$J$8,指标库!$Q$25:$U$26)*(盈利模型!$C$2-盈利模型!$D$7-盈利模型!$D$8))</f>
        <v>13</v>
      </c>
      <c r="L57" s="40" t="s">
        <v>74</v>
      </c>
      <c r="M57" s="41"/>
      <c r="N57" s="40" t="s">
        <v>75</v>
      </c>
      <c r="O57" s="42" t="s">
        <v>86</v>
      </c>
    </row>
    <row r="58" spans="1:15" ht="14.25" x14ac:dyDescent="0.15">
      <c r="A58" s="67"/>
      <c r="B58" s="31" t="s">
        <v>80</v>
      </c>
      <c r="C58" s="45"/>
      <c r="D58" s="35">
        <f>SUMPRODUCT($F$7:$J$8,指标库!$E$39:$I$40)*盈利模型!$C$2</f>
        <v>230119.35483870973</v>
      </c>
      <c r="E58" s="35">
        <f>SUMPRODUCT($F$7:$J$8,指标库!$E$41:$I$42)*盈利模型!$C$2</f>
        <v>374238.70967741945</v>
      </c>
      <c r="F58" s="45"/>
      <c r="G58" s="35">
        <f>SUMPRODUCT($F$7:$J$8,指标库!$K$39:$O$40)*盈利模型!$C$2</f>
        <v>0</v>
      </c>
      <c r="H58" s="35">
        <f>SUMPRODUCT($F$7:$J$8,指标库!$K$41:$O$42)*盈利模型!$C$2</f>
        <v>0</v>
      </c>
      <c r="I58" s="45"/>
      <c r="J58" s="35">
        <f>SUMPRODUCT($F$7:$J$8,指标库!$Q$39:$U$40)*盈利模型!$C$2</f>
        <v>0</v>
      </c>
      <c r="K58" s="35">
        <f>SUMPRODUCT($F$7:$J$8,指标库!$Q$41:$U$42)*盈利模型!$C$2</f>
        <v>0</v>
      </c>
      <c r="L58" s="40" t="s">
        <v>81</v>
      </c>
      <c r="M58" s="41"/>
      <c r="N58" s="40" t="s">
        <v>82</v>
      </c>
      <c r="O58" s="42" t="s">
        <v>85</v>
      </c>
    </row>
    <row r="59" spans="1:15" ht="14.25" x14ac:dyDescent="0.15">
      <c r="A59" s="68"/>
      <c r="B59" s="31" t="s">
        <v>44</v>
      </c>
      <c r="C59" s="45"/>
      <c r="D59" s="35">
        <f>SUMPRODUCT($F$7:$J$7,指标库!$E$43:$I$43)*盈利模型!$C$7+SUMPRODUCT(盈利模型!$F$8:$J$8,指标库!$E$44:$I$44)*盈利模型!$C$8+SUMPRODUCT($F$7:$J$8,指标库!$E$47:$I$48)*(盈利模型!$C$2-盈利模型!$D$7-盈利模型!$D$8)</f>
        <v>430000</v>
      </c>
      <c r="E59" s="35">
        <f>SUMPRODUCT($F$7:$J$7,指标库!$E$45:$I$45)*盈利模型!$C$7+SUMPRODUCT(盈利模型!$F$8:$J$8,指标库!$E$46:$I$46)*盈利模型!$C$8+SUMPRODUCT($F$7:$J$8,指标库!$E$49:$I$50)*(盈利模型!$C$2-盈利模型!$D$7-盈利模型!$D$8)</f>
        <v>741935.48387096776</v>
      </c>
      <c r="F59" s="45"/>
      <c r="G59" s="35">
        <f>SUMPRODUCT($F$7:$J$7,指标库!$K$43:$O$43)*盈利模型!$C$7+SUMPRODUCT(盈利模型!$F$8:$J$8,指标库!$K$44:$O$44)*盈利模型!$C$8+SUMPRODUCT($F$7:$J$8,指标库!$K$47:$O$48)*(盈利模型!$C$2-盈利模型!$D$7-盈利模型!$D$8)</f>
        <v>89629.032258064515</v>
      </c>
      <c r="H59" s="35">
        <f>SUMPRODUCT($F$7:$J$7,指标库!$K$45:$O$45)*盈利模型!$C$7+SUMPRODUCT(盈利模型!$F$8:$J$8,指标库!$K$46:$O$46)*盈利模型!$C$8+SUMPRODUCT($F$7:$J$8,指标库!$K$49:$O$50)*(盈利模型!$C$2-盈利模型!$D$7-盈利模型!$D$8)</f>
        <v>155838.70967741936</v>
      </c>
      <c r="I59" s="45"/>
      <c r="J59" s="35">
        <f>SUMPRODUCT($F$7:$J$7,指标库!$Q$43:$U$43)*盈利模型!$C$7+SUMPRODUCT(盈利模型!$F$8:$J$8,指标库!$Q$44:$U$44)*盈利模型!$C$8+SUMPRODUCT($F$7:$J$8,指标库!$Q$47:$U$48)*(盈利模型!$C$2-盈利模型!$D$7-盈利模型!$D$8)</f>
        <v>89629.032258064515</v>
      </c>
      <c r="K59" s="35">
        <f>SUMPRODUCT($F$7:$J$7,指标库!$Q$45:$U$45)*盈利模型!$C$7+SUMPRODUCT(盈利模型!$F$8:$J$8,指标库!$Q$46:$U$46)*盈利模型!$C$8+SUMPRODUCT($F$7:$J$8,指标库!$Q$49:$U$50)*(盈利模型!$C$2-盈利模型!$D$7-盈利模型!$D$8)</f>
        <v>155838.70967741936</v>
      </c>
      <c r="L59" s="40" t="s">
        <v>83</v>
      </c>
      <c r="M59" s="41"/>
      <c r="N59" s="40" t="s">
        <v>84</v>
      </c>
      <c r="O59" s="42" t="s">
        <v>90</v>
      </c>
    </row>
    <row r="60" spans="1:15" ht="14.25" x14ac:dyDescent="0.15">
      <c r="A60" s="66" t="s">
        <v>77</v>
      </c>
      <c r="B60" s="39" t="s">
        <v>23</v>
      </c>
      <c r="C60" s="45"/>
      <c r="D60" s="35">
        <f>$F$7*指标库!$E$11*指标库!$E$19*$E$7+$F$8*指标库!$E$12*指标库!$E$20*$E$8</f>
        <v>1.5398709677419355</v>
      </c>
      <c r="E60" s="35">
        <f>$F$7*指标库!$E$13*指标库!$E$21*$E$7+$F$8*指标库!$E$14*指标库!$E$22*$E$8</f>
        <v>2.71741935483871</v>
      </c>
      <c r="F60" s="45"/>
      <c r="G60" s="35">
        <f>$F$7*指标库!$K$11*指标库!$K$19*$E$7+$F$8*指标库!$K$12*指标库!$K$20*$E$8</f>
        <v>2.2418709677419359</v>
      </c>
      <c r="H60" s="35">
        <f>$F$7*指标库!$K$13*指标库!$K$21*$E$7+$F$8*指标库!$K$14*指标库!$K$22*$E$8</f>
        <v>3.7289032258064516</v>
      </c>
      <c r="I60" s="45"/>
      <c r="J60" s="35">
        <f>$F$7*指标库!$Q$11*指标库!$Q$19*$E$7+$F$8*指标库!$Q$12*指标库!$Q$20*$E$8</f>
        <v>3.0118064516129044</v>
      </c>
      <c r="K60" s="35">
        <f>$F$7*指标库!$Q$13*指标库!$Q$21*$E$7+$F$8*指标库!$Q$14*指标库!$Q$22*$E$8</f>
        <v>4.830967741935484</v>
      </c>
      <c r="L60" s="40"/>
      <c r="M60" s="41"/>
      <c r="N60" s="40"/>
      <c r="O60" s="42"/>
    </row>
    <row r="61" spans="1:15" ht="14.25" x14ac:dyDescent="0.15">
      <c r="A61" s="67"/>
      <c r="B61" s="39" t="s">
        <v>19</v>
      </c>
      <c r="C61" s="45"/>
      <c r="D61" s="35">
        <f>$G$7*指标库!$F$11*指标库!$F$19*$E$7+$G$8*指标库!$F$12*指标库!$F$20*$E$8</f>
        <v>1.5398709677419355</v>
      </c>
      <c r="E61" s="35">
        <f>$G$7*指标库!$F$13*指标库!$F$21*$E$7+$G$8*指标库!$F$14*指标库!$F$22*$E$8</f>
        <v>2.71741935483871</v>
      </c>
      <c r="F61" s="45"/>
      <c r="G61" s="35">
        <f>$G$7*指标库!$L$11*指标库!$L$19*$E$7+$G$8*指标库!$L$12*指标库!$L$20*$E$8</f>
        <v>2.2418709677419359</v>
      </c>
      <c r="H61" s="35">
        <f>$G$7*指标库!$L$13*指标库!$L$21*$E$7+$G$8*指标库!$L$14*指标库!$L$22*$E$8</f>
        <v>3.7289032258064516</v>
      </c>
      <c r="I61" s="45"/>
      <c r="J61" s="35">
        <f>$G$7*指标库!$R$11*指标库!$R$19*$E$7+$G$8*指标库!$R$12*指标库!$R$20*$E$8</f>
        <v>3.0118064516129044</v>
      </c>
      <c r="K61" s="35">
        <f>$G$7*指标库!$R$13*指标库!$R$21*$E$7+$G$8*指标库!$R$14*指标库!$R$22*$E$8</f>
        <v>4.830967741935484</v>
      </c>
      <c r="L61" s="40"/>
      <c r="M61" s="41"/>
      <c r="N61" s="40"/>
      <c r="O61" s="42"/>
    </row>
    <row r="62" spans="1:15" ht="14.25" x14ac:dyDescent="0.15">
      <c r="A62" s="67"/>
      <c r="B62" s="39" t="s">
        <v>24</v>
      </c>
      <c r="C62" s="45"/>
      <c r="D62" s="35">
        <f>$H$7*指标库!$G$11*指标库!$G$19*$E$7+$H$8*指标库!$G$12*指标库!$G$20*$E$8</f>
        <v>2.0531612903225809</v>
      </c>
      <c r="E62" s="35">
        <f>$H$7*指标库!$G$13*指标库!$G$21*$E$7+$H$8*指标库!$G$14*指标库!$G$22*$E$8</f>
        <v>3.6232258064516132</v>
      </c>
      <c r="F62" s="45"/>
      <c r="G62" s="35">
        <f>$H$7*指标库!$M$11*指标库!$M$19*$E$7+$H$8*指标库!$M$12*指标库!$M$20*$E$8</f>
        <v>2.9891612903225808</v>
      </c>
      <c r="H62" s="35">
        <f>$H$7*指标库!$M$13*指标库!$M$21*$E$7+$H$8*指标库!$M$14*指标库!$M$22*$E$8</f>
        <v>4.9718709677419355</v>
      </c>
      <c r="I62" s="45"/>
      <c r="J62" s="35">
        <f>$H$7*指标库!$S$11*指标库!$S$19*$E$7+$H$8*指标库!$S$12*指标库!$S$20*$E$8</f>
        <v>4.0157419354838728</v>
      </c>
      <c r="K62" s="35">
        <f>$H$7*指标库!$S$13*指标库!$S$21*$E$7+$H$8*指标库!$S$14*指标库!$S$22*$E$8</f>
        <v>6.4412903225806462</v>
      </c>
      <c r="L62" s="40"/>
      <c r="M62" s="41"/>
      <c r="N62" s="40"/>
      <c r="O62" s="42"/>
    </row>
    <row r="63" spans="1:15" ht="14.25" x14ac:dyDescent="0.15">
      <c r="A63" s="67"/>
      <c r="B63" s="39" t="s">
        <v>25</v>
      </c>
      <c r="C63" s="45"/>
      <c r="D63" s="35">
        <f>$I$7*指标库!$H$11*指标库!$H$19*$E$7+$I$8*指标库!$H$12*指标库!$H$20*$E$8</f>
        <v>17.109677419354842</v>
      </c>
      <c r="E63" s="35">
        <f>$I$7*指标库!$H$13*指标库!$H$21*$E$7+$I$8*指标库!$H$14*指标库!$H$22*$E$8</f>
        <v>30.193548387096776</v>
      </c>
      <c r="F63" s="45"/>
      <c r="G63" s="35">
        <f>$I$7*指标库!$N$11*指标库!$N$19*$E$7+$I$8*指标库!$N$12*指标库!$N$20*$E$8</f>
        <v>24.909677419354839</v>
      </c>
      <c r="H63" s="35">
        <f>$I$7*指标库!$N$13*指标库!$N$21*$E$7+$I$8*指标库!$N$14*指标库!$N$22*$E$8</f>
        <v>41.432258064516134</v>
      </c>
      <c r="I63" s="45"/>
      <c r="J63" s="35">
        <f>$I$7*指标库!$T$11*指标库!$T$19*$E$7+$I$8*指标库!$T$12*指标库!$T$20*$E$8</f>
        <v>33.464516129032262</v>
      </c>
      <c r="K63" s="35">
        <f>$I$7*指标库!$T$13*指标库!$T$21*$E$7+$I$8*指标库!$T$14*指标库!$T$22*$E$8</f>
        <v>53.677419354838705</v>
      </c>
      <c r="L63" s="40"/>
      <c r="M63" s="41"/>
      <c r="N63" s="40"/>
      <c r="O63" s="42"/>
    </row>
    <row r="64" spans="1:15" ht="14.25" x14ac:dyDescent="0.15">
      <c r="A64" s="67"/>
      <c r="B64" s="39" t="s">
        <v>20</v>
      </c>
      <c r="C64" s="45"/>
      <c r="D64" s="35">
        <f>$J$7*指标库!$I$11*指标库!$I$19*$E$7+$J$8*指标库!$I$12*指标库!$I$20*$E$8</f>
        <v>98.767741935483869</v>
      </c>
      <c r="E64" s="35">
        <f>$J$7*指标库!$I$13*指标库!$I$21*$E$7+$J$8*指标库!$I$14*指标库!$I$22*$E$8</f>
        <v>180.60387096774193</v>
      </c>
      <c r="F64" s="45"/>
      <c r="G64" s="35">
        <f>$J$7*指标库!$O$11*指标库!$O$19*$E$7+$J$8*指标库!$O$12*指标库!$O$20*$E$8</f>
        <v>135.45290322580644</v>
      </c>
      <c r="H64" s="35">
        <f>$J$7*指标库!$O$13*指标库!$O$21*$E$7+$J$8*指标库!$O$14*指标库!$O$22*$E$8</f>
        <v>237.04258064516128</v>
      </c>
      <c r="I64" s="45"/>
      <c r="J64" s="35">
        <f>$J$7*指标库!$U$11*指标库!$U$19*$E$7+$J$8*指标库!$U$12*指标库!$U$20*$E$8</f>
        <v>177.78193548387097</v>
      </c>
      <c r="K64" s="35">
        <f>$J$7*指标库!$U$13*指标库!$U$21*$E$7+$J$8*指标库!$U$14*指标库!$U$22*$E$8</f>
        <v>301.00645161290328</v>
      </c>
      <c r="L64" s="40"/>
      <c r="M64" s="41"/>
      <c r="N64" s="40"/>
      <c r="O64" s="42"/>
    </row>
    <row r="65" spans="1:15" ht="14.25" x14ac:dyDescent="0.15">
      <c r="A65" s="68"/>
      <c r="B65" s="49" t="s">
        <v>76</v>
      </c>
      <c r="C65" s="50">
        <f>SUM(C60:C64)</f>
        <v>0</v>
      </c>
      <c r="D65" s="50">
        <f>SUM(D60:D64)</f>
        <v>121.01032258064517</v>
      </c>
      <c r="E65" s="50">
        <f>SUM(E60:E64)</f>
        <v>219.85548387096773</v>
      </c>
      <c r="F65" s="50">
        <f>SUM(F60:F64)</f>
        <v>0</v>
      </c>
      <c r="G65" s="50">
        <f t="shared" ref="G65:H65" si="4">SUM(G60:G64)</f>
        <v>167.83548387096772</v>
      </c>
      <c r="H65" s="50">
        <f t="shared" si="4"/>
        <v>290.90451612903223</v>
      </c>
      <c r="I65" s="50">
        <f>SUM(I60:I64)</f>
        <v>0</v>
      </c>
      <c r="J65" s="50">
        <f t="shared" ref="J65:K65" si="5">SUM(J60:J64)</f>
        <v>221.28580645161293</v>
      </c>
      <c r="K65" s="50">
        <f t="shared" si="5"/>
        <v>370.78709677419363</v>
      </c>
      <c r="L65" s="40" t="s">
        <v>91</v>
      </c>
      <c r="M65" s="41"/>
      <c r="N65" s="40" t="s">
        <v>93</v>
      </c>
      <c r="O65" s="42" t="s">
        <v>92</v>
      </c>
    </row>
    <row r="66" spans="1:15" ht="14.25" x14ac:dyDescent="0.15">
      <c r="A66" s="66" t="s">
        <v>78</v>
      </c>
      <c r="B66" s="39" t="s">
        <v>23</v>
      </c>
      <c r="C66" s="45"/>
      <c r="D66" s="35">
        <f>$F$7/$K$7*指标库!$E$15*$D$7/$C$2*$C$3+$F$8/$K$8*指标库!$E$16*$D$8/$C$2*$C$3</f>
        <v>51840</v>
      </c>
      <c r="E66" s="35">
        <f>$F$7/$K$7*指标库!$E$17*$D$7/$C$2*$C$3+$F$8/$K$8*指标库!$E$18*$D$8/$C$2*$C$3</f>
        <v>77760.000000000015</v>
      </c>
      <c r="F66" s="45"/>
      <c r="G66" s="35">
        <f>$F$7/$K$7*指标库!$K$15*$D$7/$C$2*$C$3+$F$8/$K$8*指标库!$K$16*$D$8/$C$2*$C$3</f>
        <v>77760.000000000015</v>
      </c>
      <c r="H66" s="35">
        <f>$F$7/$K$7*指标库!$K$17*$D$7/$C$2*$C$3+$F$8/$K$8*指标库!$K$18*$D$8/$C$2*$C$3</f>
        <v>103680</v>
      </c>
      <c r="I66" s="45"/>
      <c r="J66" s="35">
        <f>$F$7/$K$7*指标库!$Q$15*$D$7/$C$2*$C$3+$F$8/$K$8*指标库!$Q$16*$D$8/$C$2*$C$3</f>
        <v>103680</v>
      </c>
      <c r="K66" s="35">
        <f>$F$7/$K$7*指标库!$Q$17*$D$7/$C$2*$C$3+$F$8/$K$8*指标库!$Q$18*$D$8/$C$2*$C$3</f>
        <v>129600</v>
      </c>
      <c r="L66" s="40"/>
      <c r="M66" s="41"/>
      <c r="N66" s="40"/>
      <c r="O66" s="42"/>
    </row>
    <row r="67" spans="1:15" ht="14.25" x14ac:dyDescent="0.15">
      <c r="A67" s="67"/>
      <c r="B67" s="39" t="s">
        <v>19</v>
      </c>
      <c r="C67" s="45"/>
      <c r="D67" s="35">
        <f>$G$7/$K$7*指标库!$F$15*$D$7/$C$2*$C$3+$G$8/$K$8*指标库!$F$16*$D$8/$C$2*$C$3</f>
        <v>51840</v>
      </c>
      <c r="E67" s="35">
        <f>$G$7/$K$7*指标库!$F$17*$D$7/$C$2*$C$3+$G$8/$K$8*指标库!$F$18*$D$8/$C$2*$C$3</f>
        <v>77760.000000000015</v>
      </c>
      <c r="F67" s="45"/>
      <c r="G67" s="35">
        <f>$G$7/$K$7*指标库!$L$15*$D$7/$C$2*$C$3+$G$8/$K$8*指标库!$L$16*$D$8/$C$2*$C$3</f>
        <v>77760.000000000015</v>
      </c>
      <c r="H67" s="35">
        <f>$G$7/$K$7*指标库!$L$17*$D$7/$C$2*$C$3+$G$8/$K$8*指标库!$L$18*$D$8/$C$2*$C$3</f>
        <v>103680</v>
      </c>
      <c r="I67" s="45"/>
      <c r="J67" s="35">
        <f>$G$7/$K$7*指标库!$R$15*$D$7/$C$2*$C$3+$G$8/$K$8*指标库!$R$16*$D$8/$C$2*$C$3</f>
        <v>103680</v>
      </c>
      <c r="K67" s="35">
        <f>$G$7/$K$7*指标库!$R$17*$D$7/$C$2*$C$3+$G$8/$K$8*指标库!$R$18*$D$8/$C$2*$C$3</f>
        <v>129600</v>
      </c>
      <c r="L67" s="40"/>
      <c r="M67" s="41"/>
      <c r="N67" s="40"/>
      <c r="O67" s="42"/>
    </row>
    <row r="68" spans="1:15" ht="14.25" x14ac:dyDescent="0.15">
      <c r="A68" s="67"/>
      <c r="B68" s="39" t="s">
        <v>24</v>
      </c>
      <c r="C68" s="45"/>
      <c r="D68" s="35">
        <f>$H$7/$K$7*指标库!$G$15*$D$7/$C$2*$C$3+$H$8/$K$8*指标库!$G$16*$D$8/$C$2*$C$3</f>
        <v>69120.000000000015</v>
      </c>
      <c r="E68" s="35">
        <f>$H$7/$K$7*指标库!$G$17*$D$7/$C$2*$C$3+$H$8/$K$8*指标库!$G$18*$D$8/$C$2*$C$3</f>
        <v>103680.00000000001</v>
      </c>
      <c r="F68" s="45"/>
      <c r="G68" s="35">
        <f>$H$7/$K$7*指标库!$M$15*$D$7/$C$2*$C$3+$H$8/$K$8*指标库!$M$16*$D$8/$C$2*$C$3</f>
        <v>103680.00000000001</v>
      </c>
      <c r="H68" s="35">
        <f>$H$7/$K$7*指标库!$M$17*$D$7/$C$2*$C$3+$H$8/$K$8*指标库!$M$18*$D$8/$C$2*$C$3</f>
        <v>138240.00000000003</v>
      </c>
      <c r="I68" s="45"/>
      <c r="J68" s="35">
        <f>$H$7/$K$7*指标库!$S$15*$D$7/$C$2*$C$3+$H$8/$K$8*指标库!$S$16*$D$8/$C$2*$C$3</f>
        <v>138240.00000000003</v>
      </c>
      <c r="K68" s="35">
        <f>$H$7/$K$7*指标库!$S$17*$D$7/$C$2*$C$3+$H$8/$K$8*指标库!$S$18*$D$8/$C$2*$C$3</f>
        <v>172800.00000000003</v>
      </c>
      <c r="L68" s="40"/>
      <c r="M68" s="41"/>
      <c r="N68" s="40"/>
      <c r="O68" s="42"/>
    </row>
    <row r="69" spans="1:15" ht="14.25" x14ac:dyDescent="0.15">
      <c r="A69" s="67"/>
      <c r="B69" s="39" t="s">
        <v>25</v>
      </c>
      <c r="C69" s="45"/>
      <c r="D69" s="35">
        <f>$I$7/$K$7*指标库!$H$15*$D$7/$C$2*$C$3+$I$8/$K$8*指标库!$H$16*$D$8/$C$2*$C$3</f>
        <v>576000</v>
      </c>
      <c r="E69" s="35">
        <f>$I$7/$K$7*指标库!$H$17*$D$7/$C$2*$C$3+$I$8/$K$8*指标库!$H$18*$D$8/$C$2*$C$3</f>
        <v>864000.00000000012</v>
      </c>
      <c r="F69" s="45"/>
      <c r="G69" s="35">
        <f>$I$7/$K$7*指标库!$N$15*$D$7/$C$2*$C$3+$I$8/$K$8*指标库!$N$16*$D$8/$C$2*$C$3</f>
        <v>864000.00000000012</v>
      </c>
      <c r="H69" s="35">
        <f>$I$7/$K$7*指标库!$N$17*$D$7/$C$2*$C$3+$I$8/$K$8*指标库!$N$18*$D$8/$C$2*$C$3</f>
        <v>1152000</v>
      </c>
      <c r="I69" s="45"/>
      <c r="J69" s="35">
        <f>$I$7/$K$7*指标库!$T$15*$D$7/$C$2*$C$3+$I$8/$K$8*指标库!$T$16*$D$8/$C$2*$C$3</f>
        <v>1152000</v>
      </c>
      <c r="K69" s="35">
        <f>$I$7/$K$7*指标库!$T$17*$D$7/$C$2*$C$3+$I$8/$K$8*指标库!$T$18*$D$8/$C$2*$C$3</f>
        <v>1440000</v>
      </c>
      <c r="L69" s="40"/>
      <c r="M69" s="41"/>
      <c r="N69" s="40"/>
      <c r="O69" s="42"/>
    </row>
    <row r="70" spans="1:15" ht="14.25" x14ac:dyDescent="0.15">
      <c r="A70" s="67"/>
      <c r="B70" s="39" t="s">
        <v>20</v>
      </c>
      <c r="C70" s="45">
        <v>1200000</v>
      </c>
      <c r="D70" s="35">
        <f>$J$7/$K$7*指标库!$I$15*$D$7/$C$2*$C$3+$J$8/$K$8*指标库!$I$16*$D$8/$C$2*$C$3</f>
        <v>1036800</v>
      </c>
      <c r="E70" s="35">
        <f>$J$7/$K$7*指标库!$I$17*$D$7/$C$2*$C$3+$J$8/$K$8*指标库!$I$18*$D$8/$C$2*$C$3</f>
        <v>1555200</v>
      </c>
      <c r="F70" s="45"/>
      <c r="G70" s="35">
        <f>$J$7/$K$7*指标库!$O$15*$D$7/$C$2*$C$3+$J$8/$K$8*指标库!$O$16*$D$8/$C$2*$C$3</f>
        <v>1555200</v>
      </c>
      <c r="H70" s="35">
        <f>$J$7/$K$7*指标库!$O$17*$D$7/$C$2*$C$3+$J$8/$K$8*指标库!$O$18*$D$8/$C$2*$C$3</f>
        <v>2073600</v>
      </c>
      <c r="I70" s="45"/>
      <c r="J70" s="35">
        <f>$J$7/$K$7*指标库!$U$15*$D$7/$C$2*$C$3+$J$8/$K$8*指标库!$U$16*$D$8/$C$2*$C$3</f>
        <v>2073600</v>
      </c>
      <c r="K70" s="35">
        <f>$J$7/$K$7*指标库!$U$17*$D$7/$C$2*$C$3+$J$8/$K$8*指标库!$U$18*$D$8/$C$2*$C$3</f>
        <v>2592000</v>
      </c>
      <c r="L70" s="40"/>
      <c r="M70" s="41"/>
      <c r="N70" s="40"/>
      <c r="O70" s="42"/>
    </row>
    <row r="71" spans="1:15" ht="14.25" x14ac:dyDescent="0.15">
      <c r="A71" s="68"/>
      <c r="B71" s="49" t="s">
        <v>79</v>
      </c>
      <c r="C71" s="50">
        <f>SUM(C66:C70)</f>
        <v>1200000</v>
      </c>
      <c r="D71" s="50">
        <f>SUMPRODUCT($F$7:$J$7,指标库!$E$15:$I$15)/$K$7*$D$7/$C$2*$C$3+SUMPRODUCT($F$8:$J$8,指标库!$E$16:$I$16)/$K$8*$D$8/$C$2*$C$3</f>
        <v>1785600</v>
      </c>
      <c r="E71" s="50">
        <f>SUMPRODUCT($F$7:$J$7,指标库!$E$17:$I$17)/$K$7*$D$7/$C$2*$C$3+SUMPRODUCT($F$8:$J$8,指标库!$E$18:$I$18)/$K$8*$D$8/$C$2*$C$3</f>
        <v>2678400</v>
      </c>
      <c r="F71" s="50">
        <f>SUM(F66:F70)</f>
        <v>0</v>
      </c>
      <c r="G71" s="50">
        <f>SUMPRODUCT($F$7:$J$7,指标库!$K$15:$O$15)/$K$7*$D$7/$C$2*$C$3+SUMPRODUCT($F$8:$J$8,指标库!$K$16:$O$16)/$K$8*$D$8/$C$2*$C$3</f>
        <v>2678400</v>
      </c>
      <c r="H71" s="50">
        <f>SUMPRODUCT($F$7:$J$7,指标库!$K$17:$O$17)/$K$7*$D$7/$C$2*$C$3+SUMPRODUCT($F$8:$J$8,指标库!$K$18:$O$18)/$K$8*$D$8/$C$2*$C$3</f>
        <v>3571200</v>
      </c>
      <c r="I71" s="50">
        <f>SUM(I66:I70)</f>
        <v>0</v>
      </c>
      <c r="J71" s="50">
        <f>SUMPRODUCT($F$7:$J$7,指标库!$Q$15:$U$15)/$K$7*$D$7/$C$2*$C$3+SUMPRODUCT($F$8:$J$8,指标库!$Q$16:$U$16)/$K$8*$D$8/$C$2*$C$3</f>
        <v>3571200</v>
      </c>
      <c r="K71" s="50">
        <f>SUMPRODUCT($F$7:$J$7,指标库!$Q$17:$U$17)/$K$7*$D$7/$C$2*$C$3+SUMPRODUCT($F$8:$J$8,指标库!$Q$18:$U$18)/$K$8*$D$8/$C$2*$C$3</f>
        <v>4464000</v>
      </c>
      <c r="L71" s="40" t="s">
        <v>94</v>
      </c>
      <c r="M71" s="41"/>
      <c r="N71" s="40" t="s">
        <v>96</v>
      </c>
      <c r="O71" s="42" t="s">
        <v>95</v>
      </c>
    </row>
    <row r="72" spans="1:15" ht="14.25" x14ac:dyDescent="0.15">
      <c r="A72" s="66" t="s">
        <v>51</v>
      </c>
      <c r="B72" s="39" t="s">
        <v>16</v>
      </c>
      <c r="C72" s="45">
        <v>621780</v>
      </c>
      <c r="D72" s="35">
        <f>SUMPRODUCT($F$7:$J$8,1+(指标库!$E$27:$I$28))*$C$3+SUMPRODUCT($F$7:$J$8,指标库!$E$31:$I$32)*$C$2*12</f>
        <v>621780</v>
      </c>
      <c r="E72" s="35">
        <f>SUMPRODUCT($F$7:$J$8,1+(指标库!$E$29:$I$30))*$C$3+SUMPRODUCT($F$7:$J$8,指标库!$E$33:$I$34)*$C$2*12</f>
        <v>635171.03225806449</v>
      </c>
      <c r="F72" s="45"/>
      <c r="G72" s="35">
        <f>SUMPRODUCT($F$7:$J$8,1+(指标库!$K$27:$O$28),1+(指标库!$E$27:$I$28))*$C$3+SUMPRODUCT($F$7:$J$8,指标库!$K$31:$O$32)*$C$2*12</f>
        <v>621780</v>
      </c>
      <c r="H72" s="35">
        <f>SUMPRODUCT($F$7:$J$8,1+(指标库!$K$29:$O$30),1+(指标库!$E$29:$I$30))*$C$3+SUMPRODUCT($F$7:$J$8,指标库!$K$33:$O$34)*$C$2*12</f>
        <v>666131.0322580646</v>
      </c>
      <c r="I72" s="45"/>
      <c r="J72" s="35">
        <f>SUMPRODUCT($F$7:$J$8,1+(指标库!$Q$27:$U$28),1+(指标库!$K$27:$O$28),1+(指标库!$E$27:$I$28))*$C$3+SUMPRODUCT($F$7:$J$8,指标库!$Q$31:$U$32)*$C$2*12</f>
        <v>621780</v>
      </c>
      <c r="K72" s="35">
        <f>SUMPRODUCT($F$7:$J$8,1+(指标库!$Q$29:$U$30),1+(指标库!$K$29:$O$30),1+(指标库!$E$29:$I$30))*$C$3+SUMPRODUCT($F$7:$J$8,指标库!$Q$33:$U$34)*$C$2*12</f>
        <v>698639.03225806449</v>
      </c>
      <c r="L72" s="40" t="s">
        <v>98</v>
      </c>
      <c r="M72" s="41"/>
      <c r="N72" s="40" t="s">
        <v>117</v>
      </c>
      <c r="O72" s="42" t="s">
        <v>97</v>
      </c>
    </row>
    <row r="73" spans="1:15" ht="14.25" x14ac:dyDescent="0.15">
      <c r="A73" s="67"/>
      <c r="B73" s="39" t="s">
        <v>3</v>
      </c>
      <c r="C73" s="45">
        <v>120000</v>
      </c>
      <c r="D73" s="35">
        <f>D57*SUMPRODUCT($F$7:$J$8,指标库!$E$35:$I$36)</f>
        <v>240000</v>
      </c>
      <c r="E73" s="35">
        <f>E57*SUMPRODUCT($F$7:$J$8,指标库!$E$37:$I$38)</f>
        <v>600000</v>
      </c>
      <c r="F73" s="45"/>
      <c r="G73" s="35">
        <f>G57*SUMPRODUCT($F$7:$J$8,指标库!$K$35:$O$36)</f>
        <v>288900.00000000012</v>
      </c>
      <c r="H73" s="35">
        <f>H57*SUMPRODUCT($F$7:$J$8,指标库!$K$37:$O$38)</f>
        <v>706200.00000000023</v>
      </c>
      <c r="I73" s="45"/>
      <c r="J73" s="35">
        <f>J57*SUMPRODUCT($F$7:$J$8,指标库!$Q$35:$U$36)</f>
        <v>343470.00000000006</v>
      </c>
      <c r="K73" s="35">
        <f>K57*SUMPRODUCT($F$7:$J$8,指标库!$Q$37:$U$38)</f>
        <v>893022.00000000023</v>
      </c>
      <c r="L73" s="40" t="s">
        <v>99</v>
      </c>
      <c r="M73" s="41"/>
      <c r="N73" s="40" t="s">
        <v>118</v>
      </c>
      <c r="O73" s="42" t="s">
        <v>100</v>
      </c>
    </row>
    <row r="74" spans="1:15" ht="14.25" x14ac:dyDescent="0.15">
      <c r="A74" s="67"/>
      <c r="B74" s="39" t="s">
        <v>45</v>
      </c>
      <c r="C74" s="45">
        <v>43884.571428571428</v>
      </c>
      <c r="D74" s="35">
        <f>$D$58/5</f>
        <v>46023.870967741947</v>
      </c>
      <c r="E74" s="35">
        <f>$E$58/5</f>
        <v>74847.741935483893</v>
      </c>
      <c r="F74" s="45"/>
      <c r="G74" s="35">
        <f>$D$58/5</f>
        <v>46023.870967741947</v>
      </c>
      <c r="H74" s="35">
        <f>$E$58/5</f>
        <v>74847.741935483893</v>
      </c>
      <c r="I74" s="45"/>
      <c r="J74" s="35">
        <f>$D$58/5</f>
        <v>46023.870967741947</v>
      </c>
      <c r="K74" s="35">
        <f>$E$58/5</f>
        <v>74847.741935483893</v>
      </c>
      <c r="L74" s="40" t="s">
        <v>101</v>
      </c>
      <c r="M74" s="41"/>
      <c r="N74" s="40" t="s">
        <v>119</v>
      </c>
      <c r="O74" s="42" t="s">
        <v>85</v>
      </c>
    </row>
    <row r="75" spans="1:15" ht="14.25" x14ac:dyDescent="0.15">
      <c r="A75" s="67"/>
      <c r="B75" s="39" t="s">
        <v>48</v>
      </c>
      <c r="C75" s="45">
        <v>55142.857142857145</v>
      </c>
      <c r="D75" s="35">
        <f>D59/5</f>
        <v>86000</v>
      </c>
      <c r="E75" s="35">
        <f>E59/5</f>
        <v>148387.09677419355</v>
      </c>
      <c r="F75" s="45"/>
      <c r="G75" s="35">
        <f>(D59+G59)/5</f>
        <v>103925.80645161289</v>
      </c>
      <c r="H75" s="35">
        <f>(E59+H59)/5</f>
        <v>179554.83870967742</v>
      </c>
      <c r="I75" s="45"/>
      <c r="J75" s="35">
        <f>(D59+G59+J59)/5</f>
        <v>121851.61290322579</v>
      </c>
      <c r="K75" s="35">
        <f>(E59+H59+K59)/5</f>
        <v>210722.5806451613</v>
      </c>
      <c r="L75" s="40" t="s">
        <v>102</v>
      </c>
      <c r="M75" s="41"/>
      <c r="N75" s="40" t="s">
        <v>120</v>
      </c>
      <c r="O75" s="42" t="s">
        <v>90</v>
      </c>
    </row>
    <row r="76" spans="1:15" ht="14.25" x14ac:dyDescent="0.15">
      <c r="A76" s="67"/>
      <c r="B76" s="39" t="s">
        <v>136</v>
      </c>
      <c r="C76" s="45">
        <v>162714.28571428571</v>
      </c>
      <c r="D76" s="35">
        <f>SUMPRODUCT($F$7:$J$8,指标库!$E$51:$I$52)*(盈利模型!$C$2-盈利模型!$E$7-盈利模型!$E$8)</f>
        <v>166277.41935483873</v>
      </c>
      <c r="E76" s="35">
        <f>SUMPRODUCT($F$7:$J$8,指标库!$E$53:$I$54)*(盈利模型!$C$2-盈利模型!$E$7-盈利模型!$E$8)</f>
        <v>259954.83870967742</v>
      </c>
      <c r="F76" s="45"/>
      <c r="G76" s="35">
        <f>SUMPRODUCT($F$7:$J$8,指标库!$K$51:$O$52)*(盈利模型!$C$2-盈利模型!$E$7-盈利模型!$E$8)</f>
        <v>184427.41935483873</v>
      </c>
      <c r="H76" s="35">
        <f>SUMPRODUCT($F$7:$J$8,指标库!$K$53:$O$54)*(盈利模型!$C$2-盈利模型!$E$7-盈利模型!$E$8)</f>
        <v>278104.83870967739</v>
      </c>
      <c r="I76" s="45"/>
      <c r="J76" s="35">
        <f>SUMPRODUCT($F$7:$J$8,指标库!$Q$51:$U$52)*(盈利模型!$C$2-盈利模型!$E$7-盈利模型!$E$8)</f>
        <v>202577.41935483873</v>
      </c>
      <c r="K76" s="35">
        <f>SUMPRODUCT($F$7:$J$8,指标库!$Q$53:$U$54)*(盈利模型!$C$2-盈利模型!$E$7-盈利模型!$E$8)</f>
        <v>296254.83870967745</v>
      </c>
      <c r="L76" s="40" t="s">
        <v>132</v>
      </c>
      <c r="M76" s="41"/>
      <c r="N76" s="40" t="s">
        <v>143</v>
      </c>
      <c r="O76" s="42" t="s">
        <v>130</v>
      </c>
    </row>
    <row r="77" spans="1:15" ht="14.25" x14ac:dyDescent="0.15">
      <c r="A77" s="68"/>
      <c r="B77" s="51" t="s">
        <v>50</v>
      </c>
      <c r="C77" s="50">
        <f t="shared" ref="C77" si="6">SUM(C72:C76)</f>
        <v>1003521.7142857143</v>
      </c>
      <c r="D77" s="50">
        <f>SUM(D72:D76)</f>
        <v>1160081.2903225806</v>
      </c>
      <c r="E77" s="50">
        <f t="shared" ref="E77:K77" si="7">SUM(E72:E76)</f>
        <v>1718360.7096774192</v>
      </c>
      <c r="F77" s="50">
        <f t="shared" ref="F77" si="8">SUM(F72:F76)</f>
        <v>0</v>
      </c>
      <c r="G77" s="50">
        <f t="shared" si="7"/>
        <v>1245057.0967741937</v>
      </c>
      <c r="H77" s="50">
        <f t="shared" si="7"/>
        <v>1904838.4516129035</v>
      </c>
      <c r="I77" s="50">
        <f t="shared" ref="I77" si="9">SUM(I72:I76)</f>
        <v>0</v>
      </c>
      <c r="J77" s="50">
        <f t="shared" si="7"/>
        <v>1335702.9032258065</v>
      </c>
      <c r="K77" s="50">
        <f t="shared" si="7"/>
        <v>2173486.1935483874</v>
      </c>
      <c r="L77" s="40" t="s">
        <v>103</v>
      </c>
      <c r="M77" s="41"/>
      <c r="N77" s="40" t="s">
        <v>104</v>
      </c>
      <c r="O77" s="42" t="s">
        <v>105</v>
      </c>
    </row>
    <row r="78" spans="1:15" ht="14.25" x14ac:dyDescent="0.15">
      <c r="A78" s="69" t="s">
        <v>52</v>
      </c>
      <c r="B78" s="39" t="s">
        <v>107</v>
      </c>
      <c r="C78" s="36">
        <f>SUMPRODUCT($F$7:$J$8,指标库!$E$55:$I$56)</f>
        <v>0.19096774193548388</v>
      </c>
      <c r="D78" s="36">
        <f>SUMPRODUCT($F$7:$J$8,指标库!$E$55:$I$56)</f>
        <v>0.19096774193548388</v>
      </c>
      <c r="E78" s="36">
        <f>SUMPRODUCT($F$7:$J$8,指标库!$E$57:$I$58)</f>
        <v>0.2409677419354839</v>
      </c>
      <c r="F78" s="46"/>
      <c r="G78" s="36">
        <f>SUMPRODUCT($F$7:$J$8,指标库!$K$55:$O$56)</f>
        <v>0.18096774193548387</v>
      </c>
      <c r="H78" s="36">
        <f>SUMPRODUCT($F$7:$J$8,指标库!$K$57:$O$58)</f>
        <v>0.23096774193548392</v>
      </c>
      <c r="I78" s="46"/>
      <c r="J78" s="36">
        <f>SUMPRODUCT($F$7:$J$8,指标库!$Q$55:$U$56)</f>
        <v>0.17096774193548386</v>
      </c>
      <c r="K78" s="36">
        <f>SUMPRODUCT($F$7:$J$8,指标库!$Q$57:$U$58)</f>
        <v>0.22096774193548391</v>
      </c>
      <c r="L78" s="40" t="s">
        <v>106</v>
      </c>
      <c r="M78" s="41"/>
      <c r="N78" s="40" t="s">
        <v>113</v>
      </c>
      <c r="O78" s="42" t="s">
        <v>114</v>
      </c>
    </row>
    <row r="79" spans="1:15" ht="14.25" x14ac:dyDescent="0.15">
      <c r="A79" s="69"/>
      <c r="B79" s="39" t="s">
        <v>108</v>
      </c>
      <c r="C79" s="36">
        <f>SUMPRODUCT($F$7:$J$8,指标库!$E$59:$I$60)</f>
        <v>6.2903225806451605E-3</v>
      </c>
      <c r="D79" s="36">
        <f>SUMPRODUCT($F$7:$J$8,指标库!$E$59:$I$60)</f>
        <v>6.2903225806451605E-3</v>
      </c>
      <c r="E79" s="36">
        <f>SUMPRODUCT($F$7:$J$8,指标库!$E$61:$I$62)</f>
        <v>2.2096774193548389E-2</v>
      </c>
      <c r="F79" s="46"/>
      <c r="G79" s="36">
        <f>SUMPRODUCT($F$7:$J$8,指标库!$K$59:$O$60)</f>
        <v>4.193548387096774E-3</v>
      </c>
      <c r="H79" s="36">
        <f>SUMPRODUCT($F$7:$J$8,指标库!$K$61:$O$62)</f>
        <v>0.02</v>
      </c>
      <c r="I79" s="46"/>
      <c r="J79" s="36">
        <f>SUMPRODUCT($F$7:$J$8,指标库!$Q$59:$U$60)</f>
        <v>2.096774193548387E-3</v>
      </c>
      <c r="K79" s="36">
        <f>SUMPRODUCT($F$7:$J$8,指标库!$Q$61:$U$62)</f>
        <v>1.7903225806451616E-2</v>
      </c>
      <c r="L79" s="40" t="s">
        <v>115</v>
      </c>
      <c r="M79" s="41"/>
      <c r="N79" s="40" t="s">
        <v>116</v>
      </c>
      <c r="O79" s="42" t="s">
        <v>121</v>
      </c>
    </row>
    <row r="80" spans="1:15" ht="14.25" x14ac:dyDescent="0.15">
      <c r="A80" s="69"/>
      <c r="B80" s="39" t="s">
        <v>109</v>
      </c>
      <c r="C80" s="37">
        <f>SUMPRODUCT($F$7:$J$8,指标库!$E$63:$I$64)</f>
        <v>3.3300000000000003E-2</v>
      </c>
      <c r="D80" s="37">
        <f>SUMPRODUCT($F$7:$J$8,指标库!$E$63:$I$64)</f>
        <v>3.3300000000000003E-2</v>
      </c>
      <c r="E80" s="37">
        <f>SUMPRODUCT($F$7:$J$8,指标库!$E$65:$I$66)</f>
        <v>3.5000000000000003E-2</v>
      </c>
      <c r="F80" s="47"/>
      <c r="G80" s="37">
        <f>SUMPRODUCT($F$7:$J$8,指标库!$K$63:$O$64)</f>
        <v>3.3300000000000003E-2</v>
      </c>
      <c r="H80" s="37">
        <f>SUMPRODUCT($F$7:$J$8,指标库!$K$65:$O$66)</f>
        <v>3.5000000000000003E-2</v>
      </c>
      <c r="I80" s="47"/>
      <c r="J80" s="37">
        <f>SUMPRODUCT($F$7:$J$8,指标库!$Q$63:$U$64)</f>
        <v>3.3300000000000003E-2</v>
      </c>
      <c r="K80" s="37">
        <f>SUMPRODUCT($F$7:$J$8,指标库!$Q$65:$U$66)</f>
        <v>3.5000000000000003E-2</v>
      </c>
      <c r="L80" s="40" t="s">
        <v>122</v>
      </c>
      <c r="M80" s="41"/>
      <c r="N80" s="40" t="s">
        <v>123</v>
      </c>
      <c r="O80" s="42" t="s">
        <v>124</v>
      </c>
    </row>
    <row r="81" spans="1:15" ht="14.25" x14ac:dyDescent="0.15">
      <c r="A81" s="69"/>
      <c r="B81" s="39" t="s">
        <v>110</v>
      </c>
      <c r="C81" s="38">
        <f>SUMPRODUCT($F$7:$J$8,指标库!$E$67:$I$68)</f>
        <v>5.000000000000001E-2</v>
      </c>
      <c r="D81" s="38">
        <f>SUMPRODUCT($F$7:$J$8,指标库!$E$67:$I$68)</f>
        <v>5.000000000000001E-2</v>
      </c>
      <c r="E81" s="38">
        <f>SUMPRODUCT($F$7:$J$8,指标库!$E$69:$I$70)</f>
        <v>7.0580645161290326E-2</v>
      </c>
      <c r="F81" s="48"/>
      <c r="G81" s="38">
        <f>SUMPRODUCT($F$7:$J$8,指标库!$K$67:$O$68)</f>
        <v>0.04</v>
      </c>
      <c r="H81" s="38">
        <f>SUMPRODUCT($F$7:$J$8,指标库!$K$69:$O$70)</f>
        <v>6.0580645161290331E-2</v>
      </c>
      <c r="I81" s="48"/>
      <c r="J81" s="38">
        <f>SUMPRODUCT($F$7:$J$8,指标库!$Q$67:$U$68)</f>
        <v>3.0000000000000006E-2</v>
      </c>
      <c r="K81" s="38">
        <f>SUMPRODUCT($F$7:$J$8,指标库!$Q$69:$U$70)</f>
        <v>5.0580645161290329E-2</v>
      </c>
      <c r="L81" s="40" t="s">
        <v>125</v>
      </c>
      <c r="M81" s="41"/>
      <c r="N81" s="40" t="s">
        <v>126</v>
      </c>
      <c r="O81" s="42" t="s">
        <v>127</v>
      </c>
    </row>
    <row r="82" spans="1:15" ht="14.25" x14ac:dyDescent="0.15">
      <c r="A82" s="69"/>
      <c r="B82" s="39" t="s">
        <v>111</v>
      </c>
      <c r="C82" s="38">
        <f>SUMPRODUCT($F$7:$J$8,指标库!$E$71:$I$72)</f>
        <v>3.0000000000000006E-2</v>
      </c>
      <c r="D82" s="38">
        <f>SUMPRODUCT($F$7:$J$8,指标库!$E$71:$I$72)</f>
        <v>3.0000000000000006E-2</v>
      </c>
      <c r="E82" s="38">
        <f>SUMPRODUCT($F$7:$J$8,指标库!$E$73:$I$74)</f>
        <v>5.000000000000001E-2</v>
      </c>
      <c r="F82" s="48"/>
      <c r="G82" s="38">
        <f>SUMPRODUCT($F$7:$J$8,指标库!$K$71:$O$72)</f>
        <v>0.02</v>
      </c>
      <c r="H82" s="38">
        <f>SUMPRODUCT($F$7:$J$8,指标库!$K$73:$O$74)</f>
        <v>0.04</v>
      </c>
      <c r="I82" s="48"/>
      <c r="J82" s="38">
        <f>SUMPRODUCT($F$7:$J$8,指标库!$Q$71:$U$72)</f>
        <v>0.01</v>
      </c>
      <c r="K82" s="38">
        <f>SUMPRODUCT($F$7:$J$8,指标库!$Q$73:$U$74)</f>
        <v>3.0000000000000006E-2</v>
      </c>
      <c r="L82" s="40" t="s">
        <v>128</v>
      </c>
      <c r="M82" s="41"/>
      <c r="N82" s="40" t="s">
        <v>129</v>
      </c>
      <c r="O82" s="42" t="s">
        <v>134</v>
      </c>
    </row>
    <row r="83" spans="1:15" ht="14.25" x14ac:dyDescent="0.15">
      <c r="A83" s="69"/>
      <c r="B83" s="39" t="s">
        <v>112</v>
      </c>
      <c r="C83" s="38">
        <f>SUMPRODUCT($F$7:$J$8,指标库!$E$75:$I$76)</f>
        <v>3.0000000000000006E-2</v>
      </c>
      <c r="D83" s="38">
        <f>SUMPRODUCT($F$7:$J$8,指标库!$E$75:$I$76)</f>
        <v>3.0000000000000006E-2</v>
      </c>
      <c r="E83" s="38">
        <f>SUMPRODUCT($F$7:$J$8,指标库!$E$77:$I$78)</f>
        <v>5.000000000000001E-2</v>
      </c>
      <c r="F83" s="48"/>
      <c r="G83" s="38">
        <f>SUMPRODUCT($F$7:$J$8,指标库!$K$75:$O$76)</f>
        <v>0.02</v>
      </c>
      <c r="H83" s="38">
        <f>SUMPRODUCT($F$7:$J$8,指标库!$K$77:$O$78)</f>
        <v>0.04</v>
      </c>
      <c r="I83" s="48"/>
      <c r="J83" s="38">
        <f>SUMPRODUCT($F$7:$J$8,指标库!$Q$75:$U$76)</f>
        <v>0.01</v>
      </c>
      <c r="K83" s="38">
        <f>SUMPRODUCT($F$7:$J$8,指标库!$Q$77:$U$78)</f>
        <v>3.0000000000000006E-2</v>
      </c>
      <c r="L83" s="40" t="s">
        <v>131</v>
      </c>
      <c r="M83" s="41"/>
      <c r="N83" s="40" t="s">
        <v>133</v>
      </c>
      <c r="O83" s="42" t="s">
        <v>135</v>
      </c>
    </row>
    <row r="84" spans="1:15" ht="14.25" x14ac:dyDescent="0.15">
      <c r="A84" s="69"/>
      <c r="B84" s="51" t="s">
        <v>49</v>
      </c>
      <c r="C84" s="52">
        <f t="shared" ref="C84:K84" si="10">SUM(C78:C83)</f>
        <v>0.34055806451612908</v>
      </c>
      <c r="D84" s="52">
        <f t="shared" si="10"/>
        <v>0.34055806451612908</v>
      </c>
      <c r="E84" s="52">
        <f t="shared" si="10"/>
        <v>0.46864516129032258</v>
      </c>
      <c r="F84" s="52">
        <f t="shared" si="10"/>
        <v>0</v>
      </c>
      <c r="G84" s="52">
        <f t="shared" si="10"/>
        <v>0.29846129032258067</v>
      </c>
      <c r="H84" s="52">
        <f t="shared" si="10"/>
        <v>0.42654838709677423</v>
      </c>
      <c r="I84" s="52">
        <f t="shared" si="10"/>
        <v>0</v>
      </c>
      <c r="J84" s="52">
        <f t="shared" si="10"/>
        <v>0.25636451612903227</v>
      </c>
      <c r="K84" s="52">
        <f t="shared" si="10"/>
        <v>0.38445161290322594</v>
      </c>
      <c r="L84" s="40"/>
      <c r="M84" s="41"/>
      <c r="N84" s="40"/>
      <c r="O84" s="42"/>
    </row>
    <row r="85" spans="1:15" ht="14.25" x14ac:dyDescent="0.15">
      <c r="A85" s="69" t="s">
        <v>15</v>
      </c>
      <c r="B85" s="49" t="s">
        <v>0</v>
      </c>
      <c r="C85" s="50">
        <f>C77/(1-C84)</f>
        <v>1521774.185545801</v>
      </c>
      <c r="D85" s="50">
        <f>D77/(1-E84)</f>
        <v>2183251.5784361344</v>
      </c>
      <c r="E85" s="50">
        <f>E77/(1-D84)</f>
        <v>2605780.156241592</v>
      </c>
      <c r="F85" s="29"/>
      <c r="G85" s="29"/>
      <c r="H85" s="29"/>
      <c r="I85" s="29"/>
      <c r="J85" s="29"/>
      <c r="K85" s="29"/>
      <c r="L85" s="40" t="s">
        <v>137</v>
      </c>
      <c r="M85" s="41"/>
      <c r="N85" s="40" t="s">
        <v>138</v>
      </c>
      <c r="O85" s="42" t="s">
        <v>139</v>
      </c>
    </row>
    <row r="86" spans="1:15" ht="14.25" x14ac:dyDescent="0.15">
      <c r="A86" s="69"/>
      <c r="B86" s="49" t="s">
        <v>145</v>
      </c>
      <c r="C86" s="50">
        <f>C71-C77-C71*C84</f>
        <v>-212191.39170506923</v>
      </c>
      <c r="D86" s="50">
        <f>D71-(D77+D71*D84)-((E77+D71*E84)-(D77+D71*D84))*0.618</f>
        <v>-468942.6652438711</v>
      </c>
      <c r="E86" s="50">
        <f>E71-D77-E71*D84</f>
        <v>606167.9896774193</v>
      </c>
      <c r="F86" s="50">
        <f>F71-F77-F71*F84</f>
        <v>0</v>
      </c>
      <c r="G86" s="50">
        <f>G71-(G77+G71*G84)-((H77+G71*H84)-(G77+G71*G84))*0.618</f>
        <v>14182.985295483377</v>
      </c>
      <c r="H86" s="50">
        <f>H71-G77-H71*G84</f>
        <v>1260277.9432258063</v>
      </c>
      <c r="I86" s="50">
        <f>I71-I77-I71*I84</f>
        <v>0</v>
      </c>
      <c r="J86" s="50">
        <f>J71-(J77+J71*J84)-((K77+J71*K84)-(J77+J71*J84))*0.618</f>
        <v>519529.63583483815</v>
      </c>
      <c r="K86" s="50">
        <f>K71-J77-K71*J84</f>
        <v>1983885.8967741935</v>
      </c>
      <c r="L86" s="40" t="s">
        <v>146</v>
      </c>
      <c r="M86" s="41"/>
      <c r="N86" s="40" t="s">
        <v>140</v>
      </c>
      <c r="O86" s="42" t="s">
        <v>141</v>
      </c>
    </row>
    <row r="87" spans="1:15" ht="14.25" x14ac:dyDescent="0.15">
      <c r="A87" s="69"/>
      <c r="B87" s="49" t="s">
        <v>14</v>
      </c>
      <c r="C87" s="53">
        <f t="shared" ref="C87:K87" si="11">IF(C71=0,0,C86/C71)</f>
        <v>-0.17682615975422436</v>
      </c>
      <c r="D87" s="53">
        <f t="shared" si="11"/>
        <v>-0.26262470051740094</v>
      </c>
      <c r="E87" s="53">
        <f t="shared" si="11"/>
        <v>0.22631720044706516</v>
      </c>
      <c r="F87" s="53">
        <f t="shared" si="11"/>
        <v>0</v>
      </c>
      <c r="G87" s="53">
        <f t="shared" si="11"/>
        <v>5.2953200774654187E-3</v>
      </c>
      <c r="H87" s="53">
        <f t="shared" si="11"/>
        <v>0.35290040972944847</v>
      </c>
      <c r="I87" s="53">
        <f t="shared" si="11"/>
        <v>0</v>
      </c>
      <c r="J87" s="53">
        <f t="shared" si="11"/>
        <v>0.14547760860070513</v>
      </c>
      <c r="K87" s="53">
        <f t="shared" si="11"/>
        <v>0.44441888368597526</v>
      </c>
      <c r="L87" s="40" t="s">
        <v>142</v>
      </c>
      <c r="M87" s="41"/>
      <c r="N87" s="40" t="s">
        <v>144</v>
      </c>
      <c r="O87" s="42" t="s">
        <v>147</v>
      </c>
    </row>
    <row r="89" spans="1:15" x14ac:dyDescent="0.15">
      <c r="D89" s="57">
        <f>D71-D77</f>
        <v>625518.70967741939</v>
      </c>
    </row>
    <row r="90" spans="1:15" x14ac:dyDescent="0.15">
      <c r="J90"/>
    </row>
  </sheetData>
  <mergeCells count="21">
    <mergeCell ref="L5:L6"/>
    <mergeCell ref="B5:B6"/>
    <mergeCell ref="C5:C6"/>
    <mergeCell ref="D5:D6"/>
    <mergeCell ref="E5:E6"/>
    <mergeCell ref="F5:K5"/>
    <mergeCell ref="O52:O53"/>
    <mergeCell ref="A60:A65"/>
    <mergeCell ref="A66:A71"/>
    <mergeCell ref="N52:N53"/>
    <mergeCell ref="A85:A87"/>
    <mergeCell ref="A54:A56"/>
    <mergeCell ref="A57:A59"/>
    <mergeCell ref="A78:A84"/>
    <mergeCell ref="A72:A77"/>
    <mergeCell ref="A52:A53"/>
    <mergeCell ref="B52:B53"/>
    <mergeCell ref="C52:E52"/>
    <mergeCell ref="F52:H52"/>
    <mergeCell ref="I52:K52"/>
    <mergeCell ref="L52:M53"/>
  </mergeCells>
  <phoneticPr fontId="1" type="noConversion"/>
  <dataValidations count="1">
    <dataValidation type="list" allowBlank="1" showInputMessage="1" showErrorMessage="1" sqref="F9:K48">
      <formula1>"10%,20%,30%,40%,50%,60%,70%,80%,90%,100%"</formula1>
    </dataValidation>
  </dataValidations>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8"/>
  <sheetViews>
    <sheetView showGridLines="0" workbookViewId="0">
      <pane xSplit="4" ySplit="2" topLeftCell="E3" activePane="bottomRight" state="frozen"/>
      <selection pane="topRight" activeCell="E1" sqref="E1"/>
      <selection pane="bottomLeft" activeCell="A3" sqref="A3"/>
      <selection pane="bottomRight" activeCell="A23" sqref="A23:XFD24"/>
    </sheetView>
  </sheetViews>
  <sheetFormatPr defaultRowHeight="14.25" x14ac:dyDescent="0.15"/>
  <cols>
    <col min="1" max="1" width="9" style="7"/>
    <col min="2" max="2" width="22.25" style="7" bestFit="1" customWidth="1"/>
    <col min="3" max="3" width="7.5" style="7" bestFit="1" customWidth="1"/>
    <col min="4" max="4" width="12" style="21" customWidth="1"/>
    <col min="5" max="5" width="7.5" style="7" bestFit="1" customWidth="1"/>
    <col min="6" max="9" width="7.5" style="7" customWidth="1"/>
    <col min="10" max="10" width="1.5" style="7" customWidth="1"/>
    <col min="11" max="11" width="8.5" style="7" bestFit="1" customWidth="1"/>
    <col min="12" max="15" width="7.5" style="7" customWidth="1"/>
    <col min="16" max="16" width="1.5" style="7" customWidth="1"/>
    <col min="17" max="17" width="7.5" style="7" bestFit="1" customWidth="1"/>
    <col min="18" max="21" width="7.5" style="7" customWidth="1"/>
    <col min="22" max="16384" width="9" style="7"/>
  </cols>
  <sheetData>
    <row r="1" spans="1:21" x14ac:dyDescent="0.15">
      <c r="A1" s="17"/>
      <c r="E1" s="18" t="s">
        <v>5</v>
      </c>
      <c r="F1" s="19" t="str">
        <f>E1</f>
        <v>第一年</v>
      </c>
      <c r="G1" s="19" t="str">
        <f>E1</f>
        <v>第一年</v>
      </c>
      <c r="H1" s="19" t="str">
        <f>E1</f>
        <v>第一年</v>
      </c>
      <c r="I1" s="20" t="str">
        <f>E1</f>
        <v>第一年</v>
      </c>
      <c r="J1" s="15"/>
      <c r="K1" s="18" t="s">
        <v>33</v>
      </c>
      <c r="L1" s="19" t="str">
        <f>K1</f>
        <v>第二年</v>
      </c>
      <c r="M1" s="19" t="str">
        <f>K1</f>
        <v>第二年</v>
      </c>
      <c r="N1" s="19" t="str">
        <f>K1</f>
        <v>第二年</v>
      </c>
      <c r="O1" s="20" t="str">
        <f>K1</f>
        <v>第二年</v>
      </c>
      <c r="P1" s="15"/>
      <c r="Q1" s="18" t="s">
        <v>7</v>
      </c>
      <c r="R1" s="19" t="str">
        <f>Q1</f>
        <v>第三年</v>
      </c>
      <c r="S1" s="19" t="str">
        <f>Q1</f>
        <v>第三年</v>
      </c>
      <c r="T1" s="19" t="str">
        <f>Q1</f>
        <v>第三年</v>
      </c>
      <c r="U1" s="19" t="str">
        <f>Q1</f>
        <v>第三年</v>
      </c>
    </row>
    <row r="2" spans="1:21" x14ac:dyDescent="0.15">
      <c r="A2" s="17"/>
      <c r="B2" s="13" t="s">
        <v>9</v>
      </c>
      <c r="C2" s="13" t="s">
        <v>30</v>
      </c>
      <c r="D2" s="13" t="s">
        <v>4</v>
      </c>
      <c r="E2" s="11" t="s">
        <v>23</v>
      </c>
      <c r="F2" s="11" t="s">
        <v>19</v>
      </c>
      <c r="G2" s="11" t="s">
        <v>24</v>
      </c>
      <c r="H2" s="11" t="s">
        <v>25</v>
      </c>
      <c r="I2" s="11" t="s">
        <v>20</v>
      </c>
      <c r="J2" s="11"/>
      <c r="K2" s="11" t="s">
        <v>23</v>
      </c>
      <c r="L2" s="11" t="s">
        <v>19</v>
      </c>
      <c r="M2" s="11" t="s">
        <v>24</v>
      </c>
      <c r="N2" s="11" t="s">
        <v>25</v>
      </c>
      <c r="O2" s="11" t="s">
        <v>20</v>
      </c>
      <c r="P2" s="11"/>
      <c r="Q2" s="11" t="s">
        <v>23</v>
      </c>
      <c r="R2" s="11" t="s">
        <v>19</v>
      </c>
      <c r="S2" s="11" t="s">
        <v>24</v>
      </c>
      <c r="T2" s="11" t="s">
        <v>25</v>
      </c>
      <c r="U2" s="11" t="s">
        <v>20</v>
      </c>
    </row>
    <row r="3" spans="1:21" x14ac:dyDescent="0.15">
      <c r="A3" s="17"/>
      <c r="B3" s="79" t="s">
        <v>11</v>
      </c>
      <c r="C3" s="79" t="s">
        <v>1</v>
      </c>
      <c r="D3" s="14" t="s">
        <v>31</v>
      </c>
      <c r="E3" s="9">
        <v>0.375</v>
      </c>
      <c r="F3" s="9">
        <v>0.35</v>
      </c>
      <c r="G3" s="9">
        <v>0.5</v>
      </c>
      <c r="H3" s="9">
        <v>0.3</v>
      </c>
      <c r="I3" s="9">
        <v>0.35</v>
      </c>
      <c r="J3" s="9"/>
      <c r="K3" s="12">
        <f t="shared" ref="K3:O5" si="0">E3+5%</f>
        <v>0.42499999999999999</v>
      </c>
      <c r="L3" s="12">
        <f t="shared" si="0"/>
        <v>0.39999999999999997</v>
      </c>
      <c r="M3" s="12">
        <f t="shared" si="0"/>
        <v>0.55000000000000004</v>
      </c>
      <c r="N3" s="12">
        <f t="shared" si="0"/>
        <v>0.35</v>
      </c>
      <c r="O3" s="12">
        <f t="shared" si="0"/>
        <v>0.39999999999999997</v>
      </c>
      <c r="P3" s="9"/>
      <c r="Q3" s="12">
        <f t="shared" ref="Q3:R5" si="1">K3+5%</f>
        <v>0.47499999999999998</v>
      </c>
      <c r="R3" s="12">
        <f t="shared" si="1"/>
        <v>0.44999999999999996</v>
      </c>
      <c r="S3" s="12">
        <f t="shared" ref="S3:S6" si="2">M3+5%</f>
        <v>0.60000000000000009</v>
      </c>
      <c r="T3" s="12">
        <f t="shared" ref="T3:T6" si="3">N3+5%</f>
        <v>0.39999999999999997</v>
      </c>
      <c r="U3" s="12">
        <f t="shared" ref="U3:U6" si="4">O3+5%</f>
        <v>0.44999999999999996</v>
      </c>
    </row>
    <row r="4" spans="1:21" x14ac:dyDescent="0.15">
      <c r="A4" s="17"/>
      <c r="B4" s="80"/>
      <c r="C4" s="81"/>
      <c r="D4" s="14" t="s">
        <v>32</v>
      </c>
      <c r="E4" s="9">
        <v>0.85</v>
      </c>
      <c r="F4" s="9">
        <v>0.85</v>
      </c>
      <c r="G4" s="9">
        <v>0.85</v>
      </c>
      <c r="H4" s="9">
        <v>0.85</v>
      </c>
      <c r="I4" s="9">
        <v>0.85</v>
      </c>
      <c r="J4" s="9"/>
      <c r="K4" s="12">
        <f>E4+5%</f>
        <v>0.9</v>
      </c>
      <c r="L4" s="12">
        <f>F4+5%</f>
        <v>0.9</v>
      </c>
      <c r="M4" s="12">
        <f>G4+5%</f>
        <v>0.9</v>
      </c>
      <c r="N4" s="12">
        <f>H4+5%</f>
        <v>0.9</v>
      </c>
      <c r="O4" s="12">
        <f>I4+5%</f>
        <v>0.9</v>
      </c>
      <c r="P4" s="9"/>
      <c r="Q4" s="12">
        <f t="shared" si="1"/>
        <v>0.95000000000000007</v>
      </c>
      <c r="R4" s="12">
        <f t="shared" si="1"/>
        <v>0.95000000000000007</v>
      </c>
      <c r="S4" s="12">
        <f>M4+5%</f>
        <v>0.95000000000000007</v>
      </c>
      <c r="T4" s="12">
        <f>N4+5%</f>
        <v>0.95000000000000007</v>
      </c>
      <c r="U4" s="12">
        <f>O4+5%</f>
        <v>0.95000000000000007</v>
      </c>
    </row>
    <row r="5" spans="1:21" x14ac:dyDescent="0.15">
      <c r="A5" s="17"/>
      <c r="B5" s="80"/>
      <c r="C5" s="79" t="s">
        <v>2</v>
      </c>
      <c r="D5" s="14" t="str">
        <f>D3</f>
        <v>大教室</v>
      </c>
      <c r="E5" s="9">
        <v>0.42857142857142855</v>
      </c>
      <c r="F5" s="9">
        <v>0.45</v>
      </c>
      <c r="G5" s="9">
        <v>0.55000000000000004</v>
      </c>
      <c r="H5" s="9">
        <v>0.35</v>
      </c>
      <c r="I5" s="9">
        <v>0.4</v>
      </c>
      <c r="J5" s="9"/>
      <c r="K5" s="12">
        <f t="shared" si="0"/>
        <v>0.47857142857142854</v>
      </c>
      <c r="L5" s="12">
        <f t="shared" si="0"/>
        <v>0.5</v>
      </c>
      <c r="M5" s="12">
        <f t="shared" si="0"/>
        <v>0.60000000000000009</v>
      </c>
      <c r="N5" s="12">
        <f t="shared" si="0"/>
        <v>0.39999999999999997</v>
      </c>
      <c r="O5" s="12">
        <f t="shared" si="0"/>
        <v>0.45</v>
      </c>
      <c r="P5" s="9"/>
      <c r="Q5" s="12">
        <f t="shared" si="1"/>
        <v>0.52857142857142858</v>
      </c>
      <c r="R5" s="12">
        <f t="shared" si="1"/>
        <v>0.55000000000000004</v>
      </c>
      <c r="S5" s="12">
        <f t="shared" si="2"/>
        <v>0.65000000000000013</v>
      </c>
      <c r="T5" s="12">
        <f t="shared" si="3"/>
        <v>0.44999999999999996</v>
      </c>
      <c r="U5" s="12">
        <f t="shared" si="4"/>
        <v>0.5</v>
      </c>
    </row>
    <row r="6" spans="1:21" x14ac:dyDescent="0.15">
      <c r="A6" s="17"/>
      <c r="B6" s="81"/>
      <c r="C6" s="81"/>
      <c r="D6" s="14" t="str">
        <f>D4</f>
        <v>小教室</v>
      </c>
      <c r="E6" s="9">
        <v>0.9</v>
      </c>
      <c r="F6" s="9">
        <v>0.9</v>
      </c>
      <c r="G6" s="9">
        <v>0.9</v>
      </c>
      <c r="H6" s="9">
        <v>0.9</v>
      </c>
      <c r="I6" s="9">
        <v>0.9</v>
      </c>
      <c r="J6" s="9"/>
      <c r="K6" s="12">
        <f t="shared" ref="K6" si="5">E6+5%</f>
        <v>0.95000000000000007</v>
      </c>
      <c r="L6" s="12">
        <f t="shared" ref="L6" si="6">F6+5%</f>
        <v>0.95000000000000007</v>
      </c>
      <c r="M6" s="12">
        <f t="shared" ref="M6:O6" si="7">G6+5%</f>
        <v>0.95000000000000007</v>
      </c>
      <c r="N6" s="12">
        <f t="shared" si="7"/>
        <v>0.95000000000000007</v>
      </c>
      <c r="O6" s="12">
        <f t="shared" si="7"/>
        <v>0.95000000000000007</v>
      </c>
      <c r="P6" s="9"/>
      <c r="Q6" s="12">
        <f t="shared" ref="Q6" si="8">K6+5%</f>
        <v>1</v>
      </c>
      <c r="R6" s="12">
        <f t="shared" ref="R6" si="9">L6+5%</f>
        <v>1</v>
      </c>
      <c r="S6" s="12">
        <f t="shared" si="2"/>
        <v>1</v>
      </c>
      <c r="T6" s="12">
        <f t="shared" si="3"/>
        <v>1</v>
      </c>
      <c r="U6" s="12">
        <f t="shared" si="4"/>
        <v>1</v>
      </c>
    </row>
    <row r="7" spans="1:21" x14ac:dyDescent="0.15">
      <c r="A7" s="17"/>
      <c r="B7" s="79" t="s">
        <v>12</v>
      </c>
      <c r="C7" s="79" t="s">
        <v>1</v>
      </c>
      <c r="D7" s="14" t="s">
        <v>31</v>
      </c>
      <c r="E7" s="9">
        <v>0.15</v>
      </c>
      <c r="F7" s="9">
        <v>0.15</v>
      </c>
      <c r="G7" s="9">
        <v>0.15</v>
      </c>
      <c r="H7" s="9">
        <v>0.15</v>
      </c>
      <c r="I7" s="9">
        <v>0.15</v>
      </c>
      <c r="J7" s="9"/>
      <c r="K7" s="12">
        <f>E7+3%</f>
        <v>0.18</v>
      </c>
      <c r="L7" s="12">
        <f t="shared" ref="L7:L10" si="10">F7+3%</f>
        <v>0.18</v>
      </c>
      <c r="M7" s="12">
        <f t="shared" ref="M7:M10" si="11">G7+3%</f>
        <v>0.18</v>
      </c>
      <c r="N7" s="12">
        <f t="shared" ref="N7:N10" si="12">H7+3%</f>
        <v>0.18</v>
      </c>
      <c r="O7" s="12">
        <f t="shared" ref="O7:O10" si="13">I7+3%</f>
        <v>0.18</v>
      </c>
      <c r="P7" s="9"/>
      <c r="Q7" s="12">
        <f>K7+3%</f>
        <v>0.21</v>
      </c>
      <c r="R7" s="12">
        <f t="shared" ref="R7:R10" si="14">L7+3%</f>
        <v>0.21</v>
      </c>
      <c r="S7" s="12">
        <f t="shared" ref="S7:S10" si="15">M7+3%</f>
        <v>0.21</v>
      </c>
      <c r="T7" s="12">
        <f t="shared" ref="T7:T10" si="16">N7+3%</f>
        <v>0.21</v>
      </c>
      <c r="U7" s="12">
        <f t="shared" ref="U7:U10" si="17">O7+3%</f>
        <v>0.21</v>
      </c>
    </row>
    <row r="8" spans="1:21" x14ac:dyDescent="0.15">
      <c r="A8" s="17"/>
      <c r="B8" s="80"/>
      <c r="C8" s="81"/>
      <c r="D8" s="14" t="s">
        <v>32</v>
      </c>
      <c r="E8" s="9">
        <v>0.08</v>
      </c>
      <c r="F8" s="9">
        <v>0.08</v>
      </c>
      <c r="G8" s="9">
        <v>0.08</v>
      </c>
      <c r="H8" s="9">
        <v>0.08</v>
      </c>
      <c r="I8" s="9">
        <v>0.08</v>
      </c>
      <c r="J8" s="9"/>
      <c r="K8" s="12">
        <f>E8+3%</f>
        <v>0.11</v>
      </c>
      <c r="L8" s="12">
        <f>F8+3%</f>
        <v>0.11</v>
      </c>
      <c r="M8" s="12">
        <f>G8+3%</f>
        <v>0.11</v>
      </c>
      <c r="N8" s="12">
        <f>H8+3%</f>
        <v>0.11</v>
      </c>
      <c r="O8" s="12">
        <f>I8+3%</f>
        <v>0.11</v>
      </c>
      <c r="P8" s="9"/>
      <c r="Q8" s="12">
        <f>K8+3%</f>
        <v>0.14000000000000001</v>
      </c>
      <c r="R8" s="12">
        <f>L8+3%</f>
        <v>0.14000000000000001</v>
      </c>
      <c r="S8" s="12">
        <f>M8+3%</f>
        <v>0.14000000000000001</v>
      </c>
      <c r="T8" s="12">
        <f>N8+3%</f>
        <v>0.14000000000000001</v>
      </c>
      <c r="U8" s="12">
        <f>O8+3%</f>
        <v>0.14000000000000001</v>
      </c>
    </row>
    <row r="9" spans="1:21" x14ac:dyDescent="0.15">
      <c r="A9" s="17"/>
      <c r="B9" s="80"/>
      <c r="C9" s="79" t="s">
        <v>2</v>
      </c>
      <c r="D9" s="14" t="str">
        <f t="shared" ref="D9:D10" si="18">D7</f>
        <v>大教室</v>
      </c>
      <c r="E9" s="9">
        <v>0.18</v>
      </c>
      <c r="F9" s="9">
        <v>0.18</v>
      </c>
      <c r="G9" s="9">
        <v>0.18</v>
      </c>
      <c r="H9" s="9">
        <v>0.18</v>
      </c>
      <c r="I9" s="9">
        <v>0.18</v>
      </c>
      <c r="J9" s="9"/>
      <c r="K9" s="12">
        <f t="shared" ref="K9:K10" si="19">E9+3%</f>
        <v>0.21</v>
      </c>
      <c r="L9" s="12">
        <f t="shared" si="10"/>
        <v>0.21</v>
      </c>
      <c r="M9" s="12">
        <f t="shared" si="11"/>
        <v>0.21</v>
      </c>
      <c r="N9" s="12">
        <f t="shared" si="12"/>
        <v>0.21</v>
      </c>
      <c r="O9" s="12">
        <f t="shared" si="13"/>
        <v>0.21</v>
      </c>
      <c r="P9" s="9"/>
      <c r="Q9" s="12">
        <f t="shared" ref="Q9:Q10" si="20">K9+3%</f>
        <v>0.24</v>
      </c>
      <c r="R9" s="12">
        <f t="shared" si="14"/>
        <v>0.24</v>
      </c>
      <c r="S9" s="12">
        <f t="shared" si="15"/>
        <v>0.24</v>
      </c>
      <c r="T9" s="12">
        <f t="shared" si="16"/>
        <v>0.24</v>
      </c>
      <c r="U9" s="12">
        <f t="shared" si="17"/>
        <v>0.24</v>
      </c>
    </row>
    <row r="10" spans="1:21" x14ac:dyDescent="0.15">
      <c r="A10" s="17"/>
      <c r="B10" s="81"/>
      <c r="C10" s="81"/>
      <c r="D10" s="14" t="str">
        <f t="shared" si="18"/>
        <v>小教室</v>
      </c>
      <c r="E10" s="9">
        <v>0.1</v>
      </c>
      <c r="F10" s="9">
        <v>0.1</v>
      </c>
      <c r="G10" s="9">
        <v>0.1</v>
      </c>
      <c r="H10" s="9">
        <v>0.1</v>
      </c>
      <c r="I10" s="9">
        <v>0.1</v>
      </c>
      <c r="J10" s="9"/>
      <c r="K10" s="12">
        <f t="shared" si="19"/>
        <v>0.13</v>
      </c>
      <c r="L10" s="12">
        <f t="shared" si="10"/>
        <v>0.13</v>
      </c>
      <c r="M10" s="12">
        <f t="shared" si="11"/>
        <v>0.13</v>
      </c>
      <c r="N10" s="12">
        <f t="shared" si="12"/>
        <v>0.13</v>
      </c>
      <c r="O10" s="12">
        <f t="shared" si="13"/>
        <v>0.13</v>
      </c>
      <c r="P10" s="9"/>
      <c r="Q10" s="12">
        <f t="shared" si="20"/>
        <v>0.16</v>
      </c>
      <c r="R10" s="12">
        <f t="shared" si="14"/>
        <v>0.16</v>
      </c>
      <c r="S10" s="12">
        <f t="shared" si="15"/>
        <v>0.16</v>
      </c>
      <c r="T10" s="12">
        <f t="shared" si="16"/>
        <v>0.16</v>
      </c>
      <c r="U10" s="12">
        <f t="shared" si="17"/>
        <v>0.16</v>
      </c>
    </row>
    <row r="11" spans="1:21" x14ac:dyDescent="0.15">
      <c r="A11" s="17"/>
      <c r="B11" s="79" t="s">
        <v>13</v>
      </c>
      <c r="C11" s="79" t="s">
        <v>1</v>
      </c>
      <c r="D11" s="14" t="s">
        <v>31</v>
      </c>
      <c r="E11" s="10">
        <f>E3*E7</f>
        <v>5.6249999999999994E-2</v>
      </c>
      <c r="F11" s="10">
        <f t="shared" ref="F11:I11" si="21">F3*F7</f>
        <v>5.2499999999999998E-2</v>
      </c>
      <c r="G11" s="10">
        <f t="shared" si="21"/>
        <v>7.4999999999999997E-2</v>
      </c>
      <c r="H11" s="10">
        <f t="shared" si="21"/>
        <v>4.4999999999999998E-2</v>
      </c>
      <c r="I11" s="10">
        <f t="shared" si="21"/>
        <v>5.2499999999999998E-2</v>
      </c>
      <c r="J11" s="10"/>
      <c r="K11" s="10">
        <f>K3*K7</f>
        <v>7.6499999999999999E-2</v>
      </c>
      <c r="L11" s="10">
        <f t="shared" ref="L11:O11" si="22">L3*L7</f>
        <v>7.1999999999999995E-2</v>
      </c>
      <c r="M11" s="10">
        <f t="shared" si="22"/>
        <v>9.9000000000000005E-2</v>
      </c>
      <c r="N11" s="10">
        <f t="shared" si="22"/>
        <v>6.3E-2</v>
      </c>
      <c r="O11" s="10">
        <f t="shared" si="22"/>
        <v>7.1999999999999995E-2</v>
      </c>
      <c r="P11" s="10"/>
      <c r="Q11" s="10">
        <f>Q3*Q7</f>
        <v>9.9749999999999991E-2</v>
      </c>
      <c r="R11" s="10">
        <f t="shared" ref="R11:U11" si="23">R3*R7</f>
        <v>9.4499999999999987E-2</v>
      </c>
      <c r="S11" s="10">
        <f t="shared" si="23"/>
        <v>0.126</v>
      </c>
      <c r="T11" s="10">
        <f t="shared" si="23"/>
        <v>8.3999999999999991E-2</v>
      </c>
      <c r="U11" s="10">
        <f t="shared" si="23"/>
        <v>9.4499999999999987E-2</v>
      </c>
    </row>
    <row r="12" spans="1:21" x14ac:dyDescent="0.15">
      <c r="A12" s="17"/>
      <c r="B12" s="80"/>
      <c r="C12" s="81"/>
      <c r="D12" s="14" t="s">
        <v>32</v>
      </c>
      <c r="E12" s="10">
        <f>E4*E8</f>
        <v>6.8000000000000005E-2</v>
      </c>
      <c r="F12" s="10">
        <f t="shared" ref="F12:I12" si="24">F4*F8</f>
        <v>6.8000000000000005E-2</v>
      </c>
      <c r="G12" s="10">
        <f t="shared" si="24"/>
        <v>6.8000000000000005E-2</v>
      </c>
      <c r="H12" s="10">
        <f t="shared" si="24"/>
        <v>6.8000000000000005E-2</v>
      </c>
      <c r="I12" s="10">
        <f t="shared" si="24"/>
        <v>6.8000000000000005E-2</v>
      </c>
      <c r="J12" s="10"/>
      <c r="K12" s="10">
        <f>K4*K8</f>
        <v>9.9000000000000005E-2</v>
      </c>
      <c r="L12" s="10">
        <f t="shared" ref="L12:O12" si="25">L4*L8</f>
        <v>9.9000000000000005E-2</v>
      </c>
      <c r="M12" s="10">
        <f t="shared" si="25"/>
        <v>9.9000000000000005E-2</v>
      </c>
      <c r="N12" s="10">
        <f t="shared" si="25"/>
        <v>9.9000000000000005E-2</v>
      </c>
      <c r="O12" s="10">
        <f t="shared" si="25"/>
        <v>9.9000000000000005E-2</v>
      </c>
      <c r="P12" s="10"/>
      <c r="Q12" s="10">
        <f>Q4*Q8</f>
        <v>0.13300000000000003</v>
      </c>
      <c r="R12" s="10">
        <f t="shared" ref="R12:U12" si="26">R4*R8</f>
        <v>0.13300000000000003</v>
      </c>
      <c r="S12" s="10">
        <f t="shared" si="26"/>
        <v>0.13300000000000003</v>
      </c>
      <c r="T12" s="10">
        <f t="shared" si="26"/>
        <v>0.13300000000000003</v>
      </c>
      <c r="U12" s="10">
        <f t="shared" si="26"/>
        <v>0.13300000000000003</v>
      </c>
    </row>
    <row r="13" spans="1:21" x14ac:dyDescent="0.15">
      <c r="B13" s="80"/>
      <c r="C13" s="79" t="s">
        <v>2</v>
      </c>
      <c r="D13" s="14" t="str">
        <f t="shared" ref="D13:D14" si="27">D11</f>
        <v>大教室</v>
      </c>
      <c r="E13" s="10">
        <f>E5*E9</f>
        <v>7.7142857142857138E-2</v>
      </c>
      <c r="F13" s="10">
        <f t="shared" ref="F13:I13" si="28">F5*F9</f>
        <v>8.1000000000000003E-2</v>
      </c>
      <c r="G13" s="10">
        <f t="shared" si="28"/>
        <v>9.9000000000000005E-2</v>
      </c>
      <c r="H13" s="10">
        <f t="shared" si="28"/>
        <v>6.3E-2</v>
      </c>
      <c r="I13" s="10">
        <f t="shared" si="28"/>
        <v>7.1999999999999995E-2</v>
      </c>
      <c r="J13" s="10"/>
      <c r="K13" s="10">
        <f>K5*K9</f>
        <v>0.10049999999999999</v>
      </c>
      <c r="L13" s="10">
        <f t="shared" ref="L13:O13" si="29">L5*L9</f>
        <v>0.105</v>
      </c>
      <c r="M13" s="10">
        <f t="shared" si="29"/>
        <v>0.126</v>
      </c>
      <c r="N13" s="10">
        <f t="shared" si="29"/>
        <v>8.3999999999999991E-2</v>
      </c>
      <c r="O13" s="10">
        <f t="shared" si="29"/>
        <v>9.4500000000000001E-2</v>
      </c>
      <c r="P13" s="10"/>
      <c r="Q13" s="10">
        <f>Q5*Q9</f>
        <v>0.12685714285714286</v>
      </c>
      <c r="R13" s="10">
        <f t="shared" ref="R13:U13" si="30">R5*R9</f>
        <v>0.13200000000000001</v>
      </c>
      <c r="S13" s="10">
        <f t="shared" si="30"/>
        <v>0.15600000000000003</v>
      </c>
      <c r="T13" s="10">
        <f t="shared" si="30"/>
        <v>0.10799999999999998</v>
      </c>
      <c r="U13" s="10">
        <f t="shared" si="30"/>
        <v>0.12</v>
      </c>
    </row>
    <row r="14" spans="1:21" x14ac:dyDescent="0.15">
      <c r="B14" s="81"/>
      <c r="C14" s="81"/>
      <c r="D14" s="14" t="str">
        <f t="shared" si="27"/>
        <v>小教室</v>
      </c>
      <c r="E14" s="10">
        <f>E6*E10</f>
        <v>9.0000000000000011E-2</v>
      </c>
      <c r="F14" s="10">
        <f t="shared" ref="F14:I14" si="31">F6*F10</f>
        <v>9.0000000000000011E-2</v>
      </c>
      <c r="G14" s="10">
        <f t="shared" si="31"/>
        <v>9.0000000000000011E-2</v>
      </c>
      <c r="H14" s="10">
        <f t="shared" si="31"/>
        <v>9.0000000000000011E-2</v>
      </c>
      <c r="I14" s="10">
        <f t="shared" si="31"/>
        <v>9.0000000000000011E-2</v>
      </c>
      <c r="J14" s="10"/>
      <c r="K14" s="10">
        <f>K6*K10</f>
        <v>0.12350000000000001</v>
      </c>
      <c r="L14" s="10">
        <f t="shared" ref="L14:O14" si="32">L6*L10</f>
        <v>0.12350000000000001</v>
      </c>
      <c r="M14" s="10">
        <f t="shared" si="32"/>
        <v>0.12350000000000001</v>
      </c>
      <c r="N14" s="10">
        <f t="shared" si="32"/>
        <v>0.12350000000000001</v>
      </c>
      <c r="O14" s="10">
        <f t="shared" si="32"/>
        <v>0.12350000000000001</v>
      </c>
      <c r="P14" s="10"/>
      <c r="Q14" s="10">
        <f>Q6*Q10</f>
        <v>0.16</v>
      </c>
      <c r="R14" s="10">
        <f t="shared" ref="R14:U14" si="33">R6*R10</f>
        <v>0.16</v>
      </c>
      <c r="S14" s="10">
        <f t="shared" si="33"/>
        <v>0.16</v>
      </c>
      <c r="T14" s="10">
        <f t="shared" si="33"/>
        <v>0.16</v>
      </c>
      <c r="U14" s="10">
        <f t="shared" si="33"/>
        <v>0.16</v>
      </c>
    </row>
    <row r="15" spans="1:21" x14ac:dyDescent="0.15">
      <c r="B15" s="79" t="s">
        <v>62</v>
      </c>
      <c r="C15" s="79" t="s">
        <v>1</v>
      </c>
      <c r="D15" s="14" t="s">
        <v>31</v>
      </c>
      <c r="E15" s="23">
        <v>4</v>
      </c>
      <c r="F15" s="23">
        <v>4</v>
      </c>
      <c r="G15" s="23">
        <v>4</v>
      </c>
      <c r="H15" s="23">
        <v>4</v>
      </c>
      <c r="I15" s="23">
        <v>4</v>
      </c>
      <c r="J15" s="23"/>
      <c r="K15" s="23">
        <f>E15+2</f>
        <v>6</v>
      </c>
      <c r="L15" s="23">
        <f t="shared" ref="L15:L18" si="34">F15+2</f>
        <v>6</v>
      </c>
      <c r="M15" s="23">
        <f t="shared" ref="M15:M18" si="35">G15+2</f>
        <v>6</v>
      </c>
      <c r="N15" s="23">
        <f t="shared" ref="N15:N18" si="36">H15+2</f>
        <v>6</v>
      </c>
      <c r="O15" s="23">
        <f t="shared" ref="O15:O18" si="37">I15+2</f>
        <v>6</v>
      </c>
      <c r="P15" s="23"/>
      <c r="Q15" s="23">
        <f>K15+2</f>
        <v>8</v>
      </c>
      <c r="R15" s="23">
        <f t="shared" ref="R15:R18" si="38">L15+2</f>
        <v>8</v>
      </c>
      <c r="S15" s="23">
        <f t="shared" ref="S15:S18" si="39">M15+2</f>
        <v>8</v>
      </c>
      <c r="T15" s="23">
        <f t="shared" ref="T15:T18" si="40">N15+2</f>
        <v>8</v>
      </c>
      <c r="U15" s="23">
        <f t="shared" ref="U15:U18" si="41">O15+2</f>
        <v>8</v>
      </c>
    </row>
    <row r="16" spans="1:21" x14ac:dyDescent="0.15">
      <c r="B16" s="80"/>
      <c r="C16" s="81"/>
      <c r="D16" s="14" t="s">
        <v>32</v>
      </c>
      <c r="E16" s="23">
        <v>4</v>
      </c>
      <c r="F16" s="23">
        <v>4</v>
      </c>
      <c r="G16" s="23">
        <v>4</v>
      </c>
      <c r="H16" s="23">
        <v>4</v>
      </c>
      <c r="I16" s="23">
        <v>4</v>
      </c>
      <c r="J16" s="23"/>
      <c r="K16" s="23">
        <f t="shared" ref="K16" si="42">E16+2</f>
        <v>6</v>
      </c>
      <c r="L16" s="23">
        <f t="shared" si="34"/>
        <v>6</v>
      </c>
      <c r="M16" s="23">
        <f t="shared" si="35"/>
        <v>6</v>
      </c>
      <c r="N16" s="23">
        <f t="shared" si="36"/>
        <v>6</v>
      </c>
      <c r="O16" s="23">
        <f t="shared" si="37"/>
        <v>6</v>
      </c>
      <c r="P16" s="23"/>
      <c r="Q16" s="23">
        <f t="shared" ref="Q16" si="43">K16+2</f>
        <v>8</v>
      </c>
      <c r="R16" s="23">
        <f t="shared" si="38"/>
        <v>8</v>
      </c>
      <c r="S16" s="23">
        <f t="shared" si="39"/>
        <v>8</v>
      </c>
      <c r="T16" s="23">
        <f t="shared" si="40"/>
        <v>8</v>
      </c>
      <c r="U16" s="23">
        <f t="shared" si="41"/>
        <v>8</v>
      </c>
    </row>
    <row r="17" spans="2:21" x14ac:dyDescent="0.15">
      <c r="B17" s="80"/>
      <c r="C17" s="79" t="s">
        <v>2</v>
      </c>
      <c r="D17" s="14" t="str">
        <f t="shared" ref="D17:D18" si="44">D15</f>
        <v>大教室</v>
      </c>
      <c r="E17" s="23">
        <v>6</v>
      </c>
      <c r="F17" s="23">
        <v>6</v>
      </c>
      <c r="G17" s="23">
        <v>6</v>
      </c>
      <c r="H17" s="23">
        <v>6</v>
      </c>
      <c r="I17" s="23">
        <v>6</v>
      </c>
      <c r="J17" s="23"/>
      <c r="K17" s="23">
        <f>E17+2</f>
        <v>8</v>
      </c>
      <c r="L17" s="23">
        <f t="shared" si="34"/>
        <v>8</v>
      </c>
      <c r="M17" s="23">
        <f t="shared" si="35"/>
        <v>8</v>
      </c>
      <c r="N17" s="23">
        <f t="shared" si="36"/>
        <v>8</v>
      </c>
      <c r="O17" s="23">
        <f t="shared" si="37"/>
        <v>8</v>
      </c>
      <c r="P17" s="23"/>
      <c r="Q17" s="23">
        <f>K17+2</f>
        <v>10</v>
      </c>
      <c r="R17" s="23">
        <f t="shared" si="38"/>
        <v>10</v>
      </c>
      <c r="S17" s="23">
        <f t="shared" si="39"/>
        <v>10</v>
      </c>
      <c r="T17" s="23">
        <f t="shared" si="40"/>
        <v>10</v>
      </c>
      <c r="U17" s="23">
        <f t="shared" si="41"/>
        <v>10</v>
      </c>
    </row>
    <row r="18" spans="2:21" x14ac:dyDescent="0.15">
      <c r="B18" s="81"/>
      <c r="C18" s="81"/>
      <c r="D18" s="14" t="str">
        <f t="shared" si="44"/>
        <v>小教室</v>
      </c>
      <c r="E18" s="23">
        <v>6</v>
      </c>
      <c r="F18" s="23">
        <v>6</v>
      </c>
      <c r="G18" s="23">
        <v>6</v>
      </c>
      <c r="H18" s="23">
        <v>6</v>
      </c>
      <c r="I18" s="23">
        <v>6</v>
      </c>
      <c r="J18" s="23"/>
      <c r="K18" s="23">
        <f t="shared" ref="K18" si="45">E18+2</f>
        <v>8</v>
      </c>
      <c r="L18" s="23">
        <f t="shared" si="34"/>
        <v>8</v>
      </c>
      <c r="M18" s="23">
        <f t="shared" si="35"/>
        <v>8</v>
      </c>
      <c r="N18" s="23">
        <f t="shared" si="36"/>
        <v>8</v>
      </c>
      <c r="O18" s="23">
        <f t="shared" si="37"/>
        <v>8</v>
      </c>
      <c r="P18" s="23"/>
      <c r="Q18" s="23">
        <f t="shared" ref="Q18" si="46">K18+2</f>
        <v>10</v>
      </c>
      <c r="R18" s="23">
        <f t="shared" si="38"/>
        <v>10</v>
      </c>
      <c r="S18" s="23">
        <f t="shared" si="39"/>
        <v>10</v>
      </c>
      <c r="T18" s="23">
        <f t="shared" si="40"/>
        <v>10</v>
      </c>
      <c r="U18" s="23">
        <f t="shared" si="41"/>
        <v>10</v>
      </c>
    </row>
    <row r="19" spans="2:21" x14ac:dyDescent="0.15">
      <c r="B19" s="79" t="s">
        <v>40</v>
      </c>
      <c r="C19" s="79" t="s">
        <v>1</v>
      </c>
      <c r="D19" s="14" t="s">
        <v>31</v>
      </c>
      <c r="E19" s="23">
        <v>60</v>
      </c>
      <c r="F19" s="23">
        <v>60</v>
      </c>
      <c r="G19" s="23">
        <v>60</v>
      </c>
      <c r="H19" s="23">
        <v>60</v>
      </c>
      <c r="I19" s="23">
        <v>60</v>
      </c>
      <c r="J19" s="23"/>
      <c r="K19" s="23">
        <v>60</v>
      </c>
      <c r="L19" s="23">
        <v>60</v>
      </c>
      <c r="M19" s="23">
        <v>60</v>
      </c>
      <c r="N19" s="23">
        <v>60</v>
      </c>
      <c r="O19" s="23">
        <v>60</v>
      </c>
      <c r="P19" s="23"/>
      <c r="Q19" s="23">
        <v>60</v>
      </c>
      <c r="R19" s="23">
        <v>60</v>
      </c>
      <c r="S19" s="23">
        <v>60</v>
      </c>
      <c r="T19" s="23">
        <v>60</v>
      </c>
      <c r="U19" s="23">
        <v>60</v>
      </c>
    </row>
    <row r="20" spans="2:21" x14ac:dyDescent="0.15">
      <c r="B20" s="80"/>
      <c r="C20" s="81"/>
      <c r="D20" s="14" t="s">
        <v>32</v>
      </c>
      <c r="E20" s="23">
        <v>60</v>
      </c>
      <c r="F20" s="23">
        <v>60</v>
      </c>
      <c r="G20" s="23">
        <v>60</v>
      </c>
      <c r="H20" s="23">
        <v>60</v>
      </c>
      <c r="I20" s="23">
        <v>60</v>
      </c>
      <c r="J20" s="23"/>
      <c r="K20" s="23">
        <v>60</v>
      </c>
      <c r="L20" s="23">
        <v>60</v>
      </c>
      <c r="M20" s="23">
        <v>60</v>
      </c>
      <c r="N20" s="23">
        <v>60</v>
      </c>
      <c r="O20" s="23">
        <v>60</v>
      </c>
      <c r="P20" s="23"/>
      <c r="Q20" s="23">
        <v>60</v>
      </c>
      <c r="R20" s="23">
        <v>60</v>
      </c>
      <c r="S20" s="23">
        <v>60</v>
      </c>
      <c r="T20" s="23">
        <v>60</v>
      </c>
      <c r="U20" s="23">
        <v>60</v>
      </c>
    </row>
    <row r="21" spans="2:21" x14ac:dyDescent="0.15">
      <c r="B21" s="80"/>
      <c r="C21" s="79" t="s">
        <v>2</v>
      </c>
      <c r="D21" s="14" t="str">
        <f t="shared" ref="D21:D22" si="47">D19</f>
        <v>大教室</v>
      </c>
      <c r="E21" s="23">
        <v>80</v>
      </c>
      <c r="F21" s="23">
        <v>80</v>
      </c>
      <c r="G21" s="23">
        <v>80</v>
      </c>
      <c r="H21" s="23">
        <v>80</v>
      </c>
      <c r="I21" s="23">
        <v>80</v>
      </c>
      <c r="J21" s="23"/>
      <c r="K21" s="23">
        <v>80</v>
      </c>
      <c r="L21" s="23">
        <v>80</v>
      </c>
      <c r="M21" s="23">
        <v>80</v>
      </c>
      <c r="N21" s="23">
        <v>80</v>
      </c>
      <c r="O21" s="23">
        <v>80</v>
      </c>
      <c r="P21" s="23"/>
      <c r="Q21" s="23">
        <v>80</v>
      </c>
      <c r="R21" s="23">
        <v>80</v>
      </c>
      <c r="S21" s="23">
        <v>80</v>
      </c>
      <c r="T21" s="23">
        <v>80</v>
      </c>
      <c r="U21" s="23">
        <v>80</v>
      </c>
    </row>
    <row r="22" spans="2:21" x14ac:dyDescent="0.15">
      <c r="B22" s="81"/>
      <c r="C22" s="81"/>
      <c r="D22" s="14" t="str">
        <f t="shared" si="47"/>
        <v>小教室</v>
      </c>
      <c r="E22" s="23">
        <v>80</v>
      </c>
      <c r="F22" s="23">
        <v>80</v>
      </c>
      <c r="G22" s="23">
        <v>80</v>
      </c>
      <c r="H22" s="23">
        <v>80</v>
      </c>
      <c r="I22" s="23">
        <v>80</v>
      </c>
      <c r="J22" s="23"/>
      <c r="K22" s="23">
        <v>80</v>
      </c>
      <c r="L22" s="23">
        <v>80</v>
      </c>
      <c r="M22" s="23">
        <v>80</v>
      </c>
      <c r="N22" s="23">
        <v>80</v>
      </c>
      <c r="O22" s="23">
        <v>80</v>
      </c>
      <c r="P22" s="23"/>
      <c r="Q22" s="23">
        <v>80</v>
      </c>
      <c r="R22" s="23">
        <v>80</v>
      </c>
      <c r="S22" s="23">
        <v>80</v>
      </c>
      <c r="T22" s="23">
        <v>80</v>
      </c>
      <c r="U22" s="23">
        <v>80</v>
      </c>
    </row>
    <row r="23" spans="2:21" x14ac:dyDescent="0.15">
      <c r="B23" s="79" t="s">
        <v>36</v>
      </c>
      <c r="C23" s="79" t="s">
        <v>1</v>
      </c>
      <c r="D23" s="16" t="s">
        <v>31</v>
      </c>
      <c r="E23" s="24">
        <v>0.05</v>
      </c>
      <c r="F23" s="24">
        <v>0.05</v>
      </c>
      <c r="G23" s="24">
        <v>0.05</v>
      </c>
      <c r="H23" s="24">
        <v>0.05</v>
      </c>
      <c r="I23" s="24">
        <v>0.05</v>
      </c>
      <c r="J23" s="24"/>
      <c r="K23" s="24">
        <f t="shared" ref="K23:O26" si="48">E23+0.01</f>
        <v>6.0000000000000005E-2</v>
      </c>
      <c r="L23" s="24">
        <f t="shared" si="48"/>
        <v>6.0000000000000005E-2</v>
      </c>
      <c r="M23" s="24">
        <f t="shared" si="48"/>
        <v>6.0000000000000005E-2</v>
      </c>
      <c r="N23" s="24">
        <f t="shared" si="48"/>
        <v>6.0000000000000005E-2</v>
      </c>
      <c r="O23" s="24">
        <f t="shared" si="48"/>
        <v>6.0000000000000005E-2</v>
      </c>
      <c r="P23" s="24"/>
      <c r="Q23" s="24">
        <f t="shared" ref="Q23:U26" si="49">K23+0.01</f>
        <v>7.0000000000000007E-2</v>
      </c>
      <c r="R23" s="24">
        <f t="shared" si="49"/>
        <v>7.0000000000000007E-2</v>
      </c>
      <c r="S23" s="24">
        <f t="shared" si="49"/>
        <v>7.0000000000000007E-2</v>
      </c>
      <c r="T23" s="24">
        <f t="shared" si="49"/>
        <v>7.0000000000000007E-2</v>
      </c>
      <c r="U23" s="24">
        <f t="shared" si="49"/>
        <v>7.0000000000000007E-2</v>
      </c>
    </row>
    <row r="24" spans="2:21" x14ac:dyDescent="0.15">
      <c r="B24" s="80"/>
      <c r="C24" s="81"/>
      <c r="D24" s="16" t="s">
        <v>32</v>
      </c>
      <c r="E24" s="24">
        <v>7.0000000000000007E-2</v>
      </c>
      <c r="F24" s="24">
        <v>7.0000000000000007E-2</v>
      </c>
      <c r="G24" s="24">
        <v>7.0000000000000007E-2</v>
      </c>
      <c r="H24" s="24">
        <v>0.1</v>
      </c>
      <c r="I24" s="24">
        <v>0.1</v>
      </c>
      <c r="J24" s="24"/>
      <c r="K24" s="24">
        <f t="shared" si="48"/>
        <v>0.08</v>
      </c>
      <c r="L24" s="24">
        <f t="shared" si="48"/>
        <v>0.08</v>
      </c>
      <c r="M24" s="24">
        <f t="shared" si="48"/>
        <v>0.08</v>
      </c>
      <c r="N24" s="24">
        <f t="shared" si="48"/>
        <v>0.11</v>
      </c>
      <c r="O24" s="24">
        <f t="shared" si="48"/>
        <v>0.11</v>
      </c>
      <c r="P24" s="24"/>
      <c r="Q24" s="24">
        <f t="shared" si="49"/>
        <v>0.09</v>
      </c>
      <c r="R24" s="24">
        <f t="shared" si="49"/>
        <v>0.09</v>
      </c>
      <c r="S24" s="24">
        <f t="shared" si="49"/>
        <v>0.09</v>
      </c>
      <c r="T24" s="24">
        <f t="shared" si="49"/>
        <v>0.12</v>
      </c>
      <c r="U24" s="24">
        <f t="shared" si="49"/>
        <v>0.12</v>
      </c>
    </row>
    <row r="25" spans="2:21" x14ac:dyDescent="0.15">
      <c r="B25" s="80"/>
      <c r="C25" s="79" t="s">
        <v>2</v>
      </c>
      <c r="D25" s="16" t="str">
        <f t="shared" ref="D25:D26" si="50">D23</f>
        <v>大教室</v>
      </c>
      <c r="E25" s="24">
        <v>7.0000000000000007E-2</v>
      </c>
      <c r="F25" s="24">
        <v>7.0000000000000007E-2</v>
      </c>
      <c r="G25" s="24">
        <v>7.0000000000000007E-2</v>
      </c>
      <c r="H25" s="24">
        <v>7.0000000000000007E-2</v>
      </c>
      <c r="I25" s="24">
        <v>7.0000000000000007E-2</v>
      </c>
      <c r="J25" s="24"/>
      <c r="K25" s="24">
        <f t="shared" si="48"/>
        <v>0.08</v>
      </c>
      <c r="L25" s="24">
        <f t="shared" si="48"/>
        <v>0.08</v>
      </c>
      <c r="M25" s="24">
        <f t="shared" si="48"/>
        <v>0.08</v>
      </c>
      <c r="N25" s="24">
        <f t="shared" si="48"/>
        <v>0.08</v>
      </c>
      <c r="O25" s="24">
        <f t="shared" si="48"/>
        <v>0.08</v>
      </c>
      <c r="P25" s="24"/>
      <c r="Q25" s="24">
        <f t="shared" si="49"/>
        <v>0.09</v>
      </c>
      <c r="R25" s="24">
        <f t="shared" si="49"/>
        <v>0.09</v>
      </c>
      <c r="S25" s="24">
        <f t="shared" si="49"/>
        <v>0.09</v>
      </c>
      <c r="T25" s="24">
        <f t="shared" si="49"/>
        <v>0.09</v>
      </c>
      <c r="U25" s="24">
        <f t="shared" si="49"/>
        <v>0.09</v>
      </c>
    </row>
    <row r="26" spans="2:21" x14ac:dyDescent="0.15">
      <c r="B26" s="81"/>
      <c r="C26" s="81"/>
      <c r="D26" s="16" t="str">
        <f t="shared" si="50"/>
        <v>小教室</v>
      </c>
      <c r="E26" s="24">
        <v>0.1</v>
      </c>
      <c r="F26" s="24">
        <v>0.1</v>
      </c>
      <c r="G26" s="24">
        <v>0.1</v>
      </c>
      <c r="H26" s="24">
        <v>0.12</v>
      </c>
      <c r="I26" s="24">
        <v>0.12</v>
      </c>
      <c r="J26" s="24"/>
      <c r="K26" s="24">
        <f t="shared" si="48"/>
        <v>0.11</v>
      </c>
      <c r="L26" s="24">
        <f t="shared" si="48"/>
        <v>0.11</v>
      </c>
      <c r="M26" s="24">
        <f t="shared" si="48"/>
        <v>0.11</v>
      </c>
      <c r="N26" s="24">
        <f t="shared" si="48"/>
        <v>0.13</v>
      </c>
      <c r="O26" s="24">
        <f t="shared" si="48"/>
        <v>0.13</v>
      </c>
      <c r="P26" s="24"/>
      <c r="Q26" s="24">
        <f t="shared" si="49"/>
        <v>0.12</v>
      </c>
      <c r="R26" s="24">
        <f t="shared" si="49"/>
        <v>0.12</v>
      </c>
      <c r="S26" s="24">
        <f t="shared" si="49"/>
        <v>0.12</v>
      </c>
      <c r="T26" s="24">
        <f t="shared" si="49"/>
        <v>0.14000000000000001</v>
      </c>
      <c r="U26" s="24">
        <f t="shared" si="49"/>
        <v>0.14000000000000001</v>
      </c>
    </row>
    <row r="27" spans="2:21" x14ac:dyDescent="0.15">
      <c r="B27" s="79" t="s">
        <v>39</v>
      </c>
      <c r="C27" s="79" t="s">
        <v>1</v>
      </c>
      <c r="D27" s="16" t="s">
        <v>31</v>
      </c>
      <c r="E27" s="9">
        <v>0</v>
      </c>
      <c r="F27" s="9">
        <v>0</v>
      </c>
      <c r="G27" s="9">
        <v>0</v>
      </c>
      <c r="H27" s="9">
        <v>0</v>
      </c>
      <c r="I27" s="9">
        <v>0</v>
      </c>
      <c r="J27" s="24"/>
      <c r="K27" s="9">
        <v>0</v>
      </c>
      <c r="L27" s="9">
        <v>0</v>
      </c>
      <c r="M27" s="9">
        <v>0</v>
      </c>
      <c r="N27" s="9">
        <v>0</v>
      </c>
      <c r="O27" s="9">
        <v>0</v>
      </c>
      <c r="P27" s="24"/>
      <c r="Q27" s="9">
        <v>0</v>
      </c>
      <c r="R27" s="9">
        <v>0</v>
      </c>
      <c r="S27" s="9">
        <v>0</v>
      </c>
      <c r="T27" s="9">
        <v>0</v>
      </c>
      <c r="U27" s="9">
        <v>0</v>
      </c>
    </row>
    <row r="28" spans="2:21" x14ac:dyDescent="0.15">
      <c r="B28" s="80"/>
      <c r="C28" s="81"/>
      <c r="D28" s="16" t="s">
        <v>32</v>
      </c>
      <c r="E28" s="9">
        <v>0</v>
      </c>
      <c r="F28" s="9">
        <v>0</v>
      </c>
      <c r="G28" s="9">
        <v>0</v>
      </c>
      <c r="H28" s="9">
        <v>0</v>
      </c>
      <c r="I28" s="9">
        <v>0</v>
      </c>
      <c r="J28" s="24"/>
      <c r="K28" s="9">
        <v>0</v>
      </c>
      <c r="L28" s="9">
        <v>0</v>
      </c>
      <c r="M28" s="9">
        <v>0</v>
      </c>
      <c r="N28" s="9">
        <v>0</v>
      </c>
      <c r="O28" s="9">
        <v>0</v>
      </c>
      <c r="P28" s="24"/>
      <c r="Q28" s="9">
        <v>0</v>
      </c>
      <c r="R28" s="9">
        <v>0</v>
      </c>
      <c r="S28" s="9">
        <v>0</v>
      </c>
      <c r="T28" s="9">
        <v>0</v>
      </c>
      <c r="U28" s="9">
        <v>0</v>
      </c>
    </row>
    <row r="29" spans="2:21" x14ac:dyDescent="0.15">
      <c r="B29" s="80"/>
      <c r="C29" s="79" t="s">
        <v>2</v>
      </c>
      <c r="D29" s="16" t="str">
        <f>D27</f>
        <v>大教室</v>
      </c>
      <c r="E29" s="9">
        <v>0</v>
      </c>
      <c r="F29" s="9">
        <v>0</v>
      </c>
      <c r="G29" s="9">
        <v>0</v>
      </c>
      <c r="H29" s="9">
        <v>0</v>
      </c>
      <c r="I29" s="9">
        <v>0</v>
      </c>
      <c r="J29" s="24"/>
      <c r="K29" s="9">
        <v>0.05</v>
      </c>
      <c r="L29" s="9">
        <v>0.05</v>
      </c>
      <c r="M29" s="9">
        <v>0.05</v>
      </c>
      <c r="N29" s="9">
        <v>0.05</v>
      </c>
      <c r="O29" s="9">
        <v>0.05</v>
      </c>
      <c r="P29" s="24"/>
      <c r="Q29" s="9">
        <v>0.05</v>
      </c>
      <c r="R29" s="9">
        <v>0.05</v>
      </c>
      <c r="S29" s="9">
        <v>0.05</v>
      </c>
      <c r="T29" s="9">
        <v>0.05</v>
      </c>
      <c r="U29" s="9">
        <v>0.05</v>
      </c>
    </row>
    <row r="30" spans="2:21" x14ac:dyDescent="0.15">
      <c r="B30" s="81"/>
      <c r="C30" s="81"/>
      <c r="D30" s="16" t="str">
        <f>D28</f>
        <v>小教室</v>
      </c>
      <c r="E30" s="9">
        <v>0</v>
      </c>
      <c r="F30" s="9">
        <v>0</v>
      </c>
      <c r="G30" s="9">
        <v>0</v>
      </c>
      <c r="H30" s="9">
        <v>0</v>
      </c>
      <c r="I30" s="9">
        <v>0</v>
      </c>
      <c r="J30" s="24"/>
      <c r="K30" s="9">
        <v>0.05</v>
      </c>
      <c r="L30" s="9">
        <v>0.05</v>
      </c>
      <c r="M30" s="9">
        <v>0.05</v>
      </c>
      <c r="N30" s="9">
        <v>0.05</v>
      </c>
      <c r="O30" s="9">
        <v>0.05</v>
      </c>
      <c r="P30" s="24"/>
      <c r="Q30" s="9">
        <v>0.05</v>
      </c>
      <c r="R30" s="9">
        <v>0.05</v>
      </c>
      <c r="S30" s="9">
        <v>0.05</v>
      </c>
      <c r="T30" s="9">
        <v>0.05</v>
      </c>
      <c r="U30" s="9">
        <v>0.05</v>
      </c>
    </row>
    <row r="31" spans="2:21" x14ac:dyDescent="0.15">
      <c r="B31" s="79" t="s">
        <v>38</v>
      </c>
      <c r="C31" s="79" t="s">
        <v>1</v>
      </c>
      <c r="D31" s="14" t="s">
        <v>31</v>
      </c>
      <c r="E31" s="24">
        <v>0.5</v>
      </c>
      <c r="F31" s="24">
        <v>0.5</v>
      </c>
      <c r="G31" s="24">
        <v>0.5</v>
      </c>
      <c r="H31" s="24">
        <v>0.5</v>
      </c>
      <c r="I31" s="24">
        <v>0.5</v>
      </c>
      <c r="J31" s="24"/>
      <c r="K31" s="24">
        <v>0.5</v>
      </c>
      <c r="L31" s="24">
        <v>0.5</v>
      </c>
      <c r="M31" s="24">
        <v>0.5</v>
      </c>
      <c r="N31" s="24">
        <v>0.5</v>
      </c>
      <c r="O31" s="24">
        <v>0.5</v>
      </c>
      <c r="P31" s="24"/>
      <c r="Q31" s="24">
        <v>0.5</v>
      </c>
      <c r="R31" s="24">
        <v>0.5</v>
      </c>
      <c r="S31" s="24">
        <v>0.5</v>
      </c>
      <c r="T31" s="24">
        <v>0.5</v>
      </c>
      <c r="U31" s="24">
        <v>0.5</v>
      </c>
    </row>
    <row r="32" spans="2:21" x14ac:dyDescent="0.15">
      <c r="B32" s="80"/>
      <c r="C32" s="81"/>
      <c r="D32" s="14" t="s">
        <v>32</v>
      </c>
      <c r="E32" s="24">
        <v>0.5</v>
      </c>
      <c r="F32" s="24">
        <v>0.5</v>
      </c>
      <c r="G32" s="24">
        <v>0.5</v>
      </c>
      <c r="H32" s="24">
        <v>0.5</v>
      </c>
      <c r="I32" s="24">
        <v>0.5</v>
      </c>
      <c r="J32" s="24"/>
      <c r="K32" s="24">
        <v>0.5</v>
      </c>
      <c r="L32" s="24">
        <v>0.5</v>
      </c>
      <c r="M32" s="24">
        <v>0.5</v>
      </c>
      <c r="N32" s="24">
        <v>0.5</v>
      </c>
      <c r="O32" s="24">
        <v>0.5</v>
      </c>
      <c r="P32" s="24"/>
      <c r="Q32" s="24">
        <v>0.5</v>
      </c>
      <c r="R32" s="24">
        <v>0.5</v>
      </c>
      <c r="S32" s="24">
        <v>0.5</v>
      </c>
      <c r="T32" s="24">
        <v>0.5</v>
      </c>
      <c r="U32" s="24">
        <v>0.5</v>
      </c>
    </row>
    <row r="33" spans="2:21" x14ac:dyDescent="0.15">
      <c r="B33" s="80"/>
      <c r="C33" s="79" t="s">
        <v>2</v>
      </c>
      <c r="D33" s="14" t="str">
        <f>D31</f>
        <v>大教室</v>
      </c>
      <c r="E33" s="24">
        <v>2.5</v>
      </c>
      <c r="F33" s="24">
        <v>2.5</v>
      </c>
      <c r="G33" s="24">
        <v>2.5</v>
      </c>
      <c r="H33" s="24">
        <v>2.5</v>
      </c>
      <c r="I33" s="24">
        <v>2.5</v>
      </c>
      <c r="J33" s="24"/>
      <c r="K33" s="24">
        <v>2.5</v>
      </c>
      <c r="L33" s="24">
        <v>2.5</v>
      </c>
      <c r="M33" s="24">
        <v>2.5</v>
      </c>
      <c r="N33" s="24">
        <v>2.5</v>
      </c>
      <c r="O33" s="24">
        <v>2.5</v>
      </c>
      <c r="P33" s="24"/>
      <c r="Q33" s="24">
        <v>2.5</v>
      </c>
      <c r="R33" s="24">
        <v>2.5</v>
      </c>
      <c r="S33" s="24">
        <v>2.5</v>
      </c>
      <c r="T33" s="24">
        <v>2.5</v>
      </c>
      <c r="U33" s="24">
        <v>2.5</v>
      </c>
    </row>
    <row r="34" spans="2:21" x14ac:dyDescent="0.15">
      <c r="B34" s="81"/>
      <c r="C34" s="81"/>
      <c r="D34" s="14" t="str">
        <f>D32</f>
        <v>小教室</v>
      </c>
      <c r="E34" s="24">
        <v>4</v>
      </c>
      <c r="F34" s="24">
        <v>3.5</v>
      </c>
      <c r="G34" s="24">
        <v>3.5</v>
      </c>
      <c r="H34" s="24">
        <v>4</v>
      </c>
      <c r="I34" s="24">
        <v>3.5</v>
      </c>
      <c r="J34" s="24"/>
      <c r="K34" s="24">
        <v>4</v>
      </c>
      <c r="L34" s="24">
        <v>3.5</v>
      </c>
      <c r="M34" s="24">
        <v>3.5</v>
      </c>
      <c r="N34" s="24">
        <v>4</v>
      </c>
      <c r="O34" s="24">
        <v>3.5</v>
      </c>
      <c r="P34" s="24"/>
      <c r="Q34" s="24">
        <v>4</v>
      </c>
      <c r="R34" s="24">
        <v>3.5</v>
      </c>
      <c r="S34" s="24">
        <v>3.5</v>
      </c>
      <c r="T34" s="24">
        <v>4</v>
      </c>
      <c r="U34" s="24">
        <v>3.5</v>
      </c>
    </row>
    <row r="35" spans="2:21" x14ac:dyDescent="0.15">
      <c r="B35" s="79" t="s">
        <v>43</v>
      </c>
      <c r="C35" s="79" t="s">
        <v>1</v>
      </c>
      <c r="D35" s="14" t="s">
        <v>31</v>
      </c>
      <c r="E35" s="23">
        <v>30000</v>
      </c>
      <c r="F35" s="23">
        <v>30000</v>
      </c>
      <c r="G35" s="23">
        <v>30000</v>
      </c>
      <c r="H35" s="23">
        <v>30000</v>
      </c>
      <c r="I35" s="23">
        <v>30000</v>
      </c>
      <c r="J35" s="23"/>
      <c r="K35" s="23">
        <f>E35*107%</f>
        <v>32100.000000000004</v>
      </c>
      <c r="L35" s="23">
        <f t="shared" ref="L35:L38" si="51">F35*107%</f>
        <v>32100.000000000004</v>
      </c>
      <c r="M35" s="23">
        <f t="shared" ref="M35:M38" si="52">G35*107%</f>
        <v>32100.000000000004</v>
      </c>
      <c r="N35" s="23">
        <f t="shared" ref="N35:N38" si="53">H35*107%</f>
        <v>32100.000000000004</v>
      </c>
      <c r="O35" s="23">
        <f t="shared" ref="O35:O38" si="54">I35*107%</f>
        <v>32100.000000000004</v>
      </c>
      <c r="P35" s="23"/>
      <c r="Q35" s="23">
        <f t="shared" ref="Q35:Q38" si="55">K35*107%</f>
        <v>34347.000000000007</v>
      </c>
      <c r="R35" s="23">
        <f t="shared" ref="R35:R38" si="56">L35*107%</f>
        <v>34347.000000000007</v>
      </c>
      <c r="S35" s="23">
        <f t="shared" ref="S35:S38" si="57">M35*107%</f>
        <v>34347.000000000007</v>
      </c>
      <c r="T35" s="23">
        <f t="shared" ref="T35:T38" si="58">N35*107%</f>
        <v>34347.000000000007</v>
      </c>
      <c r="U35" s="23">
        <f t="shared" ref="U35:U38" si="59">O35*107%</f>
        <v>34347.000000000007</v>
      </c>
    </row>
    <row r="36" spans="2:21" x14ac:dyDescent="0.15">
      <c r="B36" s="80"/>
      <c r="C36" s="81"/>
      <c r="D36" s="14" t="s">
        <v>32</v>
      </c>
      <c r="E36" s="23">
        <v>30000</v>
      </c>
      <c r="F36" s="23">
        <v>30000</v>
      </c>
      <c r="G36" s="23">
        <v>30000</v>
      </c>
      <c r="H36" s="23">
        <v>30000</v>
      </c>
      <c r="I36" s="23">
        <v>30000</v>
      </c>
      <c r="J36" s="23"/>
      <c r="K36" s="23">
        <f t="shared" ref="K36:K38" si="60">E36*107%</f>
        <v>32100.000000000004</v>
      </c>
      <c r="L36" s="23">
        <f t="shared" si="51"/>
        <v>32100.000000000004</v>
      </c>
      <c r="M36" s="23">
        <f t="shared" si="52"/>
        <v>32100.000000000004</v>
      </c>
      <c r="N36" s="23">
        <f t="shared" si="53"/>
        <v>32100.000000000004</v>
      </c>
      <c r="O36" s="23">
        <f t="shared" si="54"/>
        <v>32100.000000000004</v>
      </c>
      <c r="P36" s="23"/>
      <c r="Q36" s="23">
        <f t="shared" si="55"/>
        <v>34347.000000000007</v>
      </c>
      <c r="R36" s="23">
        <f t="shared" si="56"/>
        <v>34347.000000000007</v>
      </c>
      <c r="S36" s="23">
        <f t="shared" si="57"/>
        <v>34347.000000000007</v>
      </c>
      <c r="T36" s="23">
        <f t="shared" si="58"/>
        <v>34347.000000000007</v>
      </c>
      <c r="U36" s="23">
        <f t="shared" si="59"/>
        <v>34347.000000000007</v>
      </c>
    </row>
    <row r="37" spans="2:21" x14ac:dyDescent="0.15">
      <c r="B37" s="80"/>
      <c r="C37" s="79" t="s">
        <v>2</v>
      </c>
      <c r="D37" s="14" t="str">
        <f t="shared" ref="D37:D38" si="61">D35</f>
        <v>大教室</v>
      </c>
      <c r="E37" s="23">
        <v>60000</v>
      </c>
      <c r="F37" s="23">
        <v>60000</v>
      </c>
      <c r="G37" s="23">
        <v>60000</v>
      </c>
      <c r="H37" s="23">
        <v>60000</v>
      </c>
      <c r="I37" s="23">
        <v>60000</v>
      </c>
      <c r="J37" s="23"/>
      <c r="K37" s="23">
        <f t="shared" si="60"/>
        <v>64200.000000000007</v>
      </c>
      <c r="L37" s="23">
        <f t="shared" si="51"/>
        <v>64200.000000000007</v>
      </c>
      <c r="M37" s="23">
        <f t="shared" si="52"/>
        <v>64200.000000000007</v>
      </c>
      <c r="N37" s="23">
        <f t="shared" si="53"/>
        <v>64200.000000000007</v>
      </c>
      <c r="O37" s="23">
        <f t="shared" si="54"/>
        <v>64200.000000000007</v>
      </c>
      <c r="P37" s="23"/>
      <c r="Q37" s="23">
        <f t="shared" si="55"/>
        <v>68694.000000000015</v>
      </c>
      <c r="R37" s="23">
        <f t="shared" si="56"/>
        <v>68694.000000000015</v>
      </c>
      <c r="S37" s="23">
        <f t="shared" si="57"/>
        <v>68694.000000000015</v>
      </c>
      <c r="T37" s="23">
        <f t="shared" si="58"/>
        <v>68694.000000000015</v>
      </c>
      <c r="U37" s="23">
        <f t="shared" si="59"/>
        <v>68694.000000000015</v>
      </c>
    </row>
    <row r="38" spans="2:21" x14ac:dyDescent="0.15">
      <c r="B38" s="81"/>
      <c r="C38" s="81"/>
      <c r="D38" s="14" t="str">
        <f t="shared" si="61"/>
        <v>小教室</v>
      </c>
      <c r="E38" s="23">
        <v>60000</v>
      </c>
      <c r="F38" s="23">
        <v>60000</v>
      </c>
      <c r="G38" s="23">
        <v>60000</v>
      </c>
      <c r="H38" s="23">
        <v>60000</v>
      </c>
      <c r="I38" s="23">
        <v>60000</v>
      </c>
      <c r="J38" s="23"/>
      <c r="K38" s="23">
        <f t="shared" si="60"/>
        <v>64200.000000000007</v>
      </c>
      <c r="L38" s="23">
        <f t="shared" si="51"/>
        <v>64200.000000000007</v>
      </c>
      <c r="M38" s="23">
        <f t="shared" si="52"/>
        <v>64200.000000000007</v>
      </c>
      <c r="N38" s="23">
        <f t="shared" si="53"/>
        <v>64200.000000000007</v>
      </c>
      <c r="O38" s="23">
        <f t="shared" si="54"/>
        <v>64200.000000000007</v>
      </c>
      <c r="P38" s="23"/>
      <c r="Q38" s="23">
        <f t="shared" si="55"/>
        <v>68694.000000000015</v>
      </c>
      <c r="R38" s="23">
        <f t="shared" si="56"/>
        <v>68694.000000000015</v>
      </c>
      <c r="S38" s="23">
        <f t="shared" si="57"/>
        <v>68694.000000000015</v>
      </c>
      <c r="T38" s="23">
        <f t="shared" si="58"/>
        <v>68694.000000000015</v>
      </c>
      <c r="U38" s="23">
        <f t="shared" si="59"/>
        <v>68694.000000000015</v>
      </c>
    </row>
    <row r="39" spans="2:21" x14ac:dyDescent="0.15">
      <c r="B39" s="79" t="s">
        <v>42</v>
      </c>
      <c r="C39" s="79" t="s">
        <v>1</v>
      </c>
      <c r="D39" s="14" t="s">
        <v>31</v>
      </c>
      <c r="E39" s="23">
        <v>500</v>
      </c>
      <c r="F39" s="23">
        <v>400</v>
      </c>
      <c r="G39" s="23">
        <v>400</v>
      </c>
      <c r="H39" s="23">
        <v>500</v>
      </c>
      <c r="I39" s="23">
        <v>500</v>
      </c>
      <c r="J39" s="23"/>
      <c r="K39" s="23"/>
      <c r="L39" s="23"/>
      <c r="M39" s="23"/>
      <c r="N39" s="23"/>
      <c r="O39" s="23"/>
      <c r="P39" s="23"/>
      <c r="Q39" s="23"/>
      <c r="R39" s="23"/>
      <c r="S39" s="23"/>
      <c r="T39" s="23"/>
      <c r="U39" s="23"/>
    </row>
    <row r="40" spans="2:21" x14ac:dyDescent="0.15">
      <c r="B40" s="80"/>
      <c r="C40" s="81"/>
      <c r="D40" s="14" t="s">
        <v>32</v>
      </c>
      <c r="E40" s="23">
        <v>600</v>
      </c>
      <c r="F40" s="23">
        <v>500</v>
      </c>
      <c r="G40" s="23">
        <v>500</v>
      </c>
      <c r="H40" s="23">
        <v>600</v>
      </c>
      <c r="I40" s="23">
        <v>600</v>
      </c>
      <c r="J40" s="23"/>
      <c r="K40" s="23"/>
      <c r="L40" s="23"/>
      <c r="M40" s="23"/>
      <c r="N40" s="23"/>
      <c r="O40" s="23"/>
      <c r="P40" s="23"/>
      <c r="Q40" s="23"/>
      <c r="R40" s="23"/>
      <c r="S40" s="23"/>
      <c r="T40" s="23"/>
      <c r="U40" s="23"/>
    </row>
    <row r="41" spans="2:21" x14ac:dyDescent="0.15">
      <c r="B41" s="80"/>
      <c r="C41" s="79" t="s">
        <v>2</v>
      </c>
      <c r="D41" s="14" t="str">
        <f t="shared" ref="D41:D42" si="62">D39</f>
        <v>大教室</v>
      </c>
      <c r="E41" s="23">
        <v>800</v>
      </c>
      <c r="F41" s="23">
        <v>700</v>
      </c>
      <c r="G41" s="23">
        <v>700</v>
      </c>
      <c r="H41" s="23">
        <v>800</v>
      </c>
      <c r="I41" s="23">
        <v>800</v>
      </c>
      <c r="J41" s="23"/>
      <c r="K41" s="23"/>
      <c r="L41" s="23"/>
      <c r="M41" s="23"/>
      <c r="N41" s="23"/>
      <c r="O41" s="23"/>
      <c r="P41" s="23"/>
      <c r="Q41" s="23"/>
      <c r="R41" s="23"/>
      <c r="S41" s="23"/>
      <c r="T41" s="23"/>
      <c r="U41" s="23"/>
    </row>
    <row r="42" spans="2:21" x14ac:dyDescent="0.15">
      <c r="B42" s="81"/>
      <c r="C42" s="81"/>
      <c r="D42" s="14" t="str">
        <f t="shared" si="62"/>
        <v>小教室</v>
      </c>
      <c r="E42" s="23">
        <v>1000</v>
      </c>
      <c r="F42" s="23">
        <v>800</v>
      </c>
      <c r="G42" s="23">
        <v>800</v>
      </c>
      <c r="H42" s="23">
        <v>1000</v>
      </c>
      <c r="I42" s="23">
        <v>1000</v>
      </c>
      <c r="J42" s="23"/>
      <c r="K42" s="23"/>
      <c r="L42" s="23"/>
      <c r="M42" s="23"/>
      <c r="N42" s="23"/>
      <c r="O42" s="23"/>
      <c r="P42" s="23"/>
      <c r="Q42" s="23"/>
      <c r="R42" s="23"/>
      <c r="S42" s="23"/>
      <c r="T42" s="23"/>
      <c r="U42" s="23"/>
    </row>
    <row r="43" spans="2:21" x14ac:dyDescent="0.15">
      <c r="B43" s="79" t="s">
        <v>46</v>
      </c>
      <c r="C43" s="79" t="s">
        <v>1</v>
      </c>
      <c r="D43" s="14" t="s">
        <v>31</v>
      </c>
      <c r="E43" s="23">
        <v>20000</v>
      </c>
      <c r="F43" s="23">
        <v>20000</v>
      </c>
      <c r="G43" s="23">
        <v>20000</v>
      </c>
      <c r="H43" s="23">
        <v>20000</v>
      </c>
      <c r="I43" s="23">
        <v>20000</v>
      </c>
      <c r="J43" s="23"/>
      <c r="K43" s="23">
        <v>1000</v>
      </c>
      <c r="L43" s="23">
        <v>1000</v>
      </c>
      <c r="M43" s="23">
        <v>1000</v>
      </c>
      <c r="N43" s="23">
        <v>1000</v>
      </c>
      <c r="O43" s="23">
        <v>1000</v>
      </c>
      <c r="P43" s="23"/>
      <c r="Q43" s="23">
        <v>1000</v>
      </c>
      <c r="R43" s="23">
        <v>1000</v>
      </c>
      <c r="S43" s="23">
        <v>1000</v>
      </c>
      <c r="T43" s="23">
        <v>1000</v>
      </c>
      <c r="U43" s="23">
        <v>1000</v>
      </c>
    </row>
    <row r="44" spans="2:21" x14ac:dyDescent="0.15">
      <c r="B44" s="80"/>
      <c r="C44" s="81"/>
      <c r="D44" s="14" t="s">
        <v>32</v>
      </c>
      <c r="E44" s="23">
        <v>10000</v>
      </c>
      <c r="F44" s="23">
        <v>10000</v>
      </c>
      <c r="G44" s="23">
        <v>10000</v>
      </c>
      <c r="H44" s="23">
        <v>10000</v>
      </c>
      <c r="I44" s="23">
        <v>10000</v>
      </c>
      <c r="J44" s="23"/>
      <c r="K44" s="23">
        <v>500</v>
      </c>
      <c r="L44" s="23">
        <v>500</v>
      </c>
      <c r="M44" s="23">
        <v>500</v>
      </c>
      <c r="N44" s="23">
        <v>500</v>
      </c>
      <c r="O44" s="23">
        <v>500</v>
      </c>
      <c r="P44" s="23"/>
      <c r="Q44" s="23">
        <v>500</v>
      </c>
      <c r="R44" s="23">
        <v>500</v>
      </c>
      <c r="S44" s="23">
        <v>500</v>
      </c>
      <c r="T44" s="23">
        <v>500</v>
      </c>
      <c r="U44" s="23">
        <v>500</v>
      </c>
    </row>
    <row r="45" spans="2:21" x14ac:dyDescent="0.15">
      <c r="B45" s="80"/>
      <c r="C45" s="79" t="s">
        <v>2</v>
      </c>
      <c r="D45" s="14" t="str">
        <f t="shared" ref="D45:D46" si="63">D43</f>
        <v>大教室</v>
      </c>
      <c r="E45" s="23">
        <v>30000</v>
      </c>
      <c r="F45" s="23">
        <v>30000</v>
      </c>
      <c r="G45" s="23">
        <v>30000</v>
      </c>
      <c r="H45" s="23">
        <v>30000</v>
      </c>
      <c r="I45" s="23">
        <v>30000</v>
      </c>
      <c r="J45" s="23"/>
      <c r="K45" s="23">
        <v>3000</v>
      </c>
      <c r="L45" s="23">
        <v>3000</v>
      </c>
      <c r="M45" s="23">
        <v>3000</v>
      </c>
      <c r="N45" s="23">
        <v>3000</v>
      </c>
      <c r="O45" s="23">
        <v>3000</v>
      </c>
      <c r="P45" s="23"/>
      <c r="Q45" s="23">
        <v>3000</v>
      </c>
      <c r="R45" s="23">
        <v>3000</v>
      </c>
      <c r="S45" s="23">
        <v>3000</v>
      </c>
      <c r="T45" s="23">
        <v>3000</v>
      </c>
      <c r="U45" s="23">
        <v>3000</v>
      </c>
    </row>
    <row r="46" spans="2:21" x14ac:dyDescent="0.15">
      <c r="B46" s="81"/>
      <c r="C46" s="81"/>
      <c r="D46" s="14" t="str">
        <f t="shared" si="63"/>
        <v>小教室</v>
      </c>
      <c r="E46" s="23">
        <v>20000</v>
      </c>
      <c r="F46" s="23">
        <v>20000</v>
      </c>
      <c r="G46" s="23">
        <v>20000</v>
      </c>
      <c r="H46" s="23">
        <v>20000</v>
      </c>
      <c r="I46" s="23">
        <v>20000</v>
      </c>
      <c r="J46" s="23"/>
      <c r="K46" s="23">
        <v>1000</v>
      </c>
      <c r="L46" s="23">
        <v>1000</v>
      </c>
      <c r="M46" s="23">
        <v>1000</v>
      </c>
      <c r="N46" s="23">
        <v>1000</v>
      </c>
      <c r="O46" s="23">
        <v>1000</v>
      </c>
      <c r="P46" s="23"/>
      <c r="Q46" s="23">
        <v>1000</v>
      </c>
      <c r="R46" s="23">
        <v>1000</v>
      </c>
      <c r="S46" s="23">
        <v>1000</v>
      </c>
      <c r="T46" s="23">
        <v>1000</v>
      </c>
      <c r="U46" s="23">
        <v>1000</v>
      </c>
    </row>
    <row r="47" spans="2:21" x14ac:dyDescent="0.15">
      <c r="B47" s="82" t="s">
        <v>47</v>
      </c>
      <c r="C47" s="79" t="s">
        <v>1</v>
      </c>
      <c r="D47" s="14" t="s">
        <v>31</v>
      </c>
      <c r="E47" s="23">
        <v>2000</v>
      </c>
      <c r="F47" s="23">
        <v>2000</v>
      </c>
      <c r="G47" s="23">
        <v>2000</v>
      </c>
      <c r="H47" s="23">
        <v>2000</v>
      </c>
      <c r="I47" s="23">
        <v>2000</v>
      </c>
      <c r="J47" s="23"/>
      <c r="K47" s="23">
        <v>500</v>
      </c>
      <c r="L47" s="23">
        <v>500</v>
      </c>
      <c r="M47" s="23">
        <v>500</v>
      </c>
      <c r="N47" s="23">
        <v>500</v>
      </c>
      <c r="O47" s="23">
        <v>500</v>
      </c>
      <c r="P47" s="23"/>
      <c r="Q47" s="23">
        <v>500</v>
      </c>
      <c r="R47" s="23">
        <v>500</v>
      </c>
      <c r="S47" s="23">
        <v>500</v>
      </c>
      <c r="T47" s="23">
        <v>500</v>
      </c>
      <c r="U47" s="23">
        <v>500</v>
      </c>
    </row>
    <row r="48" spans="2:21" x14ac:dyDescent="0.15">
      <c r="B48" s="83"/>
      <c r="C48" s="81"/>
      <c r="D48" s="14" t="s">
        <v>32</v>
      </c>
      <c r="E48" s="23">
        <v>4000</v>
      </c>
      <c r="F48" s="23">
        <v>4000</v>
      </c>
      <c r="G48" s="23">
        <v>4000</v>
      </c>
      <c r="H48" s="23">
        <v>4000</v>
      </c>
      <c r="I48" s="23">
        <v>4000</v>
      </c>
      <c r="J48" s="23"/>
      <c r="K48" s="23">
        <v>1000</v>
      </c>
      <c r="L48" s="23">
        <v>1000</v>
      </c>
      <c r="M48" s="23">
        <v>1000</v>
      </c>
      <c r="N48" s="23">
        <v>1000</v>
      </c>
      <c r="O48" s="23">
        <v>1000</v>
      </c>
      <c r="P48" s="23"/>
      <c r="Q48" s="23">
        <v>1000</v>
      </c>
      <c r="R48" s="23">
        <v>1000</v>
      </c>
      <c r="S48" s="23">
        <v>1000</v>
      </c>
      <c r="T48" s="23">
        <v>1000</v>
      </c>
      <c r="U48" s="23">
        <v>1000</v>
      </c>
    </row>
    <row r="49" spans="2:21" x14ac:dyDescent="0.15">
      <c r="B49" s="83"/>
      <c r="C49" s="79" t="s">
        <v>2</v>
      </c>
      <c r="D49" s="14" t="str">
        <f t="shared" ref="D49:D50" si="64">D47</f>
        <v>大教室</v>
      </c>
      <c r="E49" s="23">
        <v>4000</v>
      </c>
      <c r="F49" s="23">
        <v>4000</v>
      </c>
      <c r="G49" s="23">
        <v>4000</v>
      </c>
      <c r="H49" s="23">
        <v>4000</v>
      </c>
      <c r="I49" s="23">
        <v>4000</v>
      </c>
      <c r="J49" s="23"/>
      <c r="K49" s="23">
        <v>1000</v>
      </c>
      <c r="L49" s="23">
        <v>1000</v>
      </c>
      <c r="M49" s="23">
        <v>1000</v>
      </c>
      <c r="N49" s="23">
        <v>1000</v>
      </c>
      <c r="O49" s="23">
        <v>1000</v>
      </c>
      <c r="P49" s="23"/>
      <c r="Q49" s="23">
        <v>1000</v>
      </c>
      <c r="R49" s="23">
        <v>1000</v>
      </c>
      <c r="S49" s="23">
        <v>1000</v>
      </c>
      <c r="T49" s="23">
        <v>1000</v>
      </c>
      <c r="U49" s="23">
        <v>1000</v>
      </c>
    </row>
    <row r="50" spans="2:21" x14ac:dyDescent="0.15">
      <c r="B50" s="84"/>
      <c r="C50" s="81"/>
      <c r="D50" s="14" t="str">
        <f t="shared" si="64"/>
        <v>小教室</v>
      </c>
      <c r="E50" s="23">
        <v>6000</v>
      </c>
      <c r="F50" s="23">
        <v>6000</v>
      </c>
      <c r="G50" s="23">
        <v>6000</v>
      </c>
      <c r="H50" s="23">
        <v>6000</v>
      </c>
      <c r="I50" s="23">
        <v>6000</v>
      </c>
      <c r="J50" s="23"/>
      <c r="K50" s="23">
        <v>1500</v>
      </c>
      <c r="L50" s="23">
        <v>1500</v>
      </c>
      <c r="M50" s="23">
        <v>1500</v>
      </c>
      <c r="N50" s="23">
        <v>1500</v>
      </c>
      <c r="O50" s="23">
        <v>1500</v>
      </c>
      <c r="P50" s="23"/>
      <c r="Q50" s="23">
        <v>1500</v>
      </c>
      <c r="R50" s="23">
        <v>1500</v>
      </c>
      <c r="S50" s="23">
        <v>1500</v>
      </c>
      <c r="T50" s="23">
        <v>1500</v>
      </c>
      <c r="U50" s="23">
        <v>1500</v>
      </c>
    </row>
    <row r="51" spans="2:21" x14ac:dyDescent="0.15">
      <c r="B51" s="82" t="s">
        <v>60</v>
      </c>
      <c r="C51" s="79" t="s">
        <v>1</v>
      </c>
      <c r="D51" s="25" t="s">
        <v>31</v>
      </c>
      <c r="E51" s="23">
        <v>500</v>
      </c>
      <c r="F51" s="23">
        <v>500</v>
      </c>
      <c r="G51" s="23">
        <v>500</v>
      </c>
      <c r="H51" s="23">
        <v>500</v>
      </c>
      <c r="I51" s="23">
        <v>500</v>
      </c>
      <c r="J51" s="23"/>
      <c r="K51" s="23">
        <f>E51+50</f>
        <v>550</v>
      </c>
      <c r="L51" s="23">
        <f t="shared" ref="L51:L54" si="65">F51+50</f>
        <v>550</v>
      </c>
      <c r="M51" s="23">
        <f t="shared" ref="M51:M54" si="66">G51+50</f>
        <v>550</v>
      </c>
      <c r="N51" s="23">
        <f t="shared" ref="N51:N54" si="67">H51+50</f>
        <v>550</v>
      </c>
      <c r="O51" s="23">
        <f t="shared" ref="O51:O54" si="68">I51+50</f>
        <v>550</v>
      </c>
      <c r="P51" s="23"/>
      <c r="Q51" s="23">
        <f t="shared" ref="Q51:Q54" si="69">K51+50</f>
        <v>600</v>
      </c>
      <c r="R51" s="23">
        <f t="shared" ref="R51:R54" si="70">L51+50</f>
        <v>600</v>
      </c>
      <c r="S51" s="23">
        <f t="shared" ref="S51:S54" si="71">M51+50</f>
        <v>600</v>
      </c>
      <c r="T51" s="23">
        <f t="shared" ref="T51:T54" si="72">N51+50</f>
        <v>600</v>
      </c>
      <c r="U51" s="23">
        <f t="shared" ref="U51:U54" si="73">O51+50</f>
        <v>600</v>
      </c>
    </row>
    <row r="52" spans="2:21" x14ac:dyDescent="0.15">
      <c r="B52" s="83"/>
      <c r="C52" s="81"/>
      <c r="D52" s="25" t="s">
        <v>32</v>
      </c>
      <c r="E52" s="23">
        <v>400</v>
      </c>
      <c r="F52" s="23">
        <v>400</v>
      </c>
      <c r="G52" s="23">
        <v>400</v>
      </c>
      <c r="H52" s="23">
        <v>400</v>
      </c>
      <c r="I52" s="23">
        <v>400</v>
      </c>
      <c r="J52" s="23"/>
      <c r="K52" s="23">
        <f t="shared" ref="K52:K54" si="74">E52+50</f>
        <v>450</v>
      </c>
      <c r="L52" s="23">
        <f t="shared" si="65"/>
        <v>450</v>
      </c>
      <c r="M52" s="23">
        <f t="shared" si="66"/>
        <v>450</v>
      </c>
      <c r="N52" s="23">
        <f t="shared" si="67"/>
        <v>450</v>
      </c>
      <c r="O52" s="23">
        <f t="shared" si="68"/>
        <v>450</v>
      </c>
      <c r="P52" s="23"/>
      <c r="Q52" s="23">
        <f t="shared" si="69"/>
        <v>500</v>
      </c>
      <c r="R52" s="23">
        <f t="shared" si="70"/>
        <v>500</v>
      </c>
      <c r="S52" s="23">
        <f t="shared" si="71"/>
        <v>500</v>
      </c>
      <c r="T52" s="23">
        <f t="shared" si="72"/>
        <v>500</v>
      </c>
      <c r="U52" s="23">
        <f t="shared" si="73"/>
        <v>500</v>
      </c>
    </row>
    <row r="53" spans="2:21" x14ac:dyDescent="0.15">
      <c r="B53" s="83"/>
      <c r="C53" s="79" t="s">
        <v>2</v>
      </c>
      <c r="D53" s="25" t="str">
        <f t="shared" ref="D53:D54" si="75">D51</f>
        <v>大教室</v>
      </c>
      <c r="E53" s="23">
        <v>800</v>
      </c>
      <c r="F53" s="23">
        <v>800</v>
      </c>
      <c r="G53" s="23">
        <v>800</v>
      </c>
      <c r="H53" s="23">
        <v>800</v>
      </c>
      <c r="I53" s="23">
        <v>800</v>
      </c>
      <c r="J53" s="23"/>
      <c r="K53" s="23">
        <f t="shared" si="74"/>
        <v>850</v>
      </c>
      <c r="L53" s="23">
        <f t="shared" si="65"/>
        <v>850</v>
      </c>
      <c r="M53" s="23">
        <f t="shared" si="66"/>
        <v>850</v>
      </c>
      <c r="N53" s="23">
        <f t="shared" si="67"/>
        <v>850</v>
      </c>
      <c r="O53" s="23">
        <f t="shared" si="68"/>
        <v>850</v>
      </c>
      <c r="P53" s="23"/>
      <c r="Q53" s="23">
        <f t="shared" si="69"/>
        <v>900</v>
      </c>
      <c r="R53" s="23">
        <f t="shared" si="70"/>
        <v>900</v>
      </c>
      <c r="S53" s="23">
        <f t="shared" si="71"/>
        <v>900</v>
      </c>
      <c r="T53" s="23">
        <f t="shared" si="72"/>
        <v>900</v>
      </c>
      <c r="U53" s="23">
        <f t="shared" si="73"/>
        <v>900</v>
      </c>
    </row>
    <row r="54" spans="2:21" x14ac:dyDescent="0.15">
      <c r="B54" s="84"/>
      <c r="C54" s="81"/>
      <c r="D54" s="25" t="str">
        <f t="shared" si="75"/>
        <v>小教室</v>
      </c>
      <c r="E54" s="23">
        <v>600</v>
      </c>
      <c r="F54" s="23">
        <v>600</v>
      </c>
      <c r="G54" s="23">
        <v>600</v>
      </c>
      <c r="H54" s="23">
        <v>600</v>
      </c>
      <c r="I54" s="23">
        <v>600</v>
      </c>
      <c r="J54" s="23"/>
      <c r="K54" s="23">
        <f t="shared" si="74"/>
        <v>650</v>
      </c>
      <c r="L54" s="23">
        <f t="shared" si="65"/>
        <v>650</v>
      </c>
      <c r="M54" s="23">
        <f t="shared" si="66"/>
        <v>650</v>
      </c>
      <c r="N54" s="23">
        <f t="shared" si="67"/>
        <v>650</v>
      </c>
      <c r="O54" s="23">
        <f t="shared" si="68"/>
        <v>650</v>
      </c>
      <c r="P54" s="23"/>
      <c r="Q54" s="23">
        <f t="shared" si="69"/>
        <v>700</v>
      </c>
      <c r="R54" s="23">
        <f t="shared" si="70"/>
        <v>700</v>
      </c>
      <c r="S54" s="23">
        <f t="shared" si="71"/>
        <v>700</v>
      </c>
      <c r="T54" s="23">
        <f t="shared" si="72"/>
        <v>700</v>
      </c>
      <c r="U54" s="23">
        <f t="shared" si="73"/>
        <v>700</v>
      </c>
    </row>
    <row r="55" spans="2:21" x14ac:dyDescent="0.15">
      <c r="B55" s="79" t="s">
        <v>55</v>
      </c>
      <c r="C55" s="79" t="s">
        <v>1</v>
      </c>
      <c r="D55" s="14" t="s">
        <v>31</v>
      </c>
      <c r="E55" s="12">
        <f t="shared" ref="E55:I58" si="76">K55+1%</f>
        <v>0.17</v>
      </c>
      <c r="F55" s="12">
        <f t="shared" si="76"/>
        <v>0.17</v>
      </c>
      <c r="G55" s="12">
        <f t="shared" si="76"/>
        <v>0.17</v>
      </c>
      <c r="H55" s="12">
        <f t="shared" si="76"/>
        <v>0.17</v>
      </c>
      <c r="I55" s="12">
        <f t="shared" si="76"/>
        <v>0.17</v>
      </c>
      <c r="J55" s="9"/>
      <c r="K55" s="12">
        <f t="shared" ref="K55:O58" si="77">Q55+1%</f>
        <v>0.16</v>
      </c>
      <c r="L55" s="12">
        <f t="shared" si="77"/>
        <v>0.16</v>
      </c>
      <c r="M55" s="12">
        <f t="shared" si="77"/>
        <v>0.16</v>
      </c>
      <c r="N55" s="12">
        <f t="shared" si="77"/>
        <v>0.16</v>
      </c>
      <c r="O55" s="12">
        <f t="shared" si="77"/>
        <v>0.16</v>
      </c>
      <c r="P55" s="9"/>
      <c r="Q55" s="9">
        <v>0.15</v>
      </c>
      <c r="R55" s="9">
        <v>0.15</v>
      </c>
      <c r="S55" s="9">
        <v>0.15</v>
      </c>
      <c r="T55" s="9">
        <v>0.15</v>
      </c>
      <c r="U55" s="9">
        <v>0.15</v>
      </c>
    </row>
    <row r="56" spans="2:21" x14ac:dyDescent="0.15">
      <c r="B56" s="80"/>
      <c r="C56" s="81"/>
      <c r="D56" s="14" t="s">
        <v>32</v>
      </c>
      <c r="E56" s="12">
        <f t="shared" si="76"/>
        <v>0.22000000000000003</v>
      </c>
      <c r="F56" s="12">
        <f t="shared" si="76"/>
        <v>0.22000000000000003</v>
      </c>
      <c r="G56" s="12">
        <f t="shared" si="76"/>
        <v>0.22000000000000003</v>
      </c>
      <c r="H56" s="12">
        <f t="shared" si="76"/>
        <v>0.22000000000000003</v>
      </c>
      <c r="I56" s="12">
        <f t="shared" si="76"/>
        <v>0.22000000000000003</v>
      </c>
      <c r="J56" s="9"/>
      <c r="K56" s="12">
        <f t="shared" si="77"/>
        <v>0.21000000000000002</v>
      </c>
      <c r="L56" s="12">
        <f t="shared" si="77"/>
        <v>0.21000000000000002</v>
      </c>
      <c r="M56" s="12">
        <f t="shared" si="77"/>
        <v>0.21000000000000002</v>
      </c>
      <c r="N56" s="12">
        <f t="shared" si="77"/>
        <v>0.21000000000000002</v>
      </c>
      <c r="O56" s="12">
        <f t="shared" si="77"/>
        <v>0.21000000000000002</v>
      </c>
      <c r="P56" s="9"/>
      <c r="Q56" s="9">
        <v>0.2</v>
      </c>
      <c r="R56" s="9">
        <v>0.2</v>
      </c>
      <c r="S56" s="9">
        <v>0.2</v>
      </c>
      <c r="T56" s="9">
        <v>0.2</v>
      </c>
      <c r="U56" s="9">
        <v>0.2</v>
      </c>
    </row>
    <row r="57" spans="2:21" x14ac:dyDescent="0.15">
      <c r="B57" s="80"/>
      <c r="C57" s="79" t="s">
        <v>2</v>
      </c>
      <c r="D57" s="14" t="str">
        <f t="shared" ref="D57:D58" si="78">D55</f>
        <v>大教室</v>
      </c>
      <c r="E57" s="12">
        <f t="shared" si="76"/>
        <v>0.22000000000000003</v>
      </c>
      <c r="F57" s="12">
        <f t="shared" si="76"/>
        <v>0.22000000000000003</v>
      </c>
      <c r="G57" s="12">
        <f t="shared" si="76"/>
        <v>0.22000000000000003</v>
      </c>
      <c r="H57" s="12">
        <f t="shared" si="76"/>
        <v>0.22000000000000003</v>
      </c>
      <c r="I57" s="12">
        <f t="shared" si="76"/>
        <v>0.22000000000000003</v>
      </c>
      <c r="J57" s="9"/>
      <c r="K57" s="12">
        <f t="shared" si="77"/>
        <v>0.21000000000000002</v>
      </c>
      <c r="L57" s="12">
        <f t="shared" si="77"/>
        <v>0.21000000000000002</v>
      </c>
      <c r="M57" s="12">
        <f t="shared" si="77"/>
        <v>0.21000000000000002</v>
      </c>
      <c r="N57" s="12">
        <f t="shared" si="77"/>
        <v>0.21000000000000002</v>
      </c>
      <c r="O57" s="12">
        <f t="shared" si="77"/>
        <v>0.21000000000000002</v>
      </c>
      <c r="P57" s="9"/>
      <c r="Q57" s="9">
        <v>0.2</v>
      </c>
      <c r="R57" s="9">
        <v>0.2</v>
      </c>
      <c r="S57" s="9">
        <v>0.2</v>
      </c>
      <c r="T57" s="9">
        <v>0.2</v>
      </c>
      <c r="U57" s="9">
        <v>0.2</v>
      </c>
    </row>
    <row r="58" spans="2:21" x14ac:dyDescent="0.15">
      <c r="B58" s="81"/>
      <c r="C58" s="81"/>
      <c r="D58" s="14" t="str">
        <f t="shared" si="78"/>
        <v>小教室</v>
      </c>
      <c r="E58" s="12">
        <f t="shared" si="76"/>
        <v>0.27</v>
      </c>
      <c r="F58" s="12">
        <f t="shared" si="76"/>
        <v>0.27</v>
      </c>
      <c r="G58" s="12">
        <f t="shared" si="76"/>
        <v>0.27</v>
      </c>
      <c r="H58" s="12">
        <f t="shared" si="76"/>
        <v>0.27</v>
      </c>
      <c r="I58" s="12">
        <f t="shared" si="76"/>
        <v>0.27</v>
      </c>
      <c r="J58" s="9"/>
      <c r="K58" s="12">
        <f t="shared" si="77"/>
        <v>0.26</v>
      </c>
      <c r="L58" s="12">
        <f t="shared" si="77"/>
        <v>0.26</v>
      </c>
      <c r="M58" s="12">
        <f t="shared" si="77"/>
        <v>0.26</v>
      </c>
      <c r="N58" s="12">
        <f t="shared" si="77"/>
        <v>0.26</v>
      </c>
      <c r="O58" s="12">
        <f t="shared" si="77"/>
        <v>0.26</v>
      </c>
      <c r="P58" s="9"/>
      <c r="Q58" s="9">
        <v>0.25</v>
      </c>
      <c r="R58" s="9">
        <v>0.25</v>
      </c>
      <c r="S58" s="9">
        <v>0.25</v>
      </c>
      <c r="T58" s="9">
        <v>0.25</v>
      </c>
      <c r="U58" s="9">
        <v>0.25</v>
      </c>
    </row>
    <row r="59" spans="2:21" x14ac:dyDescent="0.15">
      <c r="B59" s="79" t="s">
        <v>56</v>
      </c>
      <c r="C59" s="79" t="s">
        <v>1</v>
      </c>
      <c r="D59" s="14" t="s">
        <v>31</v>
      </c>
      <c r="E59" s="12">
        <f t="shared" ref="E59:H62" si="79">K59+0.5%</f>
        <v>0.02</v>
      </c>
      <c r="F59" s="12">
        <f t="shared" si="79"/>
        <v>0.02</v>
      </c>
      <c r="G59" s="12">
        <f t="shared" si="79"/>
        <v>0.02</v>
      </c>
      <c r="H59" s="12">
        <f t="shared" si="79"/>
        <v>0.02</v>
      </c>
      <c r="I59" s="28">
        <v>0</v>
      </c>
      <c r="J59" s="9"/>
      <c r="K59" s="12">
        <f t="shared" ref="K59:N62" si="80">Q59+0.5%</f>
        <v>1.4999999999999999E-2</v>
      </c>
      <c r="L59" s="12">
        <f t="shared" si="80"/>
        <v>1.4999999999999999E-2</v>
      </c>
      <c r="M59" s="12">
        <f t="shared" si="80"/>
        <v>1.4999999999999999E-2</v>
      </c>
      <c r="N59" s="12">
        <f t="shared" si="80"/>
        <v>1.4999999999999999E-2</v>
      </c>
      <c r="O59" s="28">
        <v>0</v>
      </c>
      <c r="P59" s="9"/>
      <c r="Q59" s="28">
        <v>0.01</v>
      </c>
      <c r="R59" s="28">
        <v>0.01</v>
      </c>
      <c r="S59" s="28">
        <v>0.01</v>
      </c>
      <c r="T59" s="28">
        <v>0.01</v>
      </c>
      <c r="U59" s="28">
        <v>0</v>
      </c>
    </row>
    <row r="60" spans="2:21" x14ac:dyDescent="0.15">
      <c r="B60" s="80"/>
      <c r="C60" s="81"/>
      <c r="D60" s="14" t="s">
        <v>32</v>
      </c>
      <c r="E60" s="12">
        <f t="shared" si="79"/>
        <v>1.4999999999999999E-2</v>
      </c>
      <c r="F60" s="12">
        <f t="shared" si="79"/>
        <v>1.4999999999999999E-2</v>
      </c>
      <c r="G60" s="12">
        <f t="shared" si="79"/>
        <v>1.4999999999999999E-2</v>
      </c>
      <c r="H60" s="12">
        <f t="shared" si="79"/>
        <v>1.4999999999999999E-2</v>
      </c>
      <c r="I60" s="28">
        <v>0</v>
      </c>
      <c r="J60" s="9"/>
      <c r="K60" s="12">
        <f t="shared" si="80"/>
        <v>0.01</v>
      </c>
      <c r="L60" s="12">
        <f t="shared" si="80"/>
        <v>0.01</v>
      </c>
      <c r="M60" s="12">
        <f t="shared" si="80"/>
        <v>0.01</v>
      </c>
      <c r="N60" s="12">
        <f t="shared" si="80"/>
        <v>0.01</v>
      </c>
      <c r="O60" s="28">
        <v>0</v>
      </c>
      <c r="P60" s="9"/>
      <c r="Q60" s="28">
        <v>5.0000000000000001E-3</v>
      </c>
      <c r="R60" s="28">
        <v>5.0000000000000001E-3</v>
      </c>
      <c r="S60" s="28">
        <v>5.0000000000000001E-3</v>
      </c>
      <c r="T60" s="28">
        <v>5.0000000000000001E-3</v>
      </c>
      <c r="U60" s="28">
        <v>0</v>
      </c>
    </row>
    <row r="61" spans="2:21" x14ac:dyDescent="0.15">
      <c r="B61" s="80"/>
      <c r="C61" s="79" t="s">
        <v>2</v>
      </c>
      <c r="D61" s="14" t="str">
        <f t="shared" ref="D61:D62" si="81">D59</f>
        <v>大教室</v>
      </c>
      <c r="E61" s="12">
        <f t="shared" si="79"/>
        <v>3.0000000000000002E-2</v>
      </c>
      <c r="F61" s="12">
        <f t="shared" si="79"/>
        <v>3.0000000000000002E-2</v>
      </c>
      <c r="G61" s="12">
        <f t="shared" si="79"/>
        <v>3.0000000000000002E-2</v>
      </c>
      <c r="H61" s="12">
        <f t="shared" si="79"/>
        <v>3.0000000000000002E-2</v>
      </c>
      <c r="I61" s="28">
        <f>I59+2%</f>
        <v>0.02</v>
      </c>
      <c r="J61" s="9"/>
      <c r="K61" s="12">
        <f t="shared" si="80"/>
        <v>2.5000000000000001E-2</v>
      </c>
      <c r="L61" s="12">
        <f t="shared" si="80"/>
        <v>2.5000000000000001E-2</v>
      </c>
      <c r="M61" s="12">
        <f t="shared" si="80"/>
        <v>2.5000000000000001E-2</v>
      </c>
      <c r="N61" s="12">
        <f t="shared" si="80"/>
        <v>2.5000000000000001E-2</v>
      </c>
      <c r="O61" s="28">
        <f>O59+2%</f>
        <v>0.02</v>
      </c>
      <c r="P61" s="9"/>
      <c r="Q61" s="28">
        <f>Q59+1%</f>
        <v>0.02</v>
      </c>
      <c r="R61" s="28">
        <f t="shared" ref="R61:T62" si="82">R59+1%</f>
        <v>0.02</v>
      </c>
      <c r="S61" s="28">
        <f t="shared" si="82"/>
        <v>0.02</v>
      </c>
      <c r="T61" s="28">
        <f t="shared" si="82"/>
        <v>0.02</v>
      </c>
      <c r="U61" s="28">
        <f>U59+2%</f>
        <v>0.02</v>
      </c>
    </row>
    <row r="62" spans="2:21" x14ac:dyDescent="0.15">
      <c r="B62" s="81"/>
      <c r="C62" s="81"/>
      <c r="D62" s="14" t="str">
        <f t="shared" si="81"/>
        <v>小教室</v>
      </c>
      <c r="E62" s="12">
        <f t="shared" si="79"/>
        <v>2.5000000000000001E-2</v>
      </c>
      <c r="F62" s="12">
        <f t="shared" si="79"/>
        <v>2.5000000000000001E-2</v>
      </c>
      <c r="G62" s="12">
        <f t="shared" si="79"/>
        <v>2.5000000000000001E-2</v>
      </c>
      <c r="H62" s="12">
        <f t="shared" si="79"/>
        <v>2.5000000000000001E-2</v>
      </c>
      <c r="I62" s="28">
        <f>I60+2%</f>
        <v>0.02</v>
      </c>
      <c r="J62" s="9"/>
      <c r="K62" s="12">
        <f t="shared" si="80"/>
        <v>0.02</v>
      </c>
      <c r="L62" s="12">
        <f t="shared" si="80"/>
        <v>0.02</v>
      </c>
      <c r="M62" s="12">
        <f t="shared" si="80"/>
        <v>0.02</v>
      </c>
      <c r="N62" s="12">
        <f t="shared" si="80"/>
        <v>0.02</v>
      </c>
      <c r="O62" s="28">
        <f>O60+2%</f>
        <v>0.02</v>
      </c>
      <c r="P62" s="9"/>
      <c r="Q62" s="28">
        <f>Q60+1%</f>
        <v>1.4999999999999999E-2</v>
      </c>
      <c r="R62" s="28">
        <f t="shared" si="82"/>
        <v>1.4999999999999999E-2</v>
      </c>
      <c r="S62" s="28">
        <f t="shared" si="82"/>
        <v>1.4999999999999999E-2</v>
      </c>
      <c r="T62" s="28">
        <f t="shared" si="82"/>
        <v>1.4999999999999999E-2</v>
      </c>
      <c r="U62" s="28">
        <f>U60+2%</f>
        <v>0.02</v>
      </c>
    </row>
    <row r="63" spans="2:21" x14ac:dyDescent="0.15">
      <c r="B63" s="79" t="s">
        <v>57</v>
      </c>
      <c r="C63" s="79" t="s">
        <v>1</v>
      </c>
      <c r="D63" s="14" t="s">
        <v>31</v>
      </c>
      <c r="E63" s="27">
        <v>3.3300000000000003E-2</v>
      </c>
      <c r="F63" s="27">
        <v>3.3300000000000003E-2</v>
      </c>
      <c r="G63" s="27">
        <v>3.3300000000000003E-2</v>
      </c>
      <c r="H63" s="27">
        <v>3.3300000000000003E-2</v>
      </c>
      <c r="I63" s="27">
        <v>3.3300000000000003E-2</v>
      </c>
      <c r="J63" s="9"/>
      <c r="K63" s="27">
        <v>3.3300000000000003E-2</v>
      </c>
      <c r="L63" s="27">
        <v>3.3300000000000003E-2</v>
      </c>
      <c r="M63" s="27">
        <v>3.3300000000000003E-2</v>
      </c>
      <c r="N63" s="27">
        <v>3.3300000000000003E-2</v>
      </c>
      <c r="O63" s="27">
        <v>3.3300000000000003E-2</v>
      </c>
      <c r="P63" s="9"/>
      <c r="Q63" s="27">
        <v>3.3300000000000003E-2</v>
      </c>
      <c r="R63" s="27">
        <v>3.3300000000000003E-2</v>
      </c>
      <c r="S63" s="27">
        <v>3.3300000000000003E-2</v>
      </c>
      <c r="T63" s="27">
        <v>3.3300000000000003E-2</v>
      </c>
      <c r="U63" s="27">
        <v>3.3300000000000003E-2</v>
      </c>
    </row>
    <row r="64" spans="2:21" x14ac:dyDescent="0.15">
      <c r="B64" s="80"/>
      <c r="C64" s="81"/>
      <c r="D64" s="14" t="s">
        <v>32</v>
      </c>
      <c r="E64" s="27">
        <v>3.3300000000000003E-2</v>
      </c>
      <c r="F64" s="27">
        <v>3.3300000000000003E-2</v>
      </c>
      <c r="G64" s="27">
        <v>3.3300000000000003E-2</v>
      </c>
      <c r="H64" s="27">
        <v>3.3300000000000003E-2</v>
      </c>
      <c r="I64" s="27">
        <v>3.3300000000000003E-2</v>
      </c>
      <c r="J64" s="9"/>
      <c r="K64" s="27">
        <v>3.3300000000000003E-2</v>
      </c>
      <c r="L64" s="27">
        <v>3.3300000000000003E-2</v>
      </c>
      <c r="M64" s="27">
        <v>3.3300000000000003E-2</v>
      </c>
      <c r="N64" s="27">
        <v>3.3300000000000003E-2</v>
      </c>
      <c r="O64" s="27">
        <v>3.3300000000000003E-2</v>
      </c>
      <c r="P64" s="9"/>
      <c r="Q64" s="27">
        <v>3.3300000000000003E-2</v>
      </c>
      <c r="R64" s="27">
        <v>3.3300000000000003E-2</v>
      </c>
      <c r="S64" s="27">
        <v>3.3300000000000003E-2</v>
      </c>
      <c r="T64" s="27">
        <v>3.3300000000000003E-2</v>
      </c>
      <c r="U64" s="27">
        <v>3.3300000000000003E-2</v>
      </c>
    </row>
    <row r="65" spans="2:21" x14ac:dyDescent="0.15">
      <c r="B65" s="80"/>
      <c r="C65" s="79" t="s">
        <v>2</v>
      </c>
      <c r="D65" s="14" t="str">
        <f t="shared" ref="D65:D66" si="83">D63</f>
        <v>大教室</v>
      </c>
      <c r="E65" s="27">
        <v>3.5000000000000003E-2</v>
      </c>
      <c r="F65" s="27">
        <v>3.5000000000000003E-2</v>
      </c>
      <c r="G65" s="27">
        <v>3.5000000000000003E-2</v>
      </c>
      <c r="H65" s="27">
        <v>3.5000000000000003E-2</v>
      </c>
      <c r="I65" s="27">
        <v>3.5000000000000003E-2</v>
      </c>
      <c r="J65" s="9"/>
      <c r="K65" s="27">
        <v>3.5000000000000003E-2</v>
      </c>
      <c r="L65" s="27">
        <v>3.5000000000000003E-2</v>
      </c>
      <c r="M65" s="27">
        <v>3.5000000000000003E-2</v>
      </c>
      <c r="N65" s="27">
        <v>3.5000000000000003E-2</v>
      </c>
      <c r="O65" s="27">
        <v>3.5000000000000003E-2</v>
      </c>
      <c r="P65" s="9"/>
      <c r="Q65" s="27">
        <v>3.5000000000000003E-2</v>
      </c>
      <c r="R65" s="27">
        <v>3.5000000000000003E-2</v>
      </c>
      <c r="S65" s="27">
        <v>3.5000000000000003E-2</v>
      </c>
      <c r="T65" s="27">
        <v>3.5000000000000003E-2</v>
      </c>
      <c r="U65" s="27">
        <v>3.5000000000000003E-2</v>
      </c>
    </row>
    <row r="66" spans="2:21" x14ac:dyDescent="0.15">
      <c r="B66" s="81"/>
      <c r="C66" s="81"/>
      <c r="D66" s="14" t="str">
        <f t="shared" si="83"/>
        <v>小教室</v>
      </c>
      <c r="E66" s="27">
        <v>3.5000000000000003E-2</v>
      </c>
      <c r="F66" s="27">
        <v>3.5000000000000003E-2</v>
      </c>
      <c r="G66" s="27">
        <v>3.5000000000000003E-2</v>
      </c>
      <c r="H66" s="27">
        <v>3.5000000000000003E-2</v>
      </c>
      <c r="I66" s="27">
        <v>3.5000000000000003E-2</v>
      </c>
      <c r="J66" s="9"/>
      <c r="K66" s="27">
        <v>3.5000000000000003E-2</v>
      </c>
      <c r="L66" s="27">
        <v>3.5000000000000003E-2</v>
      </c>
      <c r="M66" s="27">
        <v>3.5000000000000003E-2</v>
      </c>
      <c r="N66" s="27">
        <v>3.5000000000000003E-2</v>
      </c>
      <c r="O66" s="27">
        <v>3.5000000000000003E-2</v>
      </c>
      <c r="P66" s="9"/>
      <c r="Q66" s="27">
        <v>3.5000000000000003E-2</v>
      </c>
      <c r="R66" s="27">
        <v>3.5000000000000003E-2</v>
      </c>
      <c r="S66" s="27">
        <v>3.5000000000000003E-2</v>
      </c>
      <c r="T66" s="27">
        <v>3.5000000000000003E-2</v>
      </c>
      <c r="U66" s="27">
        <v>3.5000000000000003E-2</v>
      </c>
    </row>
    <row r="67" spans="2:21" x14ac:dyDescent="0.15">
      <c r="B67" s="79" t="s">
        <v>58</v>
      </c>
      <c r="C67" s="79" t="s">
        <v>1</v>
      </c>
      <c r="D67" s="14" t="s">
        <v>31</v>
      </c>
      <c r="E67" s="12">
        <f t="shared" ref="E67:E70" si="84">K67+1%</f>
        <v>0.05</v>
      </c>
      <c r="F67" s="12">
        <f t="shared" ref="F67:F70" si="85">L67+1%</f>
        <v>0.05</v>
      </c>
      <c r="G67" s="12">
        <f t="shared" ref="G67:G70" si="86">M67+1%</f>
        <v>0.05</v>
      </c>
      <c r="H67" s="12">
        <f t="shared" ref="H67:H70" si="87">N67+1%</f>
        <v>0.05</v>
      </c>
      <c r="I67" s="12">
        <f t="shared" ref="I67:I70" si="88">O67+1%</f>
        <v>0.05</v>
      </c>
      <c r="J67" s="9"/>
      <c r="K67" s="12">
        <f>Q67+1%</f>
        <v>0.04</v>
      </c>
      <c r="L67" s="12">
        <f t="shared" ref="L67:L70" si="89">R67+1%</f>
        <v>0.04</v>
      </c>
      <c r="M67" s="12">
        <f t="shared" ref="M67:M70" si="90">S67+1%</f>
        <v>0.04</v>
      </c>
      <c r="N67" s="12">
        <f t="shared" ref="N67:N70" si="91">T67+1%</f>
        <v>0.04</v>
      </c>
      <c r="O67" s="12">
        <f t="shared" ref="O67:O70" si="92">U67+1%</f>
        <v>0.04</v>
      </c>
      <c r="P67" s="9"/>
      <c r="Q67" s="12">
        <v>0.03</v>
      </c>
      <c r="R67" s="12">
        <v>0.03</v>
      </c>
      <c r="S67" s="12">
        <v>0.03</v>
      </c>
      <c r="T67" s="12">
        <v>0.03</v>
      </c>
      <c r="U67" s="12">
        <v>0.03</v>
      </c>
    </row>
    <row r="68" spans="2:21" x14ac:dyDescent="0.15">
      <c r="B68" s="80"/>
      <c r="C68" s="81"/>
      <c r="D68" s="14" t="s">
        <v>32</v>
      </c>
      <c r="E68" s="12">
        <f t="shared" si="84"/>
        <v>0.05</v>
      </c>
      <c r="F68" s="12">
        <f t="shared" si="85"/>
        <v>0.05</v>
      </c>
      <c r="G68" s="12">
        <f t="shared" si="86"/>
        <v>0.05</v>
      </c>
      <c r="H68" s="12">
        <f t="shared" si="87"/>
        <v>0.05</v>
      </c>
      <c r="I68" s="12">
        <f t="shared" si="88"/>
        <v>0.05</v>
      </c>
      <c r="J68" s="9"/>
      <c r="K68" s="12">
        <f t="shared" ref="K68:K70" si="93">Q68+1%</f>
        <v>0.04</v>
      </c>
      <c r="L68" s="12">
        <f t="shared" si="89"/>
        <v>0.04</v>
      </c>
      <c r="M68" s="12">
        <f t="shared" si="90"/>
        <v>0.04</v>
      </c>
      <c r="N68" s="12">
        <f t="shared" si="91"/>
        <v>0.04</v>
      </c>
      <c r="O68" s="12">
        <f t="shared" si="92"/>
        <v>0.04</v>
      </c>
      <c r="P68" s="9"/>
      <c r="Q68" s="12">
        <v>0.03</v>
      </c>
      <c r="R68" s="12">
        <v>0.03</v>
      </c>
      <c r="S68" s="12">
        <v>0.03</v>
      </c>
      <c r="T68" s="12">
        <v>0.03</v>
      </c>
      <c r="U68" s="12">
        <v>0.03</v>
      </c>
    </row>
    <row r="69" spans="2:21" x14ac:dyDescent="0.15">
      <c r="B69" s="80"/>
      <c r="C69" s="79" t="s">
        <v>2</v>
      </c>
      <c r="D69" s="14" t="str">
        <f t="shared" ref="D69:D70" si="94">D67</f>
        <v>大教室</v>
      </c>
      <c r="E69" s="12">
        <f t="shared" si="84"/>
        <v>7.0000000000000007E-2</v>
      </c>
      <c r="F69" s="12">
        <f t="shared" si="85"/>
        <v>7.0000000000000007E-2</v>
      </c>
      <c r="G69" s="12">
        <f t="shared" si="86"/>
        <v>7.0000000000000007E-2</v>
      </c>
      <c r="H69" s="12">
        <f t="shared" si="87"/>
        <v>7.0000000000000007E-2</v>
      </c>
      <c r="I69" s="12">
        <f t="shared" si="88"/>
        <v>7.0000000000000007E-2</v>
      </c>
      <c r="J69" s="9"/>
      <c r="K69" s="12">
        <f t="shared" si="93"/>
        <v>6.0000000000000005E-2</v>
      </c>
      <c r="L69" s="12">
        <f t="shared" si="89"/>
        <v>6.0000000000000005E-2</v>
      </c>
      <c r="M69" s="12">
        <f t="shared" si="90"/>
        <v>6.0000000000000005E-2</v>
      </c>
      <c r="N69" s="12">
        <f t="shared" si="91"/>
        <v>6.0000000000000005E-2</v>
      </c>
      <c r="O69" s="12">
        <f t="shared" si="92"/>
        <v>6.0000000000000005E-2</v>
      </c>
      <c r="P69" s="9"/>
      <c r="Q69" s="12">
        <v>0.05</v>
      </c>
      <c r="R69" s="12">
        <v>0.05</v>
      </c>
      <c r="S69" s="12">
        <v>0.05</v>
      </c>
      <c r="T69" s="12">
        <v>0.05</v>
      </c>
      <c r="U69" s="12">
        <v>0.05</v>
      </c>
    </row>
    <row r="70" spans="2:21" x14ac:dyDescent="0.15">
      <c r="B70" s="81"/>
      <c r="C70" s="81"/>
      <c r="D70" s="14" t="str">
        <f t="shared" si="94"/>
        <v>小教室</v>
      </c>
      <c r="E70" s="12">
        <f t="shared" si="84"/>
        <v>0.09</v>
      </c>
      <c r="F70" s="12">
        <f t="shared" si="85"/>
        <v>7.0000000000000007E-2</v>
      </c>
      <c r="G70" s="12">
        <f t="shared" si="86"/>
        <v>7.0000000000000007E-2</v>
      </c>
      <c r="H70" s="12">
        <f t="shared" si="87"/>
        <v>7.0000000000000007E-2</v>
      </c>
      <c r="I70" s="12">
        <f t="shared" si="88"/>
        <v>7.0000000000000007E-2</v>
      </c>
      <c r="J70" s="9"/>
      <c r="K70" s="12">
        <f t="shared" si="93"/>
        <v>0.08</v>
      </c>
      <c r="L70" s="12">
        <f t="shared" si="89"/>
        <v>6.0000000000000005E-2</v>
      </c>
      <c r="M70" s="12">
        <f t="shared" si="90"/>
        <v>6.0000000000000005E-2</v>
      </c>
      <c r="N70" s="12">
        <f t="shared" si="91"/>
        <v>6.0000000000000005E-2</v>
      </c>
      <c r="O70" s="12">
        <f t="shared" si="92"/>
        <v>6.0000000000000005E-2</v>
      </c>
      <c r="P70" s="9"/>
      <c r="Q70" s="12">
        <v>7.0000000000000007E-2</v>
      </c>
      <c r="R70" s="12">
        <v>0.05</v>
      </c>
      <c r="S70" s="12">
        <v>0.05</v>
      </c>
      <c r="T70" s="12">
        <v>0.05</v>
      </c>
      <c r="U70" s="12">
        <v>0.05</v>
      </c>
    </row>
    <row r="71" spans="2:21" x14ac:dyDescent="0.15">
      <c r="B71" s="79" t="s">
        <v>59</v>
      </c>
      <c r="C71" s="79" t="s">
        <v>1</v>
      </c>
      <c r="D71" s="25" t="s">
        <v>31</v>
      </c>
      <c r="E71" s="12">
        <f t="shared" ref="E71:E74" si="95">K71+1%</f>
        <v>0.03</v>
      </c>
      <c r="F71" s="12">
        <f t="shared" ref="F71:F74" si="96">L71+1%</f>
        <v>0.03</v>
      </c>
      <c r="G71" s="12">
        <f t="shared" ref="G71:G74" si="97">M71+1%</f>
        <v>0.03</v>
      </c>
      <c r="H71" s="12">
        <f t="shared" ref="H71:H74" si="98">N71+1%</f>
        <v>0.03</v>
      </c>
      <c r="I71" s="12">
        <f t="shared" ref="I71:I74" si="99">O71+1%</f>
        <v>0.03</v>
      </c>
      <c r="J71" s="9"/>
      <c r="K71" s="12">
        <f>Q71+1%</f>
        <v>0.02</v>
      </c>
      <c r="L71" s="12">
        <f t="shared" ref="L71:L74" si="100">R71+1%</f>
        <v>0.02</v>
      </c>
      <c r="M71" s="12">
        <f t="shared" ref="M71:M74" si="101">S71+1%</f>
        <v>0.02</v>
      </c>
      <c r="N71" s="12">
        <f t="shared" ref="N71:N74" si="102">T71+1%</f>
        <v>0.02</v>
      </c>
      <c r="O71" s="12">
        <f t="shared" ref="O71:O74" si="103">U71+1%</f>
        <v>0.02</v>
      </c>
      <c r="P71" s="9"/>
      <c r="Q71" s="12">
        <v>0.01</v>
      </c>
      <c r="R71" s="12">
        <v>0.01</v>
      </c>
      <c r="S71" s="12">
        <v>0.01</v>
      </c>
      <c r="T71" s="12">
        <v>0.01</v>
      </c>
      <c r="U71" s="12">
        <v>0.01</v>
      </c>
    </row>
    <row r="72" spans="2:21" x14ac:dyDescent="0.15">
      <c r="B72" s="80"/>
      <c r="C72" s="81"/>
      <c r="D72" s="25" t="s">
        <v>32</v>
      </c>
      <c r="E72" s="12">
        <f t="shared" si="95"/>
        <v>0.03</v>
      </c>
      <c r="F72" s="12">
        <f t="shared" si="96"/>
        <v>0.03</v>
      </c>
      <c r="G72" s="12">
        <f t="shared" si="97"/>
        <v>0.03</v>
      </c>
      <c r="H72" s="12">
        <f t="shared" si="98"/>
        <v>0.03</v>
      </c>
      <c r="I72" s="12">
        <f t="shared" si="99"/>
        <v>0.03</v>
      </c>
      <c r="J72" s="9"/>
      <c r="K72" s="12">
        <f t="shared" ref="K72:K74" si="104">Q72+1%</f>
        <v>0.02</v>
      </c>
      <c r="L72" s="12">
        <f t="shared" si="100"/>
        <v>0.02</v>
      </c>
      <c r="M72" s="12">
        <f t="shared" si="101"/>
        <v>0.02</v>
      </c>
      <c r="N72" s="12">
        <f t="shared" si="102"/>
        <v>0.02</v>
      </c>
      <c r="O72" s="12">
        <f t="shared" si="103"/>
        <v>0.02</v>
      </c>
      <c r="P72" s="9"/>
      <c r="Q72" s="12">
        <v>0.01</v>
      </c>
      <c r="R72" s="12">
        <v>0.01</v>
      </c>
      <c r="S72" s="12">
        <v>0.01</v>
      </c>
      <c r="T72" s="12">
        <v>0.01</v>
      </c>
      <c r="U72" s="12">
        <v>0.01</v>
      </c>
    </row>
    <row r="73" spans="2:21" x14ac:dyDescent="0.15">
      <c r="B73" s="80"/>
      <c r="C73" s="79" t="s">
        <v>2</v>
      </c>
      <c r="D73" s="25" t="str">
        <f t="shared" ref="D73:D74" si="105">D71</f>
        <v>大教室</v>
      </c>
      <c r="E73" s="12">
        <f t="shared" si="95"/>
        <v>0.05</v>
      </c>
      <c r="F73" s="12">
        <f t="shared" si="96"/>
        <v>0.05</v>
      </c>
      <c r="G73" s="12">
        <f t="shared" si="97"/>
        <v>0.05</v>
      </c>
      <c r="H73" s="12">
        <f t="shared" si="98"/>
        <v>0.05</v>
      </c>
      <c r="I73" s="12">
        <f t="shared" si="99"/>
        <v>0.05</v>
      </c>
      <c r="J73" s="9"/>
      <c r="K73" s="12">
        <f t="shared" si="104"/>
        <v>0.04</v>
      </c>
      <c r="L73" s="12">
        <f t="shared" si="100"/>
        <v>0.04</v>
      </c>
      <c r="M73" s="12">
        <f t="shared" si="101"/>
        <v>0.04</v>
      </c>
      <c r="N73" s="12">
        <f t="shared" si="102"/>
        <v>0.04</v>
      </c>
      <c r="O73" s="12">
        <f t="shared" si="103"/>
        <v>0.04</v>
      </c>
      <c r="P73" s="9"/>
      <c r="Q73" s="12">
        <v>0.03</v>
      </c>
      <c r="R73" s="12">
        <v>0.03</v>
      </c>
      <c r="S73" s="12">
        <v>0.03</v>
      </c>
      <c r="T73" s="12">
        <v>0.03</v>
      </c>
      <c r="U73" s="12">
        <v>0.03</v>
      </c>
    </row>
    <row r="74" spans="2:21" x14ac:dyDescent="0.15">
      <c r="B74" s="81"/>
      <c r="C74" s="81"/>
      <c r="D74" s="25" t="str">
        <f t="shared" si="105"/>
        <v>小教室</v>
      </c>
      <c r="E74" s="12">
        <f t="shared" si="95"/>
        <v>0.05</v>
      </c>
      <c r="F74" s="12">
        <f t="shared" si="96"/>
        <v>0.05</v>
      </c>
      <c r="G74" s="12">
        <f t="shared" si="97"/>
        <v>0.05</v>
      </c>
      <c r="H74" s="12">
        <f t="shared" si="98"/>
        <v>0.05</v>
      </c>
      <c r="I74" s="12">
        <f t="shared" si="99"/>
        <v>0.05</v>
      </c>
      <c r="J74" s="9"/>
      <c r="K74" s="12">
        <f t="shared" si="104"/>
        <v>0.04</v>
      </c>
      <c r="L74" s="12">
        <f t="shared" si="100"/>
        <v>0.04</v>
      </c>
      <c r="M74" s="12">
        <f t="shared" si="101"/>
        <v>0.04</v>
      </c>
      <c r="N74" s="12">
        <f t="shared" si="102"/>
        <v>0.04</v>
      </c>
      <c r="O74" s="12">
        <f t="shared" si="103"/>
        <v>0.04</v>
      </c>
      <c r="P74" s="9"/>
      <c r="Q74" s="12">
        <v>0.03</v>
      </c>
      <c r="R74" s="12">
        <v>0.03</v>
      </c>
      <c r="S74" s="12">
        <v>0.03</v>
      </c>
      <c r="T74" s="12">
        <v>0.03</v>
      </c>
      <c r="U74" s="12">
        <v>0.03</v>
      </c>
    </row>
    <row r="75" spans="2:21" x14ac:dyDescent="0.15">
      <c r="B75" s="79" t="s">
        <v>61</v>
      </c>
      <c r="C75" s="79" t="s">
        <v>1</v>
      </c>
      <c r="D75" s="25" t="s">
        <v>31</v>
      </c>
      <c r="E75" s="12">
        <f t="shared" ref="E75:E78" si="106">K75+1%</f>
        <v>0.03</v>
      </c>
      <c r="F75" s="12">
        <f t="shared" ref="F75:F78" si="107">L75+1%</f>
        <v>0.03</v>
      </c>
      <c r="G75" s="12">
        <f t="shared" ref="G75:G78" si="108">M75+1%</f>
        <v>0.03</v>
      </c>
      <c r="H75" s="12">
        <f t="shared" ref="H75:H78" si="109">N75+1%</f>
        <v>0.03</v>
      </c>
      <c r="I75" s="12">
        <f t="shared" ref="I75:I78" si="110">O75+1%</f>
        <v>0.03</v>
      </c>
      <c r="J75" s="9"/>
      <c r="K75" s="12">
        <f>Q75+1%</f>
        <v>0.02</v>
      </c>
      <c r="L75" s="12">
        <f t="shared" ref="L75:L78" si="111">R75+1%</f>
        <v>0.02</v>
      </c>
      <c r="M75" s="12">
        <f t="shared" ref="M75:M78" si="112">S75+1%</f>
        <v>0.02</v>
      </c>
      <c r="N75" s="12">
        <f t="shared" ref="N75:N78" si="113">T75+1%</f>
        <v>0.02</v>
      </c>
      <c r="O75" s="12">
        <f t="shared" ref="O75:O78" si="114">U75+1%</f>
        <v>0.02</v>
      </c>
      <c r="P75" s="9"/>
      <c r="Q75" s="12">
        <v>0.01</v>
      </c>
      <c r="R75" s="12">
        <v>0.01</v>
      </c>
      <c r="S75" s="12">
        <v>0.01</v>
      </c>
      <c r="T75" s="12">
        <v>0.01</v>
      </c>
      <c r="U75" s="12">
        <v>0.01</v>
      </c>
    </row>
    <row r="76" spans="2:21" x14ac:dyDescent="0.15">
      <c r="B76" s="80"/>
      <c r="C76" s="81"/>
      <c r="D76" s="25" t="s">
        <v>32</v>
      </c>
      <c r="E76" s="12">
        <f t="shared" si="106"/>
        <v>0.03</v>
      </c>
      <c r="F76" s="12">
        <f t="shared" si="107"/>
        <v>0.03</v>
      </c>
      <c r="G76" s="12">
        <f t="shared" si="108"/>
        <v>0.03</v>
      </c>
      <c r="H76" s="12">
        <f t="shared" si="109"/>
        <v>0.03</v>
      </c>
      <c r="I76" s="12">
        <f t="shared" si="110"/>
        <v>0.03</v>
      </c>
      <c r="J76" s="9"/>
      <c r="K76" s="12">
        <f t="shared" ref="K76:K78" si="115">Q76+1%</f>
        <v>0.02</v>
      </c>
      <c r="L76" s="12">
        <f t="shared" si="111"/>
        <v>0.02</v>
      </c>
      <c r="M76" s="12">
        <f t="shared" si="112"/>
        <v>0.02</v>
      </c>
      <c r="N76" s="12">
        <f t="shared" si="113"/>
        <v>0.02</v>
      </c>
      <c r="O76" s="12">
        <f t="shared" si="114"/>
        <v>0.02</v>
      </c>
      <c r="P76" s="9"/>
      <c r="Q76" s="12">
        <v>0.01</v>
      </c>
      <c r="R76" s="12">
        <v>0.01</v>
      </c>
      <c r="S76" s="12">
        <v>0.01</v>
      </c>
      <c r="T76" s="12">
        <v>0.01</v>
      </c>
      <c r="U76" s="12">
        <v>0.01</v>
      </c>
    </row>
    <row r="77" spans="2:21" x14ac:dyDescent="0.15">
      <c r="B77" s="80"/>
      <c r="C77" s="79" t="s">
        <v>2</v>
      </c>
      <c r="D77" s="25" t="str">
        <f t="shared" ref="D77:D78" si="116">D75</f>
        <v>大教室</v>
      </c>
      <c r="E77" s="12">
        <f t="shared" si="106"/>
        <v>0.05</v>
      </c>
      <c r="F77" s="12">
        <f t="shared" si="107"/>
        <v>0.05</v>
      </c>
      <c r="G77" s="12">
        <f t="shared" si="108"/>
        <v>0.05</v>
      </c>
      <c r="H77" s="12">
        <f t="shared" si="109"/>
        <v>0.05</v>
      </c>
      <c r="I77" s="12">
        <f t="shared" si="110"/>
        <v>0.05</v>
      </c>
      <c r="J77" s="9"/>
      <c r="K77" s="12">
        <f t="shared" si="115"/>
        <v>0.04</v>
      </c>
      <c r="L77" s="12">
        <f t="shared" si="111"/>
        <v>0.04</v>
      </c>
      <c r="M77" s="12">
        <f t="shared" si="112"/>
        <v>0.04</v>
      </c>
      <c r="N77" s="12">
        <f t="shared" si="113"/>
        <v>0.04</v>
      </c>
      <c r="O77" s="12">
        <f t="shared" si="114"/>
        <v>0.04</v>
      </c>
      <c r="P77" s="9"/>
      <c r="Q77" s="12">
        <v>0.03</v>
      </c>
      <c r="R77" s="12">
        <v>0.03</v>
      </c>
      <c r="S77" s="12">
        <v>0.03</v>
      </c>
      <c r="T77" s="12">
        <v>0.03</v>
      </c>
      <c r="U77" s="12">
        <v>0.03</v>
      </c>
    </row>
    <row r="78" spans="2:21" x14ac:dyDescent="0.15">
      <c r="B78" s="81"/>
      <c r="C78" s="81"/>
      <c r="D78" s="25" t="str">
        <f t="shared" si="116"/>
        <v>小教室</v>
      </c>
      <c r="E78" s="12">
        <f t="shared" si="106"/>
        <v>0.05</v>
      </c>
      <c r="F78" s="12">
        <f t="shared" si="107"/>
        <v>0.05</v>
      </c>
      <c r="G78" s="12">
        <f t="shared" si="108"/>
        <v>0.05</v>
      </c>
      <c r="H78" s="12">
        <f t="shared" si="109"/>
        <v>0.05</v>
      </c>
      <c r="I78" s="12">
        <f t="shared" si="110"/>
        <v>0.05</v>
      </c>
      <c r="J78" s="9"/>
      <c r="K78" s="12">
        <f t="shared" si="115"/>
        <v>0.04</v>
      </c>
      <c r="L78" s="12">
        <f t="shared" si="111"/>
        <v>0.04</v>
      </c>
      <c r="M78" s="12">
        <f t="shared" si="112"/>
        <v>0.04</v>
      </c>
      <c r="N78" s="12">
        <f t="shared" si="113"/>
        <v>0.04</v>
      </c>
      <c r="O78" s="12">
        <f t="shared" si="114"/>
        <v>0.04</v>
      </c>
      <c r="P78" s="9"/>
      <c r="Q78" s="12">
        <v>0.03</v>
      </c>
      <c r="R78" s="12">
        <v>0.03</v>
      </c>
      <c r="S78" s="12">
        <v>0.03</v>
      </c>
      <c r="T78" s="12">
        <v>0.03</v>
      </c>
      <c r="U78" s="12">
        <v>0.03</v>
      </c>
    </row>
  </sheetData>
  <mergeCells count="57">
    <mergeCell ref="B51:B54"/>
    <mergeCell ref="C51:C52"/>
    <mergeCell ref="C53:C54"/>
    <mergeCell ref="B71:B74"/>
    <mergeCell ref="C71:C72"/>
    <mergeCell ref="C73:C74"/>
    <mergeCell ref="B55:B58"/>
    <mergeCell ref="C55:C56"/>
    <mergeCell ref="C57:C58"/>
    <mergeCell ref="B59:B62"/>
    <mergeCell ref="C59:C60"/>
    <mergeCell ref="C61:C62"/>
    <mergeCell ref="B75:B78"/>
    <mergeCell ref="C75:C76"/>
    <mergeCell ref="C77:C78"/>
    <mergeCell ref="B63:B66"/>
    <mergeCell ref="C63:C64"/>
    <mergeCell ref="C65:C66"/>
    <mergeCell ref="B67:B70"/>
    <mergeCell ref="C67:C68"/>
    <mergeCell ref="C69:C70"/>
    <mergeCell ref="B43:B46"/>
    <mergeCell ref="C43:C44"/>
    <mergeCell ref="C45:C46"/>
    <mergeCell ref="B47:B50"/>
    <mergeCell ref="C47:C48"/>
    <mergeCell ref="C49:C50"/>
    <mergeCell ref="B35:B38"/>
    <mergeCell ref="C35:C36"/>
    <mergeCell ref="C37:C38"/>
    <mergeCell ref="B39:B42"/>
    <mergeCell ref="C39:C40"/>
    <mergeCell ref="C41:C42"/>
    <mergeCell ref="B23:B26"/>
    <mergeCell ref="C23:C24"/>
    <mergeCell ref="C25:C26"/>
    <mergeCell ref="B31:B34"/>
    <mergeCell ref="C31:C32"/>
    <mergeCell ref="C33:C34"/>
    <mergeCell ref="B27:B30"/>
    <mergeCell ref="C27:C28"/>
    <mergeCell ref="C29:C30"/>
    <mergeCell ref="B15:B18"/>
    <mergeCell ref="C15:C16"/>
    <mergeCell ref="C17:C18"/>
    <mergeCell ref="B19:B22"/>
    <mergeCell ref="C19:C20"/>
    <mergeCell ref="C21:C22"/>
    <mergeCell ref="B3:B6"/>
    <mergeCell ref="B7:B10"/>
    <mergeCell ref="B11:B14"/>
    <mergeCell ref="C11:C12"/>
    <mergeCell ref="C13:C14"/>
    <mergeCell ref="C3:C4"/>
    <mergeCell ref="C5:C6"/>
    <mergeCell ref="C7:C8"/>
    <mergeCell ref="C9:C10"/>
  </mergeCells>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3:Q21"/>
  <sheetViews>
    <sheetView workbookViewId="0">
      <selection activeCell="K14" sqref="K14"/>
    </sheetView>
  </sheetViews>
  <sheetFormatPr defaultRowHeight="13.5" x14ac:dyDescent="0.15"/>
  <cols>
    <col min="3" max="3" width="11" customWidth="1"/>
    <col min="4" max="4" width="12.75" bestFit="1" customWidth="1"/>
    <col min="5" max="5" width="9.125" customWidth="1"/>
    <col min="6" max="6" width="8.75" customWidth="1"/>
    <col min="7" max="7" width="10.5" bestFit="1" customWidth="1"/>
    <col min="8" max="8" width="9.75" customWidth="1"/>
    <col min="9" max="9" width="11" customWidth="1"/>
    <col min="10" max="10" width="9" customWidth="1"/>
    <col min="11" max="11" width="8.875" customWidth="1"/>
    <col min="12" max="13" width="11.625" bestFit="1" customWidth="1"/>
    <col min="14" max="14" width="23.375" customWidth="1"/>
    <col min="15" max="15" width="12.75" bestFit="1" customWidth="1"/>
    <col min="16" max="17" width="11.625" bestFit="1" customWidth="1"/>
  </cols>
  <sheetData>
    <row r="3" spans="1:17" x14ac:dyDescent="0.15">
      <c r="A3" s="58" t="s">
        <v>158</v>
      </c>
      <c r="B3" s="58" t="s">
        <v>159</v>
      </c>
      <c r="C3" s="58" t="s">
        <v>160</v>
      </c>
      <c r="D3" s="58" t="s">
        <v>161</v>
      </c>
      <c r="E3" s="58" t="s">
        <v>162</v>
      </c>
      <c r="F3" s="58" t="s">
        <v>163</v>
      </c>
      <c r="G3" s="58" t="s">
        <v>164</v>
      </c>
      <c r="H3" s="58" t="s">
        <v>165</v>
      </c>
      <c r="I3" s="58" t="s">
        <v>166</v>
      </c>
      <c r="J3" s="58" t="s">
        <v>167</v>
      </c>
      <c r="K3" s="58" t="s">
        <v>168</v>
      </c>
      <c r="L3" s="58" t="s">
        <v>169</v>
      </c>
      <c r="M3" s="58" t="s">
        <v>170</v>
      </c>
      <c r="N3" s="58" t="s">
        <v>171</v>
      </c>
      <c r="O3" s="58" t="s">
        <v>172</v>
      </c>
      <c r="P3" s="58" t="s">
        <v>173</v>
      </c>
      <c r="Q3" s="58" t="s">
        <v>174</v>
      </c>
    </row>
    <row r="4" spans="1:17" x14ac:dyDescent="0.15">
      <c r="A4" s="59" t="s">
        <v>175</v>
      </c>
      <c r="B4" s="59">
        <v>1785000</v>
      </c>
      <c r="C4" s="60">
        <f t="shared" ref="C4:C9" si="0">B4*0.0339</f>
        <v>60511.5</v>
      </c>
      <c r="D4" s="60">
        <f t="shared" ref="D4:D9" si="1">E4+F4+G4</f>
        <v>931825</v>
      </c>
      <c r="E4" s="60">
        <f>B4*0.24</f>
        <v>428400</v>
      </c>
      <c r="F4" s="60">
        <v>494500</v>
      </c>
      <c r="G4" s="60">
        <f>B4*0.005</f>
        <v>8925</v>
      </c>
      <c r="H4" s="60">
        <f t="shared" ref="H4:H9" si="2">B4-C4-D4</f>
        <v>792663.5</v>
      </c>
      <c r="I4" s="60">
        <f>B4*0.15</f>
        <v>267750</v>
      </c>
      <c r="J4" s="60">
        <f t="shared" ref="J4:J9" si="3">B4*0.06</f>
        <v>107100</v>
      </c>
      <c r="K4" s="60">
        <f t="shared" ref="K4:K9" si="4">B4*0.03</f>
        <v>53550</v>
      </c>
      <c r="L4" s="60">
        <f>B4*0.07</f>
        <v>124950.00000000001</v>
      </c>
      <c r="M4" s="60">
        <v>72000</v>
      </c>
      <c r="N4" s="60">
        <f>B4*0.03</f>
        <v>53550</v>
      </c>
      <c r="O4" s="60">
        <f t="shared" ref="O4:O9" si="5">H4-I4-J4-K4-L4-M4-N4</f>
        <v>113763.5</v>
      </c>
      <c r="P4" s="60"/>
      <c r="Q4" s="60"/>
    </row>
    <row r="5" spans="1:17" x14ac:dyDescent="0.15">
      <c r="A5" s="59" t="s">
        <v>176</v>
      </c>
      <c r="B5" s="61">
        <v>2678000</v>
      </c>
      <c r="C5" s="62">
        <f t="shared" si="0"/>
        <v>90784.2</v>
      </c>
      <c r="D5" s="62">
        <f t="shared" si="1"/>
        <v>1276290</v>
      </c>
      <c r="E5" s="62">
        <f>B5*0.25</f>
        <v>669500</v>
      </c>
      <c r="F5" s="62">
        <f>115*430*12</f>
        <v>593400</v>
      </c>
      <c r="G5" s="60">
        <f t="shared" ref="G5:G9" si="6">B5*0.005</f>
        <v>13390</v>
      </c>
      <c r="H5" s="62">
        <f t="shared" si="2"/>
        <v>1310925.7999999998</v>
      </c>
      <c r="I5" s="62">
        <f>B5*0.16</f>
        <v>428480</v>
      </c>
      <c r="J5" s="62">
        <f t="shared" si="3"/>
        <v>160680</v>
      </c>
      <c r="K5" s="62">
        <f t="shared" si="4"/>
        <v>80340</v>
      </c>
      <c r="L5" s="62">
        <f>B5*0.07</f>
        <v>187460.00000000003</v>
      </c>
      <c r="M5" s="60">
        <v>72000</v>
      </c>
      <c r="N5" s="60">
        <f t="shared" ref="N5" si="7">B5*0.03</f>
        <v>80340</v>
      </c>
      <c r="O5" s="62">
        <f t="shared" si="5"/>
        <v>301625.79999999981</v>
      </c>
      <c r="P5" s="62">
        <f t="shared" ref="P5:P9" si="8">O5*0.25</f>
        <v>75406.449999999953</v>
      </c>
      <c r="Q5" s="62">
        <f t="shared" ref="Q5:Q9" si="9">O5-P5</f>
        <v>226219.34999999986</v>
      </c>
    </row>
    <row r="6" spans="1:17" x14ac:dyDescent="0.15">
      <c r="A6" s="59" t="s">
        <v>177</v>
      </c>
      <c r="B6" s="61">
        <v>3571000</v>
      </c>
      <c r="C6" s="62">
        <f t="shared" si="0"/>
        <v>121056.9</v>
      </c>
      <c r="D6" s="62">
        <f t="shared" si="1"/>
        <v>1533675</v>
      </c>
      <c r="E6" s="62">
        <f>B6*0.25</f>
        <v>892750</v>
      </c>
      <c r="F6" s="62">
        <f>F5*1.05</f>
        <v>623070</v>
      </c>
      <c r="G6" s="60">
        <f t="shared" si="6"/>
        <v>17855</v>
      </c>
      <c r="H6" s="62">
        <f t="shared" si="2"/>
        <v>1916268.1</v>
      </c>
      <c r="I6" s="62">
        <f>B6*0.17</f>
        <v>607070</v>
      </c>
      <c r="J6" s="62">
        <f t="shared" si="3"/>
        <v>214260</v>
      </c>
      <c r="K6" s="62">
        <f t="shared" si="4"/>
        <v>107130</v>
      </c>
      <c r="L6" s="62">
        <f>B6*0.08</f>
        <v>285680</v>
      </c>
      <c r="M6" s="60">
        <v>72000</v>
      </c>
      <c r="N6" s="60">
        <f>B6*0.025</f>
        <v>89275</v>
      </c>
      <c r="O6" s="62">
        <f t="shared" si="5"/>
        <v>540853.10000000009</v>
      </c>
      <c r="P6" s="62">
        <f t="shared" si="8"/>
        <v>135213.27500000002</v>
      </c>
      <c r="Q6" s="62">
        <f t="shared" si="9"/>
        <v>405639.82500000007</v>
      </c>
    </row>
    <row r="7" spans="1:17" x14ac:dyDescent="0.15">
      <c r="A7" s="59" t="s">
        <v>178</v>
      </c>
      <c r="B7" s="61">
        <f>B6*1.2</f>
        <v>4285200</v>
      </c>
      <c r="C7" s="62">
        <f t="shared" si="0"/>
        <v>145268.28</v>
      </c>
      <c r="D7" s="62">
        <f t="shared" si="1"/>
        <v>1758648</v>
      </c>
      <c r="E7" s="62">
        <f>B7*0.26</f>
        <v>1114152</v>
      </c>
      <c r="F7" s="62">
        <f>F5*1.05</f>
        <v>623070</v>
      </c>
      <c r="G7" s="60">
        <f t="shared" si="6"/>
        <v>21426</v>
      </c>
      <c r="H7" s="62">
        <f t="shared" si="2"/>
        <v>2381283.7200000002</v>
      </c>
      <c r="I7" s="62">
        <f>B7*0.18</f>
        <v>771336</v>
      </c>
      <c r="J7" s="62">
        <f t="shared" si="3"/>
        <v>257112</v>
      </c>
      <c r="K7" s="62">
        <f t="shared" si="4"/>
        <v>128556</v>
      </c>
      <c r="L7" s="62">
        <f>B7*0.08</f>
        <v>342816</v>
      </c>
      <c r="M7" s="60">
        <v>72000</v>
      </c>
      <c r="N7" s="60">
        <f>B7*0.02</f>
        <v>85704</v>
      </c>
      <c r="O7" s="62">
        <f t="shared" si="5"/>
        <v>723759.7200000002</v>
      </c>
      <c r="P7" s="62">
        <f t="shared" si="8"/>
        <v>180939.93000000005</v>
      </c>
      <c r="Q7" s="62">
        <f t="shared" si="9"/>
        <v>542819.79000000015</v>
      </c>
    </row>
    <row r="8" spans="1:17" x14ac:dyDescent="0.15">
      <c r="A8" s="59" t="s">
        <v>179</v>
      </c>
      <c r="B8" s="61">
        <f>B7*1.2</f>
        <v>5142240</v>
      </c>
      <c r="C8" s="62">
        <f t="shared" si="0"/>
        <v>174321.93599999999</v>
      </c>
      <c r="D8" s="62">
        <f t="shared" si="1"/>
        <v>2016917.1</v>
      </c>
      <c r="E8" s="62">
        <f>B8*0.26</f>
        <v>1336982.4000000001</v>
      </c>
      <c r="F8" s="62">
        <f>F7*1.05</f>
        <v>654223.5</v>
      </c>
      <c r="G8" s="60">
        <f t="shared" si="6"/>
        <v>25711.200000000001</v>
      </c>
      <c r="H8" s="62">
        <f t="shared" si="2"/>
        <v>2951000.9640000002</v>
      </c>
      <c r="I8" s="62">
        <f>B8*0.19</f>
        <v>977025.6</v>
      </c>
      <c r="J8" s="62">
        <f t="shared" si="3"/>
        <v>308534.39999999997</v>
      </c>
      <c r="K8" s="62">
        <f t="shared" si="4"/>
        <v>154267.19999999998</v>
      </c>
      <c r="L8" s="62">
        <f>B8*0.08</f>
        <v>411379.20000000001</v>
      </c>
      <c r="M8" s="60">
        <v>72000</v>
      </c>
      <c r="N8" s="60">
        <f>B8*0.015</f>
        <v>77133.599999999991</v>
      </c>
      <c r="O8" s="62">
        <f t="shared" si="5"/>
        <v>950660.96400000027</v>
      </c>
      <c r="P8" s="62">
        <f t="shared" si="8"/>
        <v>237665.24100000007</v>
      </c>
      <c r="Q8" s="62">
        <f t="shared" si="9"/>
        <v>712995.72300000023</v>
      </c>
    </row>
    <row r="9" spans="1:17" x14ac:dyDescent="0.15">
      <c r="A9" s="59" t="s">
        <v>180</v>
      </c>
      <c r="B9" s="61">
        <f>B8*1.1</f>
        <v>5656464</v>
      </c>
      <c r="C9" s="62">
        <f t="shared" si="0"/>
        <v>191754.12959999999</v>
      </c>
      <c r="D9" s="62">
        <f t="shared" si="1"/>
        <v>2153186.46</v>
      </c>
      <c r="E9" s="62">
        <f>B9*0.26</f>
        <v>1470680.6400000001</v>
      </c>
      <c r="F9" s="62">
        <f>F7*1.05</f>
        <v>654223.5</v>
      </c>
      <c r="G9" s="60">
        <f t="shared" si="6"/>
        <v>28282.32</v>
      </c>
      <c r="H9" s="62">
        <f t="shared" si="2"/>
        <v>3311523.4104000004</v>
      </c>
      <c r="I9" s="62">
        <f>B9*0.19</f>
        <v>1074728.1599999999</v>
      </c>
      <c r="J9" s="62">
        <f t="shared" si="3"/>
        <v>339387.83999999997</v>
      </c>
      <c r="K9" s="62">
        <f t="shared" si="4"/>
        <v>169693.91999999998</v>
      </c>
      <c r="L9" s="62">
        <f>B9*0.08</f>
        <v>452517.12</v>
      </c>
      <c r="M9" s="60">
        <v>72000</v>
      </c>
      <c r="N9" s="60">
        <f>B9*0.015</f>
        <v>84846.959999999992</v>
      </c>
      <c r="O9" s="62">
        <f t="shared" si="5"/>
        <v>1118349.4104000004</v>
      </c>
      <c r="P9" s="62">
        <f t="shared" si="8"/>
        <v>279587.3526000001</v>
      </c>
      <c r="Q9" s="62">
        <f t="shared" si="9"/>
        <v>838762.0578000003</v>
      </c>
    </row>
    <row r="10" spans="1:17" x14ac:dyDescent="0.15">
      <c r="F10" s="64">
        <f>SUM(F4:F9)</f>
        <v>3642487</v>
      </c>
    </row>
    <row r="11" spans="1:17" x14ac:dyDescent="0.15">
      <c r="B11">
        <f>(B5-B4)/B4</f>
        <v>0.50028011204481793</v>
      </c>
      <c r="C11" s="63"/>
      <c r="F11">
        <v>430</v>
      </c>
    </row>
    <row r="12" spans="1:17" x14ac:dyDescent="0.15">
      <c r="B12">
        <f>(B6-B5)/B5</f>
        <v>0.33345780433159072</v>
      </c>
      <c r="C12" s="63"/>
      <c r="F12">
        <f>F10/F11/72</f>
        <v>117.65138888888889</v>
      </c>
    </row>
    <row r="13" spans="1:17" x14ac:dyDescent="0.15">
      <c r="C13" s="63"/>
    </row>
    <row r="14" spans="1:17" x14ac:dyDescent="0.15">
      <c r="C14" s="63"/>
    </row>
    <row r="15" spans="1:17" x14ac:dyDescent="0.15">
      <c r="C15" s="63"/>
      <c r="F15">
        <v>494500</v>
      </c>
    </row>
    <row r="16" spans="1:17" x14ac:dyDescent="0.15">
      <c r="F16">
        <v>593400</v>
      </c>
    </row>
    <row r="17" spans="6:7" x14ac:dyDescent="0.15">
      <c r="F17">
        <v>593400</v>
      </c>
    </row>
    <row r="18" spans="6:7" x14ac:dyDescent="0.15">
      <c r="F18">
        <f>F17*1.04</f>
        <v>617136</v>
      </c>
    </row>
    <row r="19" spans="6:7" x14ac:dyDescent="0.15">
      <c r="F19">
        <f t="shared" ref="F19:F20" si="10">F18*1.04</f>
        <v>641821.44000000006</v>
      </c>
    </row>
    <row r="20" spans="6:7" x14ac:dyDescent="0.15">
      <c r="F20">
        <f t="shared" si="10"/>
        <v>667494.29760000005</v>
      </c>
    </row>
    <row r="21" spans="6:7" x14ac:dyDescent="0.15">
      <c r="F21">
        <f>SUM(F15:F20)</f>
        <v>3607751.7376000001</v>
      </c>
      <c r="G21" s="64">
        <f>F10-F21</f>
        <v>34735.26239999989</v>
      </c>
    </row>
  </sheetData>
  <phoneticPr fontId="1" type="noConversion"/>
  <pageMargins left="0.11811023622047245" right="0.11811023622047245" top="0.74803149606299213" bottom="0.74803149606299213" header="0.31496062992125984" footer="0.31496062992125984"/>
  <pageSetup paperSize="9" scale="8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盈利模型</vt:lpstr>
      <vt:lpstr>指标库</vt:lpstr>
      <vt:lpstr>Sheet1</vt:lpstr>
      <vt:lpstr>Sheet2</vt:lpstr>
    </vt:vector>
  </TitlesOfParts>
  <Company>xdf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汤为</dc:creator>
  <cp:lastModifiedBy>fu</cp:lastModifiedBy>
  <cp:lastPrinted>2013-07-18T10:47:35Z</cp:lastPrinted>
  <dcterms:created xsi:type="dcterms:W3CDTF">2012-12-26T02:52:18Z</dcterms:created>
  <dcterms:modified xsi:type="dcterms:W3CDTF">2016-05-07T11:53:33Z</dcterms:modified>
</cp:coreProperties>
</file>