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2fef173be5e581/Documents/Desktop/WGU/MGT2/Task 3/"/>
    </mc:Choice>
  </mc:AlternateContent>
  <xr:revisionPtr revIDLastSave="1197" documentId="8_{1AAA3C72-6D80-4313-8492-D530B751A610}" xr6:coauthVersionLast="47" xr6:coauthVersionMax="47" xr10:uidLastSave="{5D43D591-DBAC-4E51-9860-6F3CA7280B9D}"/>
  <bookViews>
    <workbookView xWindow="-108" yWindow="-108" windowWidth="23256" windowHeight="12576" activeTab="2" xr2:uid="{FF2D9AFD-D083-4E9F-8160-C807BCC087D5}"/>
  </bookViews>
  <sheets>
    <sheet name="Budget" sheetId="1" r:id="rId1"/>
    <sheet name="C1 Earned Value Analysis" sheetId="2" r:id="rId2"/>
    <sheet name="C2 Earned Value Projections" sheetId="3" r:id="rId3"/>
    <sheet name="D1 Burndown Cha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3" l="1"/>
  <c r="W14" i="3"/>
  <c r="X14" i="2"/>
  <c r="W14" i="2"/>
  <c r="T14" i="2"/>
  <c r="T14" i="3"/>
  <c r="S9" i="2"/>
  <c r="T9" i="2" s="1"/>
  <c r="S7" i="2"/>
  <c r="T7" i="2" s="1"/>
  <c r="S9" i="3"/>
  <c r="S7" i="3"/>
  <c r="T7" i="3" s="1"/>
  <c r="AB5" i="3"/>
  <c r="AB3" i="3"/>
  <c r="S11" i="3"/>
  <c r="T11" i="2"/>
  <c r="S11" i="2"/>
  <c r="T9" i="3"/>
  <c r="S5" i="3"/>
  <c r="T5" i="3" s="1"/>
  <c r="S3" i="3"/>
  <c r="T3" i="3" s="1"/>
  <c r="X5" i="2"/>
  <c r="S5" i="2"/>
  <c r="S3" i="2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Y9" i="3"/>
  <c r="Z9" i="3" s="1"/>
  <c r="Y7" i="3"/>
  <c r="Z7" i="3" s="1"/>
  <c r="Y5" i="3"/>
  <c r="Z5" i="3" s="1"/>
  <c r="Y3" i="3"/>
  <c r="Z3" i="3" s="1"/>
  <c r="P14" i="3"/>
  <c r="O14" i="3"/>
  <c r="M14" i="3"/>
  <c r="K14" i="3"/>
  <c r="H14" i="3"/>
  <c r="R11" i="3"/>
  <c r="AF11" i="3" s="1"/>
  <c r="Q11" i="3"/>
  <c r="Z11" i="3" s="1"/>
  <c r="R9" i="3"/>
  <c r="AF9" i="3" s="1"/>
  <c r="R7" i="3"/>
  <c r="AF7" i="3" s="1"/>
  <c r="R5" i="3"/>
  <c r="U5" i="3" s="1"/>
  <c r="R3" i="3"/>
  <c r="O14" i="2"/>
  <c r="T5" i="2"/>
  <c r="T3" i="2"/>
  <c r="R5" i="2"/>
  <c r="U5" i="2" s="1"/>
  <c r="R7" i="2"/>
  <c r="R9" i="2"/>
  <c r="V9" i="2" s="1"/>
  <c r="R11" i="2"/>
  <c r="R3" i="2"/>
  <c r="P14" i="2"/>
  <c r="K14" i="2"/>
  <c r="H14" i="2"/>
  <c r="Q11" i="2"/>
  <c r="Q14" i="2" s="1"/>
  <c r="M14" i="2"/>
  <c r="AE14" i="1"/>
  <c r="AB3" i="1"/>
  <c r="W14" i="1"/>
  <c r="AF11" i="1"/>
  <c r="Q14" i="3" l="1"/>
  <c r="X7" i="3"/>
  <c r="AB7" i="3" s="1"/>
  <c r="S14" i="3"/>
  <c r="X3" i="3"/>
  <c r="X5" i="3"/>
  <c r="X9" i="3"/>
  <c r="AB9" i="3" s="1"/>
  <c r="T11" i="3"/>
  <c r="W11" i="3" s="1"/>
  <c r="Y14" i="3"/>
  <c r="X7" i="2"/>
  <c r="S14" i="2"/>
  <c r="X9" i="2"/>
  <c r="R14" i="2"/>
  <c r="W7" i="2"/>
  <c r="Z14" i="3"/>
  <c r="AF3" i="3"/>
  <c r="AF5" i="3"/>
  <c r="W7" i="3"/>
  <c r="U7" i="3"/>
  <c r="V7" i="3"/>
  <c r="W9" i="3"/>
  <c r="V5" i="3"/>
  <c r="U11" i="3"/>
  <c r="R14" i="3"/>
  <c r="U3" i="3"/>
  <c r="W5" i="3"/>
  <c r="V3" i="3"/>
  <c r="U9" i="3"/>
  <c r="W3" i="3"/>
  <c r="V9" i="3"/>
  <c r="U11" i="2"/>
  <c r="W5" i="2"/>
  <c r="V7" i="2"/>
  <c r="U9" i="2"/>
  <c r="V5" i="2"/>
  <c r="X3" i="2"/>
  <c r="W3" i="2"/>
  <c r="U3" i="2"/>
  <c r="W11" i="2"/>
  <c r="U7" i="2"/>
  <c r="W9" i="2"/>
  <c r="V3" i="2"/>
  <c r="AF14" i="1"/>
  <c r="Z14" i="1"/>
  <c r="AB14" i="1"/>
  <c r="Z15" i="3" l="1"/>
  <c r="U14" i="2"/>
  <c r="V14" i="2"/>
  <c r="V14" i="3"/>
  <c r="U14" i="3"/>
</calcChain>
</file>

<file path=xl/sharedStrings.xml><?xml version="1.0" encoding="utf-8"?>
<sst xmlns="http://schemas.openxmlformats.org/spreadsheetml/2006/main" count="104" uniqueCount="66">
  <si>
    <t>MGT2_KKM1: Monitoring and Controlling Task 3 project Joette Damo</t>
  </si>
  <si>
    <t>Information - Synesthor Cloud Storage Migration Project</t>
  </si>
  <si>
    <t>Start date July 1 owners want project done by December 1</t>
  </si>
  <si>
    <t>1,664 hours</t>
  </si>
  <si>
    <t>Team Phase 1 Premigration - Sara Patel</t>
  </si>
  <si>
    <t>Team Phase 2 Storage - Sophia Miller</t>
  </si>
  <si>
    <t>Team Phase 3 Off-site cloud system -  Daniel Johnson</t>
  </si>
  <si>
    <t>Team Phase 4 Testing - Talia Phan</t>
  </si>
  <si>
    <t>TEAMS</t>
  </si>
  <si>
    <t>Labor Hours</t>
  </si>
  <si>
    <t>BAC</t>
  </si>
  <si>
    <t>$AC</t>
  </si>
  <si>
    <t>Totals</t>
  </si>
  <si>
    <t>%Complete on day 12</t>
  </si>
  <si>
    <t>Hours in a work day:</t>
  </si>
  <si>
    <t xml:space="preserve">Budgeted hours: </t>
  </si>
  <si>
    <t>Standard overhead labor rate :</t>
  </si>
  <si>
    <t xml:space="preserve">Labor costs expectation: </t>
  </si>
  <si>
    <t>EV</t>
  </si>
  <si>
    <t>PV</t>
  </si>
  <si>
    <t>CV</t>
  </si>
  <si>
    <t>CPI</t>
  </si>
  <si>
    <t>SV</t>
  </si>
  <si>
    <t>SPI</t>
  </si>
  <si>
    <t>AC Hours</t>
  </si>
  <si>
    <t>Days to complete per Gantt</t>
  </si>
  <si>
    <t>EV = Earned Value = % Complete * BAC</t>
  </si>
  <si>
    <t>CV = Cost Variance = EV - AC</t>
  </si>
  <si>
    <t>CPI = Cost Performance Index =  EV/AC</t>
  </si>
  <si>
    <t>SV = Schedule Variance = EV - PV</t>
  </si>
  <si>
    <t>SPI = Schedule Performance Index = EV/PV</t>
  </si>
  <si>
    <t>Planned%</t>
  </si>
  <si>
    <t>Planned% = days completed based upon calendar/Gantt chart totals days for phase</t>
  </si>
  <si>
    <t>PV = Planned Variance = Planned%*BAC</t>
  </si>
  <si>
    <t>EAC</t>
  </si>
  <si>
    <t>Estimate Duration = Planned Duration/SPI (From Gantt Chart)</t>
  </si>
  <si>
    <t>ETC</t>
  </si>
  <si>
    <t>ETC = Estimate to complete = ETC = EAC - AC</t>
  </si>
  <si>
    <t>Variance</t>
  </si>
  <si>
    <t>PCIB</t>
  </si>
  <si>
    <t>PCIB = Percent Complete Index Budget = PCIB = EV/BAC</t>
  </si>
  <si>
    <r>
      <t>Team Phase 4 Testing - Talia Phan</t>
    </r>
    <r>
      <rPr>
        <b/>
        <sz val="14"/>
        <color rgb="FFFF0000"/>
        <rFont val="Calibri"/>
        <family val="2"/>
        <scheme val="minor"/>
      </rPr>
      <t xml:space="preserve"> (Critical Path in Gantt Chart)</t>
    </r>
  </si>
  <si>
    <r>
      <t xml:space="preserve">Team Phase 4 Testing - Talia Phan </t>
    </r>
    <r>
      <rPr>
        <b/>
        <sz val="14"/>
        <color rgb="FFFF0000"/>
        <rFont val="Calibri"/>
        <family val="2"/>
        <scheme val="minor"/>
      </rPr>
      <t>(Critical Path in Gantt Chart)</t>
    </r>
  </si>
  <si>
    <t>EAC = Estimate at completion = EAC = BAC/CPI</t>
  </si>
  <si>
    <t>TCPI = To Complete Performance Index = TCPI = (BAC-EV)(BAC-AC)</t>
  </si>
  <si>
    <t>Team Phase 5 Migration - Omar Thomas</t>
  </si>
  <si>
    <t>EAC – Estimate at completion EAC = BAC/CPI (Use this if CPI is expected to be the same for the remainder of the project)</t>
  </si>
  <si>
    <t>This amount is currently expected to be spent by the end of the project which is an estimate.</t>
  </si>
  <si>
    <t>ETC – Estimate to complete (ETC = EAC – AC)</t>
  </si>
  <si>
    <t>This amount will determine how much will likely be spent to finish the project.</t>
  </si>
  <si>
    <t>Estimated Duration in days</t>
  </si>
  <si>
    <t>These are the estimate number of days left to complete the project.</t>
  </si>
  <si>
    <t>Estimated completion date</t>
  </si>
  <si>
    <t>These are estimated dates to complete the project based upon the Gantt Chart and calendar year of 2021.</t>
  </si>
  <si>
    <t>Days</t>
  </si>
  <si>
    <t>Ideal Burndown</t>
  </si>
  <si>
    <t>Actual Burndown</t>
  </si>
  <si>
    <t>July</t>
  </si>
  <si>
    <t>August</t>
  </si>
  <si>
    <t>Sept</t>
  </si>
  <si>
    <t>Oct</t>
  </si>
  <si>
    <t>Nov</t>
  </si>
  <si>
    <t>Estimate Duration = duration of job/SPI (From Gantt Chart)</t>
  </si>
  <si>
    <t>Original durations</t>
  </si>
  <si>
    <t xml:space="preserve">Estimated Duration </t>
  </si>
  <si>
    <t>Est Complete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</si>
</sst>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&quot;$&quot;#,##0"/>
    <numFmt numFmtId="165" formatCode="mm/dd/yy;@"/>
    <numFmt numFmtId="166" formatCode="0.0"/>
    <numFmt numFmtId="167" formatCode="0.000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FF000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/>
    <xf numFmtId="0" fontId="5" fillId="0" borderId="0" xfId="0" applyFont="1"/>
    <xf numFmtId="6" fontId="1" fillId="0" borderId="0" xfId="0" applyNumberFormat="1" applyFont="1"/>
    <xf numFmtId="0" fontId="6" fillId="0" borderId="0" xfId="0" applyFont="1"/>
    <xf numFmtId="2" fontId="0" fillId="0" borderId="0" xfId="0" applyNumberFormat="1"/>
    <xf numFmtId="1" fontId="0" fillId="0" borderId="0" xfId="0" applyNumberFormat="1"/>
    <xf numFmtId="164" fontId="6" fillId="0" borderId="0" xfId="0" applyNumberFormat="1" applyFont="1"/>
    <xf numFmtId="9" fontId="0" fillId="0" borderId="0" xfId="0" applyNumberFormat="1"/>
    <xf numFmtId="6" fontId="1" fillId="2" borderId="0" xfId="0" applyNumberFormat="1" applyFont="1" applyFill="1"/>
    <xf numFmtId="0" fontId="1" fillId="2" borderId="0" xfId="0" applyFont="1" applyFill="1"/>
    <xf numFmtId="3" fontId="6" fillId="0" borderId="0" xfId="0" applyNumberFormat="1" applyFont="1"/>
    <xf numFmtId="0" fontId="6" fillId="2" borderId="0" xfId="0" applyFont="1" applyFill="1"/>
    <xf numFmtId="0" fontId="0" fillId="2" borderId="0" xfId="0" applyFill="1"/>
    <xf numFmtId="0" fontId="0" fillId="0" borderId="0" xfId="0" applyFill="1"/>
    <xf numFmtId="6" fontId="0" fillId="0" borderId="0" xfId="0" applyNumberFormat="1" applyFill="1"/>
    <xf numFmtId="2" fontId="0" fillId="0" borderId="0" xfId="0" applyNumberFormat="1" applyFill="1"/>
    <xf numFmtId="9" fontId="6" fillId="0" borderId="0" xfId="0" applyNumberFormat="1" applyFont="1"/>
    <xf numFmtId="6" fontId="6" fillId="0" borderId="0" xfId="0" applyNumberFormat="1" applyFont="1"/>
    <xf numFmtId="2" fontId="6" fillId="0" borderId="0" xfId="0" applyNumberFormat="1" applyFont="1"/>
    <xf numFmtId="9" fontId="0" fillId="2" borderId="0" xfId="0" applyNumberFormat="1" applyFill="1"/>
    <xf numFmtId="0" fontId="3" fillId="0" borderId="0" xfId="0" applyFont="1" applyFill="1"/>
    <xf numFmtId="1" fontId="0" fillId="0" borderId="0" xfId="0" applyNumberFormat="1" applyFill="1"/>
    <xf numFmtId="9" fontId="0" fillId="0" borderId="0" xfId="0" applyNumberFormat="1" applyFill="1"/>
    <xf numFmtId="164" fontId="0" fillId="2" borderId="0" xfId="0" applyNumberFormat="1" applyFill="1"/>
    <xf numFmtId="164" fontId="6" fillId="2" borderId="0" xfId="0" applyNumberFormat="1" applyFont="1" applyFill="1"/>
    <xf numFmtId="0" fontId="2" fillId="2" borderId="0" xfId="0" applyFont="1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6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centerContinuous" vertical="justify" wrapText="1"/>
    </xf>
    <xf numFmtId="6" fontId="0" fillId="2" borderId="0" xfId="0" applyNumberFormat="1" applyFill="1"/>
    <xf numFmtId="2" fontId="0" fillId="2" borderId="0" xfId="0" applyNumberFormat="1" applyFill="1"/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10" fontId="0" fillId="2" borderId="0" xfId="0" applyNumberFormat="1" applyFill="1"/>
    <xf numFmtId="0" fontId="0" fillId="4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0" fontId="6" fillId="2" borderId="0" xfId="0" applyFont="1" applyFill="1" applyAlignment="1">
      <alignment horizontal="center" wrapText="1"/>
    </xf>
    <xf numFmtId="3" fontId="0" fillId="2" borderId="0" xfId="0" applyNumberFormat="1" applyFill="1"/>
    <xf numFmtId="6" fontId="6" fillId="2" borderId="0" xfId="0" applyNumberFormat="1" applyFont="1" applyFill="1"/>
    <xf numFmtId="6" fontId="6" fillId="0" borderId="0" xfId="0" applyNumberFormat="1" applyFont="1" applyFill="1"/>
    <xf numFmtId="6" fontId="3" fillId="0" borderId="0" xfId="0" applyNumberFormat="1" applyFont="1" applyFill="1"/>
    <xf numFmtId="2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D1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'D1 Burndown Chart'!$B$1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'D1 Burndown Chart'!$B$2:$B$87</c:f>
              <c:numCache>
                <c:formatCode>0.0</c:formatCode>
                <c:ptCount val="86"/>
                <c:pt idx="0" formatCode="General">
                  <c:v>25</c:v>
                </c:pt>
                <c:pt idx="1">
                  <c:v>24.709302325581394</c:v>
                </c:pt>
                <c:pt idx="2">
                  <c:v>24.418604651162788</c:v>
                </c:pt>
                <c:pt idx="3">
                  <c:v>24.127906976744182</c:v>
                </c:pt>
                <c:pt idx="4">
                  <c:v>23.837209302325576</c:v>
                </c:pt>
                <c:pt idx="5">
                  <c:v>23.54651162790697</c:v>
                </c:pt>
                <c:pt idx="6">
                  <c:v>23.255813953488364</c:v>
                </c:pt>
                <c:pt idx="7">
                  <c:v>22.965116279069758</c:v>
                </c:pt>
                <c:pt idx="8">
                  <c:v>22.674418604651152</c:v>
                </c:pt>
                <c:pt idx="9">
                  <c:v>22.383720930232545</c:v>
                </c:pt>
                <c:pt idx="10">
                  <c:v>22.093023255813939</c:v>
                </c:pt>
                <c:pt idx="11">
                  <c:v>21.802325581395333</c:v>
                </c:pt>
                <c:pt idx="12">
                  <c:v>21.511627906976727</c:v>
                </c:pt>
                <c:pt idx="13">
                  <c:v>21.220930232558121</c:v>
                </c:pt>
                <c:pt idx="14">
                  <c:v>20.930232558139515</c:v>
                </c:pt>
                <c:pt idx="15">
                  <c:v>20.639534883720909</c:v>
                </c:pt>
                <c:pt idx="16">
                  <c:v>20.348837209302303</c:v>
                </c:pt>
                <c:pt idx="17">
                  <c:v>20.058139534883697</c:v>
                </c:pt>
                <c:pt idx="18">
                  <c:v>19.767441860465091</c:v>
                </c:pt>
                <c:pt idx="19">
                  <c:v>19.476744186046485</c:v>
                </c:pt>
                <c:pt idx="20">
                  <c:v>19.186046511627879</c:v>
                </c:pt>
                <c:pt idx="21">
                  <c:v>18.895348837209273</c:v>
                </c:pt>
                <c:pt idx="22">
                  <c:v>18.604651162790667</c:v>
                </c:pt>
                <c:pt idx="23">
                  <c:v>18.313953488372061</c:v>
                </c:pt>
                <c:pt idx="24">
                  <c:v>18.023255813953455</c:v>
                </c:pt>
                <c:pt idx="25">
                  <c:v>17.732558139534849</c:v>
                </c:pt>
                <c:pt idx="26">
                  <c:v>17.441860465116243</c:v>
                </c:pt>
                <c:pt idx="27">
                  <c:v>17.151162790697636</c:v>
                </c:pt>
                <c:pt idx="28">
                  <c:v>16.86046511627903</c:v>
                </c:pt>
                <c:pt idx="29">
                  <c:v>16.569767441860424</c:v>
                </c:pt>
                <c:pt idx="30">
                  <c:v>16.279069767441818</c:v>
                </c:pt>
                <c:pt idx="31">
                  <c:v>15.988372093023214</c:v>
                </c:pt>
                <c:pt idx="32">
                  <c:v>15.69767441860461</c:v>
                </c:pt>
                <c:pt idx="33">
                  <c:v>15.406976744186005</c:v>
                </c:pt>
                <c:pt idx="34">
                  <c:v>15.116279069767401</c:v>
                </c:pt>
                <c:pt idx="35">
                  <c:v>14.825581395348797</c:v>
                </c:pt>
                <c:pt idx="36">
                  <c:v>14.534883720930193</c:v>
                </c:pt>
                <c:pt idx="37">
                  <c:v>14.244186046511588</c:v>
                </c:pt>
                <c:pt idx="38">
                  <c:v>13.953488372092984</c:v>
                </c:pt>
                <c:pt idx="39">
                  <c:v>13.66279069767438</c:v>
                </c:pt>
                <c:pt idx="40">
                  <c:v>13.372093023255776</c:v>
                </c:pt>
                <c:pt idx="41">
                  <c:v>13.081395348837171</c:v>
                </c:pt>
                <c:pt idx="42">
                  <c:v>12.790697674418567</c:v>
                </c:pt>
                <c:pt idx="43">
                  <c:v>12.499999999999963</c:v>
                </c:pt>
                <c:pt idx="44">
                  <c:v>12.209302325581358</c:v>
                </c:pt>
                <c:pt idx="45">
                  <c:v>11.918604651162754</c:v>
                </c:pt>
                <c:pt idx="46">
                  <c:v>11.62790697674415</c:v>
                </c:pt>
                <c:pt idx="47">
                  <c:v>11.337209302325546</c:v>
                </c:pt>
                <c:pt idx="48">
                  <c:v>11.046511627906941</c:v>
                </c:pt>
                <c:pt idx="49">
                  <c:v>10.755813953488337</c:v>
                </c:pt>
                <c:pt idx="50">
                  <c:v>10.465116279069733</c:v>
                </c:pt>
                <c:pt idx="51">
                  <c:v>10.174418604651128</c:v>
                </c:pt>
                <c:pt idx="52">
                  <c:v>9.8837209302325242</c:v>
                </c:pt>
                <c:pt idx="53">
                  <c:v>9.5930232558139199</c:v>
                </c:pt>
                <c:pt idx="54">
                  <c:v>9.3023255813953156</c:v>
                </c:pt>
                <c:pt idx="55">
                  <c:v>9.0116279069767113</c:v>
                </c:pt>
                <c:pt idx="56">
                  <c:v>8.7209302325581071</c:v>
                </c:pt>
                <c:pt idx="57">
                  <c:v>8.4302325581395028</c:v>
                </c:pt>
                <c:pt idx="58">
                  <c:v>8.1395348837208985</c:v>
                </c:pt>
                <c:pt idx="59">
                  <c:v>7.8488372093022942</c:v>
                </c:pt>
                <c:pt idx="60">
                  <c:v>7.5581395348836899</c:v>
                </c:pt>
                <c:pt idx="61">
                  <c:v>7.2674418604650857</c:v>
                </c:pt>
                <c:pt idx="62">
                  <c:v>6.9767441860464814</c:v>
                </c:pt>
                <c:pt idx="63">
                  <c:v>6.6860465116278771</c:v>
                </c:pt>
                <c:pt idx="64">
                  <c:v>6.3953488372092728</c:v>
                </c:pt>
                <c:pt idx="65">
                  <c:v>6.1046511627906686</c:v>
                </c:pt>
                <c:pt idx="66">
                  <c:v>5.8139534883720643</c:v>
                </c:pt>
                <c:pt idx="67">
                  <c:v>5.52325581395346</c:v>
                </c:pt>
                <c:pt idx="68">
                  <c:v>5.2325581395348557</c:v>
                </c:pt>
                <c:pt idx="69">
                  <c:v>4.9418604651162514</c:v>
                </c:pt>
                <c:pt idx="70">
                  <c:v>4.6511627906976472</c:v>
                </c:pt>
                <c:pt idx="71">
                  <c:v>4.3604651162790429</c:v>
                </c:pt>
                <c:pt idx="72">
                  <c:v>4.0697674418604386</c:v>
                </c:pt>
                <c:pt idx="73">
                  <c:v>3.7790697674418339</c:v>
                </c:pt>
                <c:pt idx="74">
                  <c:v>3.4883720930232291</c:v>
                </c:pt>
                <c:pt idx="75">
                  <c:v>3.1976744186046244</c:v>
                </c:pt>
                <c:pt idx="76">
                  <c:v>2.9069767441860197</c:v>
                </c:pt>
                <c:pt idx="77">
                  <c:v>2.616279069767415</c:v>
                </c:pt>
                <c:pt idx="78">
                  <c:v>2.3255813953488103</c:v>
                </c:pt>
                <c:pt idx="79">
                  <c:v>2.0348837209302055</c:v>
                </c:pt>
                <c:pt idx="80">
                  <c:v>1.7441860465116008</c:v>
                </c:pt>
                <c:pt idx="81">
                  <c:v>1.4534883720929961</c:v>
                </c:pt>
                <c:pt idx="82">
                  <c:v>1.1627906976743914</c:v>
                </c:pt>
                <c:pt idx="83">
                  <c:v>0.87209302325578664</c:v>
                </c:pt>
                <c:pt idx="84">
                  <c:v>0.58139534883718191</c:v>
                </c:pt>
                <c:pt idx="85">
                  <c:v>0.29069767441857725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882-8816-12C713636C82}"/>
            </c:ext>
          </c:extLst>
        </c:ser>
        <c:ser>
          <c:idx val="2"/>
          <c:order val="1"/>
          <c:tx>
            <c:strRef>
              <c:f>'D1 Burndown Chart'!$C$1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'D1 Burndown Chart'!$C$2:$C$99</c:f>
              <c:numCache>
                <c:formatCode>0.0</c:formatCode>
                <c:ptCount val="98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882-8816-12C71363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24432"/>
        <c:axId val="960469312"/>
      </c:lineChart>
      <c:catAx>
        <c:axId val="8592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69312"/>
        <c:crosses val="autoZero"/>
        <c:auto val="1"/>
        <c:lblAlgn val="ctr"/>
        <c:lblOffset val="100"/>
        <c:noMultiLvlLbl val="0"/>
      </c:catAx>
      <c:valAx>
        <c:axId val="9604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34290</xdr:rowOff>
    </xdr:from>
    <xdr:to>
      <xdr:col>13</xdr:col>
      <xdr:colOff>373380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BB66E-4CBC-4A53-828E-59D75902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47EF-08F8-4C10-A10D-92A9228546AC}">
  <dimension ref="A1:AF14"/>
  <sheetViews>
    <sheetView topLeftCell="G1" workbookViewId="0">
      <selection activeCell="P19" sqref="P19"/>
    </sheetView>
  </sheetViews>
  <sheetFormatPr defaultRowHeight="14.4" x14ac:dyDescent="0.3"/>
  <cols>
    <col min="7" max="7" width="22" customWidth="1"/>
    <col min="9" max="14" width="0" hidden="1" customWidth="1"/>
    <col min="24" max="24" width="0" hidden="1" customWidth="1"/>
    <col min="25" max="25" width="14.109375" hidden="1" customWidth="1"/>
    <col min="26" max="26" width="11.21875" customWidth="1"/>
    <col min="28" max="28" width="12.77734375" customWidth="1"/>
    <col min="30" max="31" width="17.88671875" customWidth="1"/>
    <col min="32" max="32" width="17" customWidth="1"/>
  </cols>
  <sheetData>
    <row r="1" spans="1:32" ht="72" x14ac:dyDescent="0.35">
      <c r="P1" s="35" t="s">
        <v>8</v>
      </c>
      <c r="Q1" s="36"/>
      <c r="R1" s="36"/>
      <c r="S1" s="36"/>
      <c r="T1" s="36"/>
      <c r="U1" s="36"/>
      <c r="V1" s="36"/>
      <c r="W1" s="37" t="s">
        <v>25</v>
      </c>
      <c r="X1" s="35"/>
      <c r="Y1" s="36"/>
      <c r="Z1" s="35" t="s">
        <v>9</v>
      </c>
      <c r="AA1" s="35"/>
      <c r="AB1" s="35" t="s">
        <v>10</v>
      </c>
      <c r="AC1" s="35" t="s">
        <v>13</v>
      </c>
      <c r="AD1" s="36"/>
      <c r="AE1" s="35" t="s">
        <v>24</v>
      </c>
      <c r="AF1" s="35" t="s">
        <v>11</v>
      </c>
    </row>
    <row r="3" spans="1:32" ht="21" x14ac:dyDescent="0.4">
      <c r="A3" s="1" t="s">
        <v>0</v>
      </c>
      <c r="B3" s="5"/>
      <c r="C3" s="5"/>
      <c r="D3" s="5"/>
      <c r="E3" s="5"/>
      <c r="F3" s="5"/>
      <c r="G3" s="5"/>
      <c r="H3" s="5"/>
      <c r="I3" s="5"/>
      <c r="J3" s="5"/>
      <c r="K3" s="4"/>
      <c r="L3" s="4"/>
      <c r="P3" s="2" t="s">
        <v>4</v>
      </c>
      <c r="W3">
        <v>8</v>
      </c>
      <c r="Z3" s="9">
        <v>112</v>
      </c>
      <c r="AB3" s="3">
        <f>Z3*G8</f>
        <v>8400</v>
      </c>
      <c r="AD3" s="11">
        <v>1</v>
      </c>
      <c r="AE3" s="9">
        <v>122</v>
      </c>
      <c r="AF3" s="3">
        <v>9150</v>
      </c>
    </row>
    <row r="4" spans="1:32" ht="21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4"/>
      <c r="L4" s="4"/>
    </row>
    <row r="5" spans="1:32" ht="21" x14ac:dyDescent="0.4">
      <c r="A5" s="1" t="s">
        <v>1</v>
      </c>
      <c r="B5" s="1"/>
      <c r="C5" s="1"/>
      <c r="D5" s="1"/>
      <c r="E5" s="1"/>
      <c r="F5" s="1"/>
      <c r="G5" s="5"/>
      <c r="H5" s="5"/>
      <c r="I5" s="5"/>
      <c r="J5" s="5"/>
      <c r="K5" s="4"/>
      <c r="L5" s="4"/>
      <c r="P5" s="2" t="s">
        <v>5</v>
      </c>
      <c r="W5">
        <v>18</v>
      </c>
      <c r="Z5">
        <v>144</v>
      </c>
      <c r="AB5" s="3">
        <v>10800</v>
      </c>
      <c r="AD5" s="11">
        <v>0.57999999999999996</v>
      </c>
      <c r="AE5" s="9">
        <v>99</v>
      </c>
      <c r="AF5" s="3">
        <v>7425</v>
      </c>
    </row>
    <row r="6" spans="1:32" ht="21" x14ac:dyDescent="0.4">
      <c r="A6" s="1" t="s">
        <v>2</v>
      </c>
      <c r="B6" s="1"/>
      <c r="C6" s="1"/>
      <c r="D6" s="1"/>
      <c r="E6" s="1"/>
      <c r="F6" s="1"/>
      <c r="G6" s="5"/>
      <c r="H6" s="5"/>
      <c r="I6" s="5"/>
      <c r="J6" s="5"/>
      <c r="K6" s="4"/>
      <c r="L6" s="4"/>
    </row>
    <row r="7" spans="1:32" ht="21" x14ac:dyDescent="0.4">
      <c r="A7" s="1" t="s">
        <v>17</v>
      </c>
      <c r="B7" s="1"/>
      <c r="C7" s="1"/>
      <c r="D7" s="1"/>
      <c r="E7" s="1"/>
      <c r="F7" s="1"/>
      <c r="G7" s="6">
        <v>124800</v>
      </c>
      <c r="H7" s="5"/>
      <c r="I7" s="5"/>
      <c r="J7" s="5"/>
      <c r="K7" s="4"/>
      <c r="L7" s="4"/>
      <c r="P7" s="2" t="s">
        <v>6</v>
      </c>
      <c r="W7">
        <v>43</v>
      </c>
      <c r="Z7">
        <v>552</v>
      </c>
      <c r="AB7" s="3">
        <v>41400</v>
      </c>
      <c r="AD7" s="11">
        <v>0.03</v>
      </c>
      <c r="AE7" s="9">
        <v>16</v>
      </c>
      <c r="AF7" s="3">
        <v>1200</v>
      </c>
    </row>
    <row r="8" spans="1:32" ht="21" x14ac:dyDescent="0.4">
      <c r="A8" s="1" t="s">
        <v>16</v>
      </c>
      <c r="B8" s="1"/>
      <c r="C8" s="1"/>
      <c r="D8" s="1"/>
      <c r="E8" s="1"/>
      <c r="F8" s="1"/>
      <c r="G8" s="12">
        <v>75</v>
      </c>
      <c r="H8" s="5"/>
      <c r="I8" s="5"/>
      <c r="J8" s="5"/>
      <c r="K8" s="4"/>
      <c r="L8" s="4"/>
    </row>
    <row r="9" spans="1:32" ht="21" x14ac:dyDescent="0.4">
      <c r="A9" s="1" t="s">
        <v>15</v>
      </c>
      <c r="B9" s="1"/>
      <c r="C9" s="1"/>
      <c r="D9" s="1"/>
      <c r="E9" s="1"/>
      <c r="F9" s="1"/>
      <c r="G9" s="1" t="s">
        <v>3</v>
      </c>
      <c r="H9" s="5"/>
      <c r="I9" s="5"/>
      <c r="J9" s="5"/>
      <c r="K9" s="4"/>
      <c r="L9" s="4"/>
      <c r="P9" s="2" t="s">
        <v>7</v>
      </c>
      <c r="W9">
        <v>78</v>
      </c>
      <c r="Z9">
        <v>712</v>
      </c>
      <c r="AB9" s="3">
        <v>53400</v>
      </c>
      <c r="AD9" s="11">
        <v>0.05</v>
      </c>
      <c r="AE9" s="9">
        <v>32</v>
      </c>
      <c r="AF9" s="3">
        <v>2400</v>
      </c>
    </row>
    <row r="11" spans="1:32" ht="18" x14ac:dyDescent="0.35">
      <c r="A11" s="1" t="s">
        <v>14</v>
      </c>
      <c r="G11" s="13">
        <v>8</v>
      </c>
      <c r="P11" s="2" t="s">
        <v>45</v>
      </c>
      <c r="W11">
        <v>18</v>
      </c>
      <c r="Z11">
        <v>144</v>
      </c>
      <c r="AB11" s="3">
        <v>10800</v>
      </c>
      <c r="AD11" s="11">
        <v>0</v>
      </c>
      <c r="AE11" s="9">
        <v>0</v>
      </c>
      <c r="AF11" s="3">
        <f>AD11*AB11</f>
        <v>0</v>
      </c>
    </row>
    <row r="14" spans="1:32" ht="18" x14ac:dyDescent="0.35">
      <c r="P14" s="7" t="s">
        <v>12</v>
      </c>
      <c r="W14" s="7">
        <f>SUM(W3:W13)</f>
        <v>165</v>
      </c>
      <c r="Z14" s="7">
        <f>SUM(Z3:Z13)</f>
        <v>1664</v>
      </c>
      <c r="AB14" s="10">
        <f>SUM(AB3:AB13)</f>
        <v>124800</v>
      </c>
      <c r="AE14" s="14">
        <f>SUM(AE3:AE13)</f>
        <v>269</v>
      </c>
      <c r="AF14" s="10">
        <f>SUM(AF3:AF13)</f>
        <v>20175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C186-88F7-4EB6-ACBF-E61A6A8053DA}">
  <dimension ref="A1:X22"/>
  <sheetViews>
    <sheetView topLeftCell="D1" zoomScale="90" zoomScaleNormal="90" workbookViewId="0">
      <selection activeCell="X14" sqref="X14"/>
    </sheetView>
  </sheetViews>
  <sheetFormatPr defaultRowHeight="14.4" x14ac:dyDescent="0.3"/>
  <cols>
    <col min="7" max="7" width="14.88671875" customWidth="1"/>
    <col min="9" max="9" width="0" hidden="1" customWidth="1"/>
    <col min="10" max="10" width="14.109375" hidden="1" customWidth="1"/>
    <col min="11" max="11" width="11.21875" customWidth="1"/>
    <col min="13" max="13" width="12.77734375" customWidth="1"/>
    <col min="15" max="16" width="17.88671875" customWidth="1"/>
    <col min="17" max="17" width="17" customWidth="1"/>
    <col min="18" max="18" width="10.77734375" customWidth="1"/>
    <col min="19" max="19" width="11.6640625" customWidth="1"/>
    <col min="20" max="20" width="14.21875" style="17" bestFit="1" customWidth="1"/>
    <col min="21" max="21" width="10" bestFit="1" customWidth="1"/>
    <col min="23" max="23" width="14.77734375" style="17" customWidth="1"/>
    <col min="24" max="24" width="10.44140625" style="17" customWidth="1"/>
  </cols>
  <sheetData>
    <row r="1" spans="1:24" ht="72" x14ac:dyDescent="0.35">
      <c r="A1" s="7" t="s">
        <v>8</v>
      </c>
      <c r="H1" s="37" t="s">
        <v>25</v>
      </c>
      <c r="I1" s="35"/>
      <c r="J1" s="36"/>
      <c r="K1" s="35" t="s">
        <v>9</v>
      </c>
      <c r="L1" s="35"/>
      <c r="M1" s="35" t="s">
        <v>10</v>
      </c>
      <c r="N1" s="35" t="s">
        <v>13</v>
      </c>
      <c r="O1" s="36"/>
      <c r="P1" s="35" t="s">
        <v>24</v>
      </c>
      <c r="Q1" s="35" t="s">
        <v>11</v>
      </c>
      <c r="R1" s="35" t="s">
        <v>18</v>
      </c>
      <c r="S1" s="35" t="s">
        <v>31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</row>
    <row r="3" spans="1:24" s="17" customFormat="1" ht="18" x14ac:dyDescent="0.35">
      <c r="A3" s="24" t="s">
        <v>4</v>
      </c>
      <c r="H3" s="17">
        <v>8</v>
      </c>
      <c r="K3" s="25">
        <v>112</v>
      </c>
      <c r="M3" s="18">
        <v>8400</v>
      </c>
      <c r="O3" s="26">
        <v>1</v>
      </c>
      <c r="P3" s="25">
        <v>122</v>
      </c>
      <c r="Q3" s="18">
        <v>9150</v>
      </c>
      <c r="R3" s="18">
        <f>O3*M3</f>
        <v>8400</v>
      </c>
      <c r="S3" s="26">
        <f>8/8</f>
        <v>1</v>
      </c>
      <c r="T3" s="18">
        <f>S3*M3</f>
        <v>8400</v>
      </c>
      <c r="U3" s="18">
        <f>R3-Q3</f>
        <v>-750</v>
      </c>
      <c r="V3" s="19">
        <f>R3/Q3</f>
        <v>0.91803278688524592</v>
      </c>
      <c r="W3" s="18">
        <f>R3-T3</f>
        <v>0</v>
      </c>
      <c r="X3" s="19">
        <f>R3/T3</f>
        <v>1</v>
      </c>
    </row>
    <row r="4" spans="1:24" x14ac:dyDescent="0.3">
      <c r="R4" s="3"/>
      <c r="S4" s="11"/>
      <c r="T4" s="18"/>
      <c r="U4" s="3"/>
      <c r="V4" s="8"/>
      <c r="W4" s="18"/>
      <c r="X4" s="19"/>
    </row>
    <row r="5" spans="1:24" s="17" customFormat="1" ht="18" x14ac:dyDescent="0.35">
      <c r="A5" s="24" t="s">
        <v>5</v>
      </c>
      <c r="H5" s="17">
        <v>18</v>
      </c>
      <c r="K5" s="17">
        <v>144</v>
      </c>
      <c r="M5" s="18">
        <v>10800</v>
      </c>
      <c r="O5" s="26">
        <v>0.57999999999999996</v>
      </c>
      <c r="P5" s="25">
        <v>99</v>
      </c>
      <c r="Q5" s="18">
        <v>7425</v>
      </c>
      <c r="R5" s="18">
        <f t="shared" ref="R5:R11" si="0">O5*M5</f>
        <v>6264</v>
      </c>
      <c r="S5" s="26">
        <f>12/18</f>
        <v>0.66666666666666663</v>
      </c>
      <c r="T5" s="18">
        <f t="shared" ref="T5:T9" si="1">S5*M5</f>
        <v>7200</v>
      </c>
      <c r="U5" s="18">
        <f>R5-Q5</f>
        <v>-1161</v>
      </c>
      <c r="V5" s="19">
        <f>R5/Q5</f>
        <v>0.84363636363636363</v>
      </c>
      <c r="W5" s="18">
        <f>R5-T5</f>
        <v>-936</v>
      </c>
      <c r="X5" s="19">
        <f t="shared" ref="X5:X9" si="2">R5/T5</f>
        <v>0.87</v>
      </c>
    </row>
    <row r="6" spans="1:24" x14ac:dyDescent="0.3">
      <c r="R6" s="3"/>
      <c r="S6" s="11"/>
      <c r="T6" s="18"/>
      <c r="U6" s="3"/>
      <c r="V6" s="8"/>
      <c r="W6" s="18"/>
      <c r="X6" s="19"/>
    </row>
    <row r="7" spans="1:24" ht="18" x14ac:dyDescent="0.35">
      <c r="A7" s="2" t="s">
        <v>6</v>
      </c>
      <c r="H7">
        <v>43</v>
      </c>
      <c r="K7">
        <v>552</v>
      </c>
      <c r="M7" s="3">
        <v>41400</v>
      </c>
      <c r="O7" s="11">
        <v>0.03</v>
      </c>
      <c r="P7" s="9">
        <v>16</v>
      </c>
      <c r="Q7" s="3">
        <v>1200</v>
      </c>
      <c r="R7" s="3">
        <f t="shared" si="0"/>
        <v>1242</v>
      </c>
      <c r="S7" s="45">
        <f>2/64</f>
        <v>3.125E-2</v>
      </c>
      <c r="T7" s="38">
        <f>S7*M7</f>
        <v>1293.75</v>
      </c>
      <c r="U7" s="3">
        <f>R7-Q7</f>
        <v>42</v>
      </c>
      <c r="V7" s="8">
        <f>R7/Q7</f>
        <v>1.0349999999999999</v>
      </c>
      <c r="W7" s="38">
        <f>R7-T7</f>
        <v>-51.75</v>
      </c>
      <c r="X7" s="39">
        <f t="shared" si="2"/>
        <v>0.96</v>
      </c>
    </row>
    <row r="8" spans="1:24" x14ac:dyDescent="0.3">
      <c r="R8" s="3"/>
      <c r="S8" s="11"/>
      <c r="T8" s="18"/>
      <c r="U8" s="3"/>
      <c r="V8" s="8"/>
      <c r="W8" s="18"/>
      <c r="X8" s="19"/>
    </row>
    <row r="9" spans="1:24" s="17" customFormat="1" ht="18" x14ac:dyDescent="0.35">
      <c r="A9" s="24" t="s">
        <v>41</v>
      </c>
      <c r="H9" s="17">
        <v>78</v>
      </c>
      <c r="K9" s="17">
        <v>712</v>
      </c>
      <c r="M9" s="18">
        <v>53400</v>
      </c>
      <c r="O9" s="26">
        <v>0.05</v>
      </c>
      <c r="P9" s="25">
        <v>32</v>
      </c>
      <c r="Q9" s="18">
        <v>2400</v>
      </c>
      <c r="R9" s="18">
        <f t="shared" si="0"/>
        <v>2670</v>
      </c>
      <c r="S9" s="45">
        <f>2/78</f>
        <v>2.564102564102564E-2</v>
      </c>
      <c r="T9" s="38">
        <f t="shared" si="1"/>
        <v>1369.2307692307693</v>
      </c>
      <c r="U9" s="18">
        <f>R9-Q9</f>
        <v>270</v>
      </c>
      <c r="V9" s="19">
        <f>R9/Q9</f>
        <v>1.1125</v>
      </c>
      <c r="W9" s="38">
        <f>R9-T9</f>
        <v>1300.7692307692307</v>
      </c>
      <c r="X9" s="39">
        <f t="shared" si="2"/>
        <v>1.95</v>
      </c>
    </row>
    <row r="10" spans="1:24" x14ac:dyDescent="0.3">
      <c r="R10" s="3"/>
      <c r="S10" s="11"/>
      <c r="T10" s="18"/>
      <c r="U10" s="3"/>
      <c r="V10" s="8"/>
      <c r="W10" s="18"/>
      <c r="X10" s="19"/>
    </row>
    <row r="11" spans="1:24" ht="18" x14ac:dyDescent="0.35">
      <c r="A11" s="2" t="s">
        <v>45</v>
      </c>
      <c r="H11">
        <v>18</v>
      </c>
      <c r="K11">
        <v>144</v>
      </c>
      <c r="M11" s="3">
        <v>10800</v>
      </c>
      <c r="O11" s="11">
        <v>0</v>
      </c>
      <c r="P11" s="9">
        <v>0</v>
      </c>
      <c r="Q11" s="3">
        <f>O11*M11</f>
        <v>0</v>
      </c>
      <c r="R11" s="3">
        <f t="shared" si="0"/>
        <v>0</v>
      </c>
      <c r="S11" s="26">
        <f>0/18</f>
        <v>0</v>
      </c>
      <c r="T11" s="18">
        <f>S11*M11</f>
        <v>0</v>
      </c>
      <c r="U11" s="18">
        <f>R11-Q11</f>
        <v>0</v>
      </c>
      <c r="V11" s="19">
        <v>0</v>
      </c>
      <c r="W11" s="18">
        <f>R11-T11</f>
        <v>0</v>
      </c>
      <c r="X11" s="19">
        <v>0</v>
      </c>
    </row>
    <row r="14" spans="1:24" ht="18" x14ac:dyDescent="0.35">
      <c r="A14" s="7" t="s">
        <v>12</v>
      </c>
      <c r="H14" s="7">
        <f>SUM(H3:H13)</f>
        <v>165</v>
      </c>
      <c r="K14" s="7">
        <f>SUM(K3:K13)</f>
        <v>1664</v>
      </c>
      <c r="M14" s="10">
        <f>SUM(M3:M13)</f>
        <v>124800</v>
      </c>
      <c r="O14" s="20">
        <f>AVERAGE(O3:O13)</f>
        <v>0.33200000000000002</v>
      </c>
      <c r="P14" s="14">
        <f>SUM(P3:P13)</f>
        <v>269</v>
      </c>
      <c r="Q14" s="10">
        <f>SUM(Q3:Q13)</f>
        <v>20175</v>
      </c>
      <c r="R14" s="10">
        <f>SUM(R3:R13)</f>
        <v>18576</v>
      </c>
      <c r="S14" s="20">
        <f>AVERAGE(S3:S13)</f>
        <v>0.3447115384615384</v>
      </c>
      <c r="T14" s="52">
        <f>SUM(T3:T13)</f>
        <v>18262.98076923077</v>
      </c>
      <c r="U14" s="21">
        <f>SUM(U3:U13)</f>
        <v>-1599</v>
      </c>
      <c r="V14" s="22">
        <f>AVERAGE(V3:V13)</f>
        <v>0.78183383010432195</v>
      </c>
      <c r="W14" s="53">
        <f>SUM(W3:W13)</f>
        <v>313.01923076923072</v>
      </c>
      <c r="X14" s="54">
        <f>AVERAGE(X3:X13)</f>
        <v>0.95600000000000007</v>
      </c>
    </row>
    <row r="15" spans="1:24" x14ac:dyDescent="0.3">
      <c r="T15" s="48"/>
      <c r="X15" s="19"/>
    </row>
    <row r="16" spans="1:24" x14ac:dyDescent="0.3">
      <c r="A16" t="s">
        <v>26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2F46-D1A0-4377-B444-EE933E8E4271}">
  <dimension ref="A1:AF37"/>
  <sheetViews>
    <sheetView tabSelected="1" topLeftCell="P1" workbookViewId="0">
      <selection activeCell="X22" sqref="X22"/>
    </sheetView>
  </sheetViews>
  <sheetFormatPr defaultRowHeight="14.4" x14ac:dyDescent="0.3"/>
  <cols>
    <col min="7" max="7" width="14.33203125" customWidth="1"/>
    <col min="9" max="9" width="0" hidden="1" customWidth="1"/>
    <col min="10" max="10" width="14.109375" hidden="1" customWidth="1"/>
    <col min="11" max="11" width="11.21875" customWidth="1"/>
    <col min="13" max="13" width="12.77734375" customWidth="1"/>
    <col min="15" max="16" width="17.88671875" customWidth="1"/>
    <col min="17" max="17" width="17" customWidth="1"/>
    <col min="18" max="18" width="10.77734375" customWidth="1"/>
    <col min="19" max="19" width="11.6640625" customWidth="1"/>
    <col min="20" max="20" width="13.88671875" style="17" bestFit="1" customWidth="1"/>
    <col min="21" max="21" width="10" bestFit="1" customWidth="1"/>
    <col min="23" max="23" width="14.77734375" style="17" customWidth="1"/>
    <col min="24" max="24" width="12.88671875" style="17" customWidth="1"/>
    <col min="25" max="25" width="12.88671875" customWidth="1"/>
    <col min="26" max="27" width="11.21875" customWidth="1"/>
    <col min="28" max="28" width="14.109375" customWidth="1"/>
    <col min="29" max="29" width="11.6640625" customWidth="1"/>
  </cols>
  <sheetData>
    <row r="1" spans="1:32" ht="72" x14ac:dyDescent="0.35">
      <c r="A1" s="7" t="s">
        <v>8</v>
      </c>
      <c r="H1" s="37" t="s">
        <v>25</v>
      </c>
      <c r="I1" s="35"/>
      <c r="J1" s="36"/>
      <c r="K1" s="35" t="s">
        <v>9</v>
      </c>
      <c r="L1" s="35"/>
      <c r="M1" s="35" t="s">
        <v>10</v>
      </c>
      <c r="N1" s="35" t="s">
        <v>13</v>
      </c>
      <c r="O1" s="36"/>
      <c r="P1" s="35" t="s">
        <v>24</v>
      </c>
      <c r="Q1" s="35" t="s">
        <v>11</v>
      </c>
      <c r="R1" s="35" t="s">
        <v>18</v>
      </c>
      <c r="S1" s="35" t="s">
        <v>31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15" t="s">
        <v>34</v>
      </c>
      <c r="Z1" s="15" t="s">
        <v>36</v>
      </c>
      <c r="AA1" s="49" t="s">
        <v>63</v>
      </c>
      <c r="AB1" s="49" t="s">
        <v>64</v>
      </c>
      <c r="AC1" s="15" t="s">
        <v>65</v>
      </c>
      <c r="AD1" s="16"/>
      <c r="AE1" s="16"/>
      <c r="AF1" s="15" t="s">
        <v>39</v>
      </c>
    </row>
    <row r="2" spans="1:32" x14ac:dyDescent="0.3">
      <c r="Y2" s="16"/>
      <c r="Z2" s="16"/>
      <c r="AA2" s="16"/>
      <c r="AB2" s="16"/>
      <c r="AC2" s="16"/>
      <c r="AD2" s="16"/>
      <c r="AE2" s="16"/>
      <c r="AF2" s="16"/>
    </row>
    <row r="3" spans="1:32" s="17" customFormat="1" ht="18" x14ac:dyDescent="0.35">
      <c r="A3" s="24" t="s">
        <v>4</v>
      </c>
      <c r="H3" s="17">
        <v>8</v>
      </c>
      <c r="K3" s="25">
        <v>112</v>
      </c>
      <c r="M3" s="18">
        <v>8400</v>
      </c>
      <c r="O3" s="26">
        <v>1</v>
      </c>
      <c r="P3" s="25">
        <v>122</v>
      </c>
      <c r="Q3" s="18">
        <v>9150</v>
      </c>
      <c r="R3" s="18">
        <f>O3*M3</f>
        <v>8400</v>
      </c>
      <c r="S3" s="26">
        <f>8/8</f>
        <v>1</v>
      </c>
      <c r="T3" s="18">
        <f>S3*M3</f>
        <v>8400</v>
      </c>
      <c r="U3" s="18">
        <f>R3-Q3</f>
        <v>-750</v>
      </c>
      <c r="V3" s="19">
        <f>R3/Q3</f>
        <v>0.91803278688524592</v>
      </c>
      <c r="W3" s="18">
        <f>R3-T3</f>
        <v>0</v>
      </c>
      <c r="X3" s="19">
        <f>R3/T3</f>
        <v>1</v>
      </c>
      <c r="Y3" s="27">
        <f>8400/0.92</f>
        <v>9130.434782608696</v>
      </c>
      <c r="Z3" s="27">
        <f>Y3-Q3</f>
        <v>-19.565217391304031</v>
      </c>
      <c r="AA3" s="50">
        <v>8</v>
      </c>
      <c r="AB3" s="41">
        <f>AA3/X3</f>
        <v>8</v>
      </c>
      <c r="AC3" s="44">
        <v>44391</v>
      </c>
      <c r="AD3" s="16"/>
      <c r="AE3" s="16"/>
      <c r="AF3" s="23">
        <f>R3/M3</f>
        <v>1</v>
      </c>
    </row>
    <row r="4" spans="1:32" x14ac:dyDescent="0.3">
      <c r="R4" s="3"/>
      <c r="S4" s="11"/>
      <c r="T4" s="18"/>
      <c r="U4" s="3"/>
      <c r="V4" s="8"/>
      <c r="W4" s="18"/>
      <c r="X4" s="19"/>
      <c r="Y4" s="27"/>
      <c r="Z4" s="27"/>
      <c r="AA4" s="50"/>
      <c r="AB4" s="41"/>
      <c r="AC4" s="16"/>
      <c r="AD4" s="16"/>
      <c r="AE4" s="16"/>
      <c r="AF4" s="16"/>
    </row>
    <row r="5" spans="1:32" s="17" customFormat="1" ht="18" x14ac:dyDescent="0.35">
      <c r="A5" s="24" t="s">
        <v>5</v>
      </c>
      <c r="H5" s="17">
        <v>18</v>
      </c>
      <c r="K5" s="17">
        <v>144</v>
      </c>
      <c r="M5" s="18">
        <v>10800</v>
      </c>
      <c r="O5" s="26">
        <v>0.57999999999999996</v>
      </c>
      <c r="P5" s="25">
        <v>99</v>
      </c>
      <c r="Q5" s="18">
        <v>7425</v>
      </c>
      <c r="R5" s="18">
        <f t="shared" ref="R5:R11" si="0">O5*M5</f>
        <v>6264</v>
      </c>
      <c r="S5" s="26">
        <f>12/18</f>
        <v>0.66666666666666663</v>
      </c>
      <c r="T5" s="18">
        <f t="shared" ref="T5:T9" si="1">S5*M5</f>
        <v>7200</v>
      </c>
      <c r="U5" s="18">
        <f>R5-Q5</f>
        <v>-1161</v>
      </c>
      <c r="V5" s="19">
        <f>R5/Q5</f>
        <v>0.84363636363636363</v>
      </c>
      <c r="W5" s="18">
        <f>R5-T5</f>
        <v>-936</v>
      </c>
      <c r="X5" s="19">
        <f t="shared" ref="X5:X9" si="2">R5/T5</f>
        <v>0.87</v>
      </c>
      <c r="Y5" s="27">
        <f>10800/0.84</f>
        <v>12857.142857142857</v>
      </c>
      <c r="Z5" s="27">
        <f t="shared" ref="Z5:Z9" si="3">Y5-Q5</f>
        <v>5432.1428571428569</v>
      </c>
      <c r="AA5" s="50">
        <v>18</v>
      </c>
      <c r="AB5" s="42">
        <f t="shared" ref="AB5:AB11" si="4">AA5/X5</f>
        <v>20.689655172413794</v>
      </c>
      <c r="AC5" s="40">
        <v>44405</v>
      </c>
      <c r="AD5" s="16"/>
      <c r="AE5" s="16"/>
      <c r="AF5" s="23">
        <f t="shared" ref="AF5:AF11" si="5">R5/M5</f>
        <v>0.57999999999999996</v>
      </c>
    </row>
    <row r="6" spans="1:32" x14ac:dyDescent="0.3">
      <c r="R6" s="3"/>
      <c r="S6" s="11"/>
      <c r="T6" s="18"/>
      <c r="U6" s="3"/>
      <c r="V6" s="8"/>
      <c r="W6" s="18"/>
      <c r="X6" s="19"/>
      <c r="Y6" s="27"/>
      <c r="Z6" s="27"/>
      <c r="AA6" s="50"/>
      <c r="AB6" s="41"/>
      <c r="AC6" s="16"/>
      <c r="AD6" s="16"/>
      <c r="AE6" s="16"/>
      <c r="AF6" s="16"/>
    </row>
    <row r="7" spans="1:32" ht="18" x14ac:dyDescent="0.35">
      <c r="A7" s="2" t="s">
        <v>6</v>
      </c>
      <c r="H7">
        <v>43</v>
      </c>
      <c r="K7">
        <v>552</v>
      </c>
      <c r="M7" s="3">
        <v>41400</v>
      </c>
      <c r="O7" s="11">
        <v>0.03</v>
      </c>
      <c r="P7" s="9">
        <v>16</v>
      </c>
      <c r="Q7" s="3">
        <v>1200</v>
      </c>
      <c r="R7" s="3">
        <f t="shared" si="0"/>
        <v>1242</v>
      </c>
      <c r="S7" s="45">
        <f>2/64</f>
        <v>3.125E-2</v>
      </c>
      <c r="T7" s="38">
        <f t="shared" si="1"/>
        <v>1293.75</v>
      </c>
      <c r="U7" s="3">
        <f>R7-Q7</f>
        <v>42</v>
      </c>
      <c r="V7" s="8">
        <f>R7/Q7</f>
        <v>1.0349999999999999</v>
      </c>
      <c r="W7" s="38">
        <f>R7-T7</f>
        <v>-51.75</v>
      </c>
      <c r="X7" s="39">
        <f t="shared" si="2"/>
        <v>0.96</v>
      </c>
      <c r="Y7" s="27">
        <f>41400/1.04</f>
        <v>39807.692307692305</v>
      </c>
      <c r="Z7" s="27">
        <f t="shared" si="3"/>
        <v>38607.692307692305</v>
      </c>
      <c r="AA7" s="50">
        <v>64</v>
      </c>
      <c r="AB7" s="42">
        <f t="shared" si="4"/>
        <v>66.666666666666671</v>
      </c>
      <c r="AC7" s="40">
        <v>44454</v>
      </c>
      <c r="AD7" s="16"/>
      <c r="AE7" s="16"/>
      <c r="AF7" s="23">
        <f t="shared" si="5"/>
        <v>0.03</v>
      </c>
    </row>
    <row r="8" spans="1:32" x14ac:dyDescent="0.3">
      <c r="R8" s="3"/>
      <c r="S8" s="11"/>
      <c r="T8" s="18"/>
      <c r="U8" s="3"/>
      <c r="V8" s="8"/>
      <c r="W8" s="18"/>
      <c r="X8" s="19"/>
      <c r="Y8" s="27"/>
      <c r="Z8" s="27"/>
      <c r="AA8" s="50"/>
      <c r="AB8" s="41"/>
      <c r="AC8" s="16"/>
      <c r="AD8" s="16"/>
      <c r="AE8" s="16"/>
      <c r="AF8" s="16"/>
    </row>
    <row r="9" spans="1:32" s="17" customFormat="1" ht="18" x14ac:dyDescent="0.35">
      <c r="A9" s="24" t="s">
        <v>42</v>
      </c>
      <c r="H9" s="17">
        <v>78</v>
      </c>
      <c r="K9" s="17">
        <v>712</v>
      </c>
      <c r="M9" s="18">
        <v>53400</v>
      </c>
      <c r="O9" s="26">
        <v>0.05</v>
      </c>
      <c r="P9" s="25">
        <v>32</v>
      </c>
      <c r="Q9" s="18">
        <v>2400</v>
      </c>
      <c r="R9" s="18">
        <f t="shared" si="0"/>
        <v>2670</v>
      </c>
      <c r="S9" s="45">
        <f>2/78</f>
        <v>2.564102564102564E-2</v>
      </c>
      <c r="T9" s="38">
        <f t="shared" si="1"/>
        <v>1369.2307692307693</v>
      </c>
      <c r="U9" s="18">
        <f>R9-Q9</f>
        <v>270</v>
      </c>
      <c r="V9" s="19">
        <f>R9/Q9</f>
        <v>1.1125</v>
      </c>
      <c r="W9" s="38">
        <f>R9-T9</f>
        <v>1300.7692307692307</v>
      </c>
      <c r="X9" s="39">
        <f t="shared" si="2"/>
        <v>1.95</v>
      </c>
      <c r="Y9" s="27">
        <f>53400/1.11</f>
        <v>48108.108108108107</v>
      </c>
      <c r="Z9" s="27">
        <f t="shared" si="3"/>
        <v>45708.108108108107</v>
      </c>
      <c r="AA9" s="50">
        <v>78</v>
      </c>
      <c r="AB9" s="42">
        <f t="shared" si="4"/>
        <v>40</v>
      </c>
      <c r="AC9" s="40">
        <v>44503</v>
      </c>
      <c r="AD9" s="16"/>
      <c r="AE9" s="16"/>
      <c r="AF9" s="23">
        <f t="shared" si="5"/>
        <v>0.05</v>
      </c>
    </row>
    <row r="10" spans="1:32" x14ac:dyDescent="0.3">
      <c r="R10" s="3"/>
      <c r="S10" s="11"/>
      <c r="T10" s="18"/>
      <c r="U10" s="3"/>
      <c r="V10" s="8"/>
      <c r="W10" s="18"/>
      <c r="X10" s="19"/>
      <c r="Y10" s="27"/>
      <c r="Z10" s="27"/>
      <c r="AA10" s="50"/>
      <c r="AB10" s="41"/>
      <c r="AC10" s="16"/>
      <c r="AD10" s="16"/>
      <c r="AE10" s="16"/>
      <c r="AF10" s="16"/>
    </row>
    <row r="11" spans="1:32" ht="18" x14ac:dyDescent="0.35">
      <c r="A11" s="2" t="s">
        <v>45</v>
      </c>
      <c r="H11">
        <v>18</v>
      </c>
      <c r="K11">
        <v>144</v>
      </c>
      <c r="M11" s="3">
        <v>10800</v>
      </c>
      <c r="O11" s="11">
        <v>0</v>
      </c>
      <c r="P11" s="9">
        <v>0</v>
      </c>
      <c r="Q11" s="3">
        <f>O11*M11</f>
        <v>0</v>
      </c>
      <c r="R11" s="3">
        <f t="shared" si="0"/>
        <v>0</v>
      </c>
      <c r="S11" s="26">
        <f>0/18</f>
        <v>0</v>
      </c>
      <c r="T11" s="18">
        <f>S11*M11</f>
        <v>0</v>
      </c>
      <c r="U11" s="18">
        <f>R11-Q11</f>
        <v>0</v>
      </c>
      <c r="V11" s="19">
        <v>0</v>
      </c>
      <c r="W11" s="18">
        <f>R11-T11</f>
        <v>0</v>
      </c>
      <c r="X11" s="19">
        <v>0</v>
      </c>
      <c r="Y11" s="46">
        <v>0</v>
      </c>
      <c r="Z11" s="43">
        <f>Y11-Q11</f>
        <v>0</v>
      </c>
      <c r="AA11" s="50">
        <v>18</v>
      </c>
      <c r="AB11" s="41">
        <v>18</v>
      </c>
      <c r="AC11" s="40">
        <v>44480</v>
      </c>
      <c r="AD11" s="16"/>
      <c r="AE11" s="16"/>
      <c r="AF11" s="23">
        <f t="shared" si="5"/>
        <v>0</v>
      </c>
    </row>
    <row r="12" spans="1:32" x14ac:dyDescent="0.3">
      <c r="X12" s="47"/>
      <c r="Y12" s="16"/>
      <c r="Z12" s="16"/>
      <c r="AA12" s="16"/>
      <c r="AB12" s="16"/>
      <c r="AC12" s="16"/>
      <c r="AD12" s="16"/>
      <c r="AE12" s="16"/>
      <c r="AF12" s="16"/>
    </row>
    <row r="13" spans="1:32" x14ac:dyDescent="0.3">
      <c r="Y13" s="16"/>
      <c r="Z13" s="16"/>
      <c r="AA13" s="16"/>
      <c r="AB13" s="16"/>
      <c r="AC13" s="16"/>
      <c r="AD13" s="16"/>
      <c r="AE13" s="16"/>
      <c r="AF13" s="16"/>
    </row>
    <row r="14" spans="1:32" ht="18" x14ac:dyDescent="0.35">
      <c r="A14" s="7" t="s">
        <v>12</v>
      </c>
      <c r="H14" s="7">
        <f>SUM(H3:H13)</f>
        <v>165</v>
      </c>
      <c r="K14" s="7">
        <f>SUM(K3:K13)</f>
        <v>1664</v>
      </c>
      <c r="M14" s="10">
        <f>SUM(M3:M13)</f>
        <v>124800</v>
      </c>
      <c r="O14" s="20">
        <f>AVERAGE(O3:O13)</f>
        <v>0.33200000000000002</v>
      </c>
      <c r="P14" s="14">
        <f>SUM(P3:P13)</f>
        <v>269</v>
      </c>
      <c r="Q14" s="28">
        <f>SUM(Q3:Q13)</f>
        <v>20175</v>
      </c>
      <c r="R14" s="28">
        <f>SUM(R3:R13)</f>
        <v>18576</v>
      </c>
      <c r="S14" s="20">
        <f>AVERAGE(S3:S13)</f>
        <v>0.3447115384615384</v>
      </c>
      <c r="T14" s="51">
        <f>SUM(T3:T13)</f>
        <v>18262.98076923077</v>
      </c>
      <c r="U14" s="21">
        <f>SUM(U3:U13)</f>
        <v>-1599</v>
      </c>
      <c r="V14" s="22">
        <f>AVERAGE(V3:V13)</f>
        <v>0.78183383010432195</v>
      </c>
      <c r="W14" s="53">
        <f>SUM(W3:W13)</f>
        <v>313.01923076923072</v>
      </c>
      <c r="X14" s="54">
        <f>AVERAGE(X3:X13)</f>
        <v>0.95600000000000007</v>
      </c>
      <c r="Y14" s="28">
        <f>SUM(Y3:Y13)</f>
        <v>109903.37805555196</v>
      </c>
      <c r="Z14" s="28">
        <f>SUM(Z3:Z13)</f>
        <v>89728.378055551962</v>
      </c>
      <c r="AA14" s="28"/>
      <c r="AB14" s="16"/>
      <c r="AC14" s="16"/>
      <c r="AD14" s="16"/>
      <c r="AE14" s="16"/>
      <c r="AF14" s="16"/>
    </row>
    <row r="15" spans="1:32" ht="18" x14ac:dyDescent="0.35">
      <c r="X15" s="19"/>
      <c r="Y15" s="29" t="s">
        <v>38</v>
      </c>
      <c r="Z15" s="28">
        <f>M14-(Q14+Z14)</f>
        <v>14896.621944448038</v>
      </c>
      <c r="AA15" s="28"/>
      <c r="AB15" s="16"/>
      <c r="AC15" s="16"/>
      <c r="AD15" s="16"/>
      <c r="AE15" s="16"/>
      <c r="AF15" s="16"/>
    </row>
    <row r="16" spans="1:32" x14ac:dyDescent="0.3">
      <c r="A16" t="s">
        <v>26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43</v>
      </c>
    </row>
    <row r="24" spans="1:1" x14ac:dyDescent="0.3">
      <c r="A24" t="s">
        <v>37</v>
      </c>
    </row>
    <row r="25" spans="1:1" x14ac:dyDescent="0.3">
      <c r="A25" t="s">
        <v>35</v>
      </c>
    </row>
    <row r="26" spans="1:1" x14ac:dyDescent="0.3">
      <c r="A26" t="s">
        <v>40</v>
      </c>
    </row>
    <row r="27" spans="1:1" x14ac:dyDescent="0.3">
      <c r="A27" t="s">
        <v>44</v>
      </c>
    </row>
    <row r="28" spans="1:1" x14ac:dyDescent="0.3">
      <c r="A28" t="s">
        <v>62</v>
      </c>
    </row>
    <row r="30" spans="1:1" x14ac:dyDescent="0.3">
      <c r="A30" s="30" t="s">
        <v>46</v>
      </c>
    </row>
    <row r="31" spans="1:1" x14ac:dyDescent="0.3">
      <c r="A31" s="31" t="s">
        <v>47</v>
      </c>
    </row>
    <row r="32" spans="1:1" x14ac:dyDescent="0.3">
      <c r="A32" s="30" t="s">
        <v>48</v>
      </c>
    </row>
    <row r="33" spans="1:1" x14ac:dyDescent="0.3">
      <c r="A33" s="31" t="s">
        <v>49</v>
      </c>
    </row>
    <row r="34" spans="1:1" x14ac:dyDescent="0.3">
      <c r="A34" s="30" t="s">
        <v>50</v>
      </c>
    </row>
    <row r="35" spans="1:1" x14ac:dyDescent="0.3">
      <c r="A35" s="31" t="s">
        <v>51</v>
      </c>
    </row>
    <row r="36" spans="1:1" x14ac:dyDescent="0.3">
      <c r="A36" s="30" t="s">
        <v>52</v>
      </c>
    </row>
    <row r="37" spans="1:1" x14ac:dyDescent="0.3">
      <c r="A37" s="31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BCC0-5313-4E68-AEA2-BECE8C286572}">
  <dimension ref="A1:D111"/>
  <sheetViews>
    <sheetView zoomScale="124" workbookViewId="0">
      <selection activeCell="H22" sqref="H22"/>
    </sheetView>
  </sheetViews>
  <sheetFormatPr defaultRowHeight="14.4" x14ac:dyDescent="0.3"/>
  <cols>
    <col min="2" max="2" width="22.109375" customWidth="1"/>
    <col min="3" max="3" width="20.44140625" customWidth="1"/>
  </cols>
  <sheetData>
    <row r="1" spans="1:4" ht="18" x14ac:dyDescent="0.35">
      <c r="A1" s="33" t="s">
        <v>54</v>
      </c>
      <c r="B1" s="33" t="s">
        <v>55</v>
      </c>
      <c r="C1" s="33" t="s">
        <v>56</v>
      </c>
    </row>
    <row r="2" spans="1:4" x14ac:dyDescent="0.3">
      <c r="A2" s="32">
        <v>5</v>
      </c>
      <c r="B2" s="32">
        <v>25</v>
      </c>
      <c r="C2" s="34">
        <v>25</v>
      </c>
      <c r="D2" t="s">
        <v>57</v>
      </c>
    </row>
    <row r="3" spans="1:4" x14ac:dyDescent="0.3">
      <c r="A3" s="32">
        <v>6</v>
      </c>
      <c r="B3" s="34">
        <f>B2-25/86</f>
        <v>24.709302325581394</v>
      </c>
      <c r="C3" s="34">
        <v>24</v>
      </c>
    </row>
    <row r="4" spans="1:4" x14ac:dyDescent="0.3">
      <c r="A4" s="32">
        <v>7</v>
      </c>
      <c r="B4" s="34">
        <f>B3-25/86</f>
        <v>24.418604651162788</v>
      </c>
      <c r="C4" s="34">
        <v>24</v>
      </c>
    </row>
    <row r="5" spans="1:4" x14ac:dyDescent="0.3">
      <c r="A5" s="32">
        <v>8</v>
      </c>
      <c r="B5" s="34">
        <f t="shared" ref="B5:B68" si="0">B4-25/86</f>
        <v>24.127906976744182</v>
      </c>
      <c r="C5" s="34">
        <v>21</v>
      </c>
    </row>
    <row r="6" spans="1:4" x14ac:dyDescent="0.3">
      <c r="A6" s="32">
        <v>9</v>
      </c>
      <c r="B6" s="34">
        <f t="shared" si="0"/>
        <v>23.837209302325576</v>
      </c>
      <c r="C6" s="34">
        <v>21</v>
      </c>
    </row>
    <row r="7" spans="1:4" x14ac:dyDescent="0.3">
      <c r="A7" s="32">
        <v>12</v>
      </c>
      <c r="B7" s="34">
        <f t="shared" si="0"/>
        <v>23.54651162790697</v>
      </c>
      <c r="C7" s="34">
        <v>20</v>
      </c>
    </row>
    <row r="8" spans="1:4" x14ac:dyDescent="0.3">
      <c r="A8" s="32">
        <v>13</v>
      </c>
      <c r="B8" s="34">
        <f t="shared" si="0"/>
        <v>23.255813953488364</v>
      </c>
      <c r="C8" s="34">
        <v>20</v>
      </c>
    </row>
    <row r="9" spans="1:4" x14ac:dyDescent="0.3">
      <c r="A9" s="32">
        <v>14</v>
      </c>
      <c r="B9" s="34">
        <f t="shared" si="0"/>
        <v>22.965116279069758</v>
      </c>
      <c r="C9" s="34">
        <v>18</v>
      </c>
    </row>
    <row r="10" spans="1:4" x14ac:dyDescent="0.3">
      <c r="A10" s="32">
        <v>15</v>
      </c>
      <c r="B10" s="34">
        <f t="shared" si="0"/>
        <v>22.674418604651152</v>
      </c>
      <c r="C10" s="34">
        <v>18</v>
      </c>
    </row>
    <row r="11" spans="1:4" x14ac:dyDescent="0.3">
      <c r="A11" s="32">
        <v>16</v>
      </c>
      <c r="B11" s="34">
        <f t="shared" si="0"/>
        <v>22.383720930232545</v>
      </c>
      <c r="C11" s="34">
        <v>17</v>
      </c>
    </row>
    <row r="12" spans="1:4" x14ac:dyDescent="0.3">
      <c r="A12" s="32">
        <v>19</v>
      </c>
      <c r="B12" s="34">
        <f t="shared" si="0"/>
        <v>22.093023255813939</v>
      </c>
      <c r="C12" s="34">
        <v>17</v>
      </c>
    </row>
    <row r="13" spans="1:4" x14ac:dyDescent="0.3">
      <c r="A13" s="32">
        <v>20</v>
      </c>
      <c r="B13" s="34">
        <f t="shared" si="0"/>
        <v>21.802325581395333</v>
      </c>
      <c r="C13" s="34">
        <v>17</v>
      </c>
    </row>
    <row r="14" spans="1:4" x14ac:dyDescent="0.3">
      <c r="A14" s="32">
        <v>21</v>
      </c>
      <c r="B14" s="34">
        <f t="shared" si="0"/>
        <v>21.511627906976727</v>
      </c>
    </row>
    <row r="15" spans="1:4" x14ac:dyDescent="0.3">
      <c r="A15" s="32">
        <v>22</v>
      </c>
      <c r="B15" s="34">
        <f t="shared" si="0"/>
        <v>21.220930232558121</v>
      </c>
    </row>
    <row r="16" spans="1:4" x14ac:dyDescent="0.3">
      <c r="A16" s="32">
        <v>23</v>
      </c>
      <c r="B16" s="34">
        <f t="shared" si="0"/>
        <v>20.930232558139515</v>
      </c>
    </row>
    <row r="17" spans="1:4" x14ac:dyDescent="0.3">
      <c r="A17" s="32">
        <v>26</v>
      </c>
      <c r="B17" s="34">
        <f t="shared" si="0"/>
        <v>20.639534883720909</v>
      </c>
    </row>
    <row r="18" spans="1:4" x14ac:dyDescent="0.3">
      <c r="A18" s="32">
        <v>27</v>
      </c>
      <c r="B18" s="34">
        <f t="shared" si="0"/>
        <v>20.348837209302303</v>
      </c>
    </row>
    <row r="19" spans="1:4" x14ac:dyDescent="0.3">
      <c r="A19" s="32">
        <v>28</v>
      </c>
      <c r="B19" s="34">
        <f t="shared" si="0"/>
        <v>20.058139534883697</v>
      </c>
    </row>
    <row r="20" spans="1:4" x14ac:dyDescent="0.3">
      <c r="A20" s="32">
        <v>29</v>
      </c>
      <c r="B20" s="34">
        <f t="shared" si="0"/>
        <v>19.767441860465091</v>
      </c>
    </row>
    <row r="21" spans="1:4" x14ac:dyDescent="0.3">
      <c r="A21" s="32">
        <v>30</v>
      </c>
      <c r="B21" s="34">
        <f t="shared" si="0"/>
        <v>19.476744186046485</v>
      </c>
    </row>
    <row r="22" spans="1:4" x14ac:dyDescent="0.3">
      <c r="A22" s="32">
        <v>2</v>
      </c>
      <c r="B22" s="34">
        <f t="shared" si="0"/>
        <v>19.186046511627879</v>
      </c>
      <c r="D22" t="s">
        <v>58</v>
      </c>
    </row>
    <row r="23" spans="1:4" x14ac:dyDescent="0.3">
      <c r="A23" s="32">
        <v>3</v>
      </c>
      <c r="B23" s="34">
        <f t="shared" si="0"/>
        <v>18.895348837209273</v>
      </c>
    </row>
    <row r="24" spans="1:4" x14ac:dyDescent="0.3">
      <c r="A24" s="32">
        <v>4</v>
      </c>
      <c r="B24" s="34">
        <f t="shared" si="0"/>
        <v>18.604651162790667</v>
      </c>
    </row>
    <row r="25" spans="1:4" x14ac:dyDescent="0.3">
      <c r="A25" s="32">
        <v>5</v>
      </c>
      <c r="B25" s="34">
        <f t="shared" si="0"/>
        <v>18.313953488372061</v>
      </c>
    </row>
    <row r="26" spans="1:4" x14ac:dyDescent="0.3">
      <c r="A26" s="32">
        <v>6</v>
      </c>
      <c r="B26" s="34">
        <f t="shared" si="0"/>
        <v>18.023255813953455</v>
      </c>
    </row>
    <row r="27" spans="1:4" x14ac:dyDescent="0.3">
      <c r="A27" s="32">
        <v>9</v>
      </c>
      <c r="B27" s="34">
        <f t="shared" si="0"/>
        <v>17.732558139534849</v>
      </c>
    </row>
    <row r="28" spans="1:4" x14ac:dyDescent="0.3">
      <c r="A28" s="32">
        <v>10</v>
      </c>
      <c r="B28" s="34">
        <f t="shared" si="0"/>
        <v>17.441860465116243</v>
      </c>
    </row>
    <row r="29" spans="1:4" x14ac:dyDescent="0.3">
      <c r="A29" s="32">
        <v>11</v>
      </c>
      <c r="B29" s="34">
        <f t="shared" si="0"/>
        <v>17.151162790697636</v>
      </c>
    </row>
    <row r="30" spans="1:4" x14ac:dyDescent="0.3">
      <c r="A30" s="32">
        <v>12</v>
      </c>
      <c r="B30" s="34">
        <f t="shared" si="0"/>
        <v>16.86046511627903</v>
      </c>
    </row>
    <row r="31" spans="1:4" x14ac:dyDescent="0.3">
      <c r="A31" s="32">
        <v>13</v>
      </c>
      <c r="B31" s="34">
        <f t="shared" si="0"/>
        <v>16.569767441860424</v>
      </c>
    </row>
    <row r="32" spans="1:4" x14ac:dyDescent="0.3">
      <c r="A32" s="32">
        <v>16</v>
      </c>
      <c r="B32" s="34">
        <f t="shared" si="0"/>
        <v>16.279069767441818</v>
      </c>
    </row>
    <row r="33" spans="1:4" x14ac:dyDescent="0.3">
      <c r="A33" s="32">
        <v>17</v>
      </c>
      <c r="B33" s="34">
        <f t="shared" si="0"/>
        <v>15.988372093023214</v>
      </c>
    </row>
    <row r="34" spans="1:4" x14ac:dyDescent="0.3">
      <c r="A34" s="32">
        <v>18</v>
      </c>
      <c r="B34" s="34">
        <f t="shared" si="0"/>
        <v>15.69767441860461</v>
      </c>
    </row>
    <row r="35" spans="1:4" x14ac:dyDescent="0.3">
      <c r="A35" s="32">
        <v>19</v>
      </c>
      <c r="B35" s="34">
        <f t="shared" si="0"/>
        <v>15.406976744186005</v>
      </c>
    </row>
    <row r="36" spans="1:4" x14ac:dyDescent="0.3">
      <c r="A36" s="32">
        <v>20</v>
      </c>
      <c r="B36" s="34">
        <f t="shared" si="0"/>
        <v>15.116279069767401</v>
      </c>
    </row>
    <row r="37" spans="1:4" x14ac:dyDescent="0.3">
      <c r="A37" s="32">
        <v>23</v>
      </c>
      <c r="B37" s="34">
        <f t="shared" si="0"/>
        <v>14.825581395348797</v>
      </c>
    </row>
    <row r="38" spans="1:4" x14ac:dyDescent="0.3">
      <c r="A38" s="32">
        <v>24</v>
      </c>
      <c r="B38" s="34">
        <f t="shared" si="0"/>
        <v>14.534883720930193</v>
      </c>
    </row>
    <row r="39" spans="1:4" x14ac:dyDescent="0.3">
      <c r="A39" s="32">
        <v>25</v>
      </c>
      <c r="B39" s="34">
        <f t="shared" si="0"/>
        <v>14.244186046511588</v>
      </c>
    </row>
    <row r="40" spans="1:4" x14ac:dyDescent="0.3">
      <c r="A40" s="32">
        <v>26</v>
      </c>
      <c r="B40" s="34">
        <f t="shared" si="0"/>
        <v>13.953488372092984</v>
      </c>
    </row>
    <row r="41" spans="1:4" x14ac:dyDescent="0.3">
      <c r="A41" s="32">
        <v>27</v>
      </c>
      <c r="B41" s="34">
        <f t="shared" si="0"/>
        <v>13.66279069767438</v>
      </c>
    </row>
    <row r="42" spans="1:4" x14ac:dyDescent="0.3">
      <c r="A42" s="32">
        <v>30</v>
      </c>
      <c r="B42" s="34">
        <f t="shared" si="0"/>
        <v>13.372093023255776</v>
      </c>
    </row>
    <row r="43" spans="1:4" x14ac:dyDescent="0.3">
      <c r="A43" s="32">
        <v>31</v>
      </c>
      <c r="B43" s="34">
        <f t="shared" si="0"/>
        <v>13.081395348837171</v>
      </c>
    </row>
    <row r="44" spans="1:4" x14ac:dyDescent="0.3">
      <c r="A44" s="32">
        <v>1</v>
      </c>
      <c r="B44" s="34">
        <f t="shared" si="0"/>
        <v>12.790697674418567</v>
      </c>
      <c r="D44" t="s">
        <v>59</v>
      </c>
    </row>
    <row r="45" spans="1:4" x14ac:dyDescent="0.3">
      <c r="A45" s="32">
        <v>2</v>
      </c>
      <c r="B45" s="34">
        <f t="shared" si="0"/>
        <v>12.499999999999963</v>
      </c>
    </row>
    <row r="46" spans="1:4" x14ac:dyDescent="0.3">
      <c r="A46" s="32">
        <v>3</v>
      </c>
      <c r="B46" s="34">
        <f t="shared" si="0"/>
        <v>12.209302325581358</v>
      </c>
    </row>
    <row r="47" spans="1:4" x14ac:dyDescent="0.3">
      <c r="A47" s="32">
        <v>6</v>
      </c>
      <c r="B47" s="34">
        <f t="shared" si="0"/>
        <v>11.918604651162754</v>
      </c>
    </row>
    <row r="48" spans="1:4" x14ac:dyDescent="0.3">
      <c r="A48" s="32">
        <v>7</v>
      </c>
      <c r="B48" s="34">
        <f t="shared" si="0"/>
        <v>11.62790697674415</v>
      </c>
    </row>
    <row r="49" spans="1:2" x14ac:dyDescent="0.3">
      <c r="A49" s="32">
        <v>8</v>
      </c>
      <c r="B49" s="34">
        <f t="shared" si="0"/>
        <v>11.337209302325546</v>
      </c>
    </row>
    <row r="50" spans="1:2" x14ac:dyDescent="0.3">
      <c r="A50" s="32">
        <v>9</v>
      </c>
      <c r="B50" s="34">
        <f t="shared" si="0"/>
        <v>11.046511627906941</v>
      </c>
    </row>
    <row r="51" spans="1:2" x14ac:dyDescent="0.3">
      <c r="A51" s="32">
        <v>10</v>
      </c>
      <c r="B51" s="34">
        <f t="shared" si="0"/>
        <v>10.755813953488337</v>
      </c>
    </row>
    <row r="52" spans="1:2" x14ac:dyDescent="0.3">
      <c r="A52" s="32">
        <v>13</v>
      </c>
      <c r="B52" s="34">
        <f t="shared" si="0"/>
        <v>10.465116279069733</v>
      </c>
    </row>
    <row r="53" spans="1:2" x14ac:dyDescent="0.3">
      <c r="A53" s="32">
        <v>14</v>
      </c>
      <c r="B53" s="34">
        <f t="shared" si="0"/>
        <v>10.174418604651128</v>
      </c>
    </row>
    <row r="54" spans="1:2" x14ac:dyDescent="0.3">
      <c r="A54" s="32">
        <v>15</v>
      </c>
      <c r="B54" s="34">
        <f t="shared" si="0"/>
        <v>9.8837209302325242</v>
      </c>
    </row>
    <row r="55" spans="1:2" x14ac:dyDescent="0.3">
      <c r="A55" s="32">
        <v>16</v>
      </c>
      <c r="B55" s="34">
        <f t="shared" si="0"/>
        <v>9.5930232558139199</v>
      </c>
    </row>
    <row r="56" spans="1:2" x14ac:dyDescent="0.3">
      <c r="A56" s="32">
        <v>17</v>
      </c>
      <c r="B56" s="34">
        <f t="shared" si="0"/>
        <v>9.3023255813953156</v>
      </c>
    </row>
    <row r="57" spans="1:2" x14ac:dyDescent="0.3">
      <c r="A57" s="32">
        <v>20</v>
      </c>
      <c r="B57" s="34">
        <f t="shared" si="0"/>
        <v>9.0116279069767113</v>
      </c>
    </row>
    <row r="58" spans="1:2" x14ac:dyDescent="0.3">
      <c r="A58" s="32">
        <v>21</v>
      </c>
      <c r="B58" s="34">
        <f t="shared" si="0"/>
        <v>8.7209302325581071</v>
      </c>
    </row>
    <row r="59" spans="1:2" x14ac:dyDescent="0.3">
      <c r="A59" s="32">
        <v>22</v>
      </c>
      <c r="B59" s="34">
        <f t="shared" si="0"/>
        <v>8.4302325581395028</v>
      </c>
    </row>
    <row r="60" spans="1:2" x14ac:dyDescent="0.3">
      <c r="A60" s="32">
        <v>23</v>
      </c>
      <c r="B60" s="34">
        <f t="shared" si="0"/>
        <v>8.1395348837208985</v>
      </c>
    </row>
    <row r="61" spans="1:2" x14ac:dyDescent="0.3">
      <c r="A61" s="32">
        <v>24</v>
      </c>
      <c r="B61" s="34">
        <f t="shared" si="0"/>
        <v>7.8488372093022942</v>
      </c>
    </row>
    <row r="62" spans="1:2" x14ac:dyDescent="0.3">
      <c r="A62" s="32">
        <v>27</v>
      </c>
      <c r="B62" s="34">
        <f t="shared" si="0"/>
        <v>7.5581395348836899</v>
      </c>
    </row>
    <row r="63" spans="1:2" x14ac:dyDescent="0.3">
      <c r="A63" s="32">
        <v>28</v>
      </c>
      <c r="B63" s="34">
        <f t="shared" si="0"/>
        <v>7.2674418604650857</v>
      </c>
    </row>
    <row r="64" spans="1:2" x14ac:dyDescent="0.3">
      <c r="A64" s="32">
        <v>29</v>
      </c>
      <c r="B64" s="34">
        <f t="shared" si="0"/>
        <v>6.9767441860464814</v>
      </c>
    </row>
    <row r="65" spans="1:4" x14ac:dyDescent="0.3">
      <c r="A65" s="32">
        <v>30</v>
      </c>
      <c r="B65" s="34">
        <f t="shared" si="0"/>
        <v>6.6860465116278771</v>
      </c>
    </row>
    <row r="66" spans="1:4" x14ac:dyDescent="0.3">
      <c r="A66" s="32">
        <v>1</v>
      </c>
      <c r="B66" s="34">
        <f t="shared" si="0"/>
        <v>6.3953488372092728</v>
      </c>
      <c r="D66" t="s">
        <v>60</v>
      </c>
    </row>
    <row r="67" spans="1:4" x14ac:dyDescent="0.3">
      <c r="A67" s="32">
        <v>4</v>
      </c>
      <c r="B67" s="34">
        <f t="shared" si="0"/>
        <v>6.1046511627906686</v>
      </c>
    </row>
    <row r="68" spans="1:4" x14ac:dyDescent="0.3">
      <c r="A68" s="32">
        <v>5</v>
      </c>
      <c r="B68" s="34">
        <f t="shared" si="0"/>
        <v>5.8139534883720643</v>
      </c>
    </row>
    <row r="69" spans="1:4" x14ac:dyDescent="0.3">
      <c r="A69" s="32">
        <v>6</v>
      </c>
      <c r="B69" s="34">
        <f t="shared" ref="B69:B87" si="1">B68-25/86</f>
        <v>5.52325581395346</v>
      </c>
    </row>
    <row r="70" spans="1:4" x14ac:dyDescent="0.3">
      <c r="A70" s="32">
        <v>7</v>
      </c>
      <c r="B70" s="34">
        <f t="shared" si="1"/>
        <v>5.2325581395348557</v>
      </c>
    </row>
    <row r="71" spans="1:4" x14ac:dyDescent="0.3">
      <c r="A71" s="32">
        <v>8</v>
      </c>
      <c r="B71" s="34">
        <f t="shared" si="1"/>
        <v>4.9418604651162514</v>
      </c>
    </row>
    <row r="72" spans="1:4" x14ac:dyDescent="0.3">
      <c r="A72" s="32">
        <v>11</v>
      </c>
      <c r="B72" s="34">
        <f t="shared" si="1"/>
        <v>4.6511627906976472</v>
      </c>
    </row>
    <row r="73" spans="1:4" x14ac:dyDescent="0.3">
      <c r="A73" s="32">
        <v>12</v>
      </c>
      <c r="B73" s="34">
        <f t="shared" si="1"/>
        <v>4.3604651162790429</v>
      </c>
    </row>
    <row r="74" spans="1:4" x14ac:dyDescent="0.3">
      <c r="A74" s="32">
        <v>13</v>
      </c>
      <c r="B74" s="34">
        <f t="shared" si="1"/>
        <v>4.0697674418604386</v>
      </c>
    </row>
    <row r="75" spans="1:4" x14ac:dyDescent="0.3">
      <c r="A75" s="32">
        <v>14</v>
      </c>
      <c r="B75" s="34">
        <f t="shared" si="1"/>
        <v>3.7790697674418339</v>
      </c>
    </row>
    <row r="76" spans="1:4" x14ac:dyDescent="0.3">
      <c r="A76" s="32">
        <v>15</v>
      </c>
      <c r="B76" s="34">
        <f t="shared" si="1"/>
        <v>3.4883720930232291</v>
      </c>
    </row>
    <row r="77" spans="1:4" x14ac:dyDescent="0.3">
      <c r="A77" s="32">
        <v>18</v>
      </c>
      <c r="B77" s="34">
        <f t="shared" si="1"/>
        <v>3.1976744186046244</v>
      </c>
    </row>
    <row r="78" spans="1:4" x14ac:dyDescent="0.3">
      <c r="A78" s="32">
        <v>19</v>
      </c>
      <c r="B78" s="34">
        <f t="shared" si="1"/>
        <v>2.9069767441860197</v>
      </c>
    </row>
    <row r="79" spans="1:4" x14ac:dyDescent="0.3">
      <c r="A79" s="32">
        <v>20</v>
      </c>
      <c r="B79" s="34">
        <f t="shared" si="1"/>
        <v>2.616279069767415</v>
      </c>
    </row>
    <row r="80" spans="1:4" x14ac:dyDescent="0.3">
      <c r="A80" s="32">
        <v>21</v>
      </c>
      <c r="B80" s="34">
        <f t="shared" si="1"/>
        <v>2.3255813953488103</v>
      </c>
    </row>
    <row r="81" spans="1:4" x14ac:dyDescent="0.3">
      <c r="A81" s="32">
        <v>22</v>
      </c>
      <c r="B81" s="34">
        <f t="shared" si="1"/>
        <v>2.0348837209302055</v>
      </c>
    </row>
    <row r="82" spans="1:4" x14ac:dyDescent="0.3">
      <c r="A82" s="32">
        <v>25</v>
      </c>
      <c r="B82" s="34">
        <f t="shared" si="1"/>
        <v>1.7441860465116008</v>
      </c>
    </row>
    <row r="83" spans="1:4" x14ac:dyDescent="0.3">
      <c r="A83" s="32">
        <v>26</v>
      </c>
      <c r="B83" s="34">
        <f t="shared" si="1"/>
        <v>1.4534883720929961</v>
      </c>
    </row>
    <row r="84" spans="1:4" x14ac:dyDescent="0.3">
      <c r="A84" s="32">
        <v>27</v>
      </c>
      <c r="B84" s="34">
        <f t="shared" si="1"/>
        <v>1.1627906976743914</v>
      </c>
    </row>
    <row r="85" spans="1:4" x14ac:dyDescent="0.3">
      <c r="A85" s="32">
        <v>28</v>
      </c>
      <c r="B85" s="34">
        <f t="shared" si="1"/>
        <v>0.87209302325578664</v>
      </c>
    </row>
    <row r="86" spans="1:4" x14ac:dyDescent="0.3">
      <c r="A86" s="32">
        <v>29</v>
      </c>
      <c r="B86" s="34">
        <f t="shared" si="1"/>
        <v>0.58139534883718191</v>
      </c>
    </row>
    <row r="87" spans="1:4" x14ac:dyDescent="0.3">
      <c r="A87" s="32">
        <v>1</v>
      </c>
      <c r="B87" s="34">
        <f t="shared" si="1"/>
        <v>0.29069767441857725</v>
      </c>
      <c r="D87" t="s">
        <v>61</v>
      </c>
    </row>
    <row r="88" spans="1:4" x14ac:dyDescent="0.3">
      <c r="A88" s="32"/>
    </row>
    <row r="89" spans="1:4" x14ac:dyDescent="0.3">
      <c r="A89" s="32"/>
    </row>
    <row r="90" spans="1:4" x14ac:dyDescent="0.3">
      <c r="A90" s="32"/>
    </row>
    <row r="91" spans="1:4" x14ac:dyDescent="0.3">
      <c r="A91" s="32"/>
    </row>
    <row r="92" spans="1:4" x14ac:dyDescent="0.3">
      <c r="A92" s="32"/>
    </row>
    <row r="93" spans="1:4" x14ac:dyDescent="0.3">
      <c r="A93" s="32"/>
    </row>
    <row r="94" spans="1:4" x14ac:dyDescent="0.3">
      <c r="A94" s="32"/>
    </row>
    <row r="95" spans="1:4" x14ac:dyDescent="0.3">
      <c r="A95" s="32"/>
    </row>
    <row r="96" spans="1:4" x14ac:dyDescent="0.3">
      <c r="A96" s="32"/>
    </row>
    <row r="97" spans="1:1" x14ac:dyDescent="0.3">
      <c r="A97" s="32"/>
    </row>
    <row r="98" spans="1:1" x14ac:dyDescent="0.3">
      <c r="A98" s="32"/>
    </row>
    <row r="99" spans="1:1" x14ac:dyDescent="0.3">
      <c r="A99" s="32"/>
    </row>
    <row r="100" spans="1:1" x14ac:dyDescent="0.3">
      <c r="A100" s="32"/>
    </row>
    <row r="101" spans="1:1" x14ac:dyDescent="0.3">
      <c r="A101" s="32"/>
    </row>
    <row r="102" spans="1:1" x14ac:dyDescent="0.3">
      <c r="A102" s="32"/>
    </row>
    <row r="103" spans="1:1" x14ac:dyDescent="0.3">
      <c r="A103" s="32"/>
    </row>
    <row r="104" spans="1:1" x14ac:dyDescent="0.3">
      <c r="A104" s="32"/>
    </row>
    <row r="105" spans="1:1" x14ac:dyDescent="0.3">
      <c r="A105" s="32"/>
    </row>
    <row r="106" spans="1:1" x14ac:dyDescent="0.3">
      <c r="A106" s="32"/>
    </row>
    <row r="107" spans="1:1" x14ac:dyDescent="0.3">
      <c r="A107" s="32"/>
    </row>
    <row r="108" spans="1:1" x14ac:dyDescent="0.3">
      <c r="A108" s="32"/>
    </row>
    <row r="109" spans="1:1" x14ac:dyDescent="0.3">
      <c r="A109" s="32"/>
    </row>
    <row r="110" spans="1:1" x14ac:dyDescent="0.3">
      <c r="A110" s="32"/>
    </row>
    <row r="111" spans="1:1" x14ac:dyDescent="0.3">
      <c r="A111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C1 Earned Value Analysis</vt:lpstr>
      <vt:lpstr>C2 Earned Value Projections</vt:lpstr>
      <vt:lpstr>D1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jcdam</dc:creator>
  <cp:lastModifiedBy>Joette</cp:lastModifiedBy>
  <dcterms:created xsi:type="dcterms:W3CDTF">2021-10-28T00:10:05Z</dcterms:created>
  <dcterms:modified xsi:type="dcterms:W3CDTF">2021-11-04T18:45:25Z</dcterms:modified>
</cp:coreProperties>
</file>