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torr\Downloads\"/>
    </mc:Choice>
  </mc:AlternateContent>
  <xr:revisionPtr revIDLastSave="0" documentId="13_ncr:1_{A1A8ED1C-0D8D-4CA2-969C-702CD9884DDC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RData" sheetId="1" r:id="rId1"/>
    <sheet name="Categ" sheetId="3" r:id="rId2"/>
    <sheet name="Subcate" sheetId="4" r:id="rId3"/>
    <sheet name="Date" sheetId="5" r:id="rId4"/>
    <sheet name="Goal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2" i="6"/>
  <c r="H12" i="6" s="1"/>
  <c r="C12" i="6"/>
  <c r="B12" i="6"/>
  <c r="F12" i="6" s="1"/>
  <c r="D11" i="6"/>
  <c r="H11" i="6" s="1"/>
  <c r="C11" i="6"/>
  <c r="G11" i="6" s="1"/>
  <c r="B11" i="6"/>
  <c r="F11" i="6" s="1"/>
  <c r="D10" i="6"/>
  <c r="H10" i="6" s="1"/>
  <c r="C10" i="6"/>
  <c r="G10" i="6" s="1"/>
  <c r="B10" i="6"/>
  <c r="F10" i="6" s="1"/>
  <c r="D9" i="6"/>
  <c r="H9" i="6" s="1"/>
  <c r="C9" i="6"/>
  <c r="G9" i="6" s="1"/>
  <c r="B9" i="6"/>
  <c r="F9" i="6" s="1"/>
  <c r="D8" i="6"/>
  <c r="H8" i="6" s="1"/>
  <c r="C8" i="6"/>
  <c r="G8" i="6" s="1"/>
  <c r="B8" i="6"/>
  <c r="F8" i="6" s="1"/>
  <c r="D7" i="6"/>
  <c r="H7" i="6" s="1"/>
  <c r="C7" i="6"/>
  <c r="G7" i="6" s="1"/>
  <c r="B7" i="6"/>
  <c r="F7" i="6" s="1"/>
  <c r="D6" i="6"/>
  <c r="H6" i="6" s="1"/>
  <c r="C6" i="6"/>
  <c r="G6" i="6" s="1"/>
  <c r="B6" i="6"/>
  <c r="F6" i="6" s="1"/>
  <c r="D5" i="6"/>
  <c r="H5" i="6" s="1"/>
  <c r="C5" i="6"/>
  <c r="G5" i="6" s="1"/>
  <c r="B5" i="6"/>
  <c r="F5" i="6" s="1"/>
  <c r="D4" i="6"/>
  <c r="H4" i="6" s="1"/>
  <c r="C4" i="6"/>
  <c r="G4" i="6" s="1"/>
  <c r="B4" i="6"/>
  <c r="F4" i="6" s="1"/>
  <c r="D3" i="6"/>
  <c r="H3" i="6" s="1"/>
  <c r="C3" i="6"/>
  <c r="G3" i="6" s="1"/>
  <c r="B3" i="6"/>
  <c r="F3" i="6" s="1"/>
  <c r="D13" i="6"/>
  <c r="H13" i="6" s="1"/>
  <c r="G12" i="6"/>
  <c r="G13" i="6"/>
  <c r="F13" i="6"/>
  <c r="C13" i="6"/>
  <c r="B13" i="6"/>
  <c r="H2" i="6"/>
  <c r="G2" i="6"/>
  <c r="F2" i="6"/>
  <c r="D2" i="6"/>
  <c r="C2" i="6"/>
  <c r="E12" i="6"/>
  <c r="E11" i="6"/>
  <c r="E10" i="6"/>
  <c r="E9" i="6"/>
  <c r="E8" i="6"/>
  <c r="E7" i="6"/>
  <c r="E6" i="6"/>
  <c r="E5" i="6"/>
  <c r="E4" i="6"/>
  <c r="E3" i="6"/>
  <c r="E2" i="6"/>
  <c r="B2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<sst xmlns="http://schemas.openxmlformats.org/spreadsheetml/2006/main" count="24820" uniqueCount="8400">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</sst>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0" fillId="0" borderId="0" xfId="1" applyNumberFormat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 patternType="solid">
          <bgColor rgb="FF92D050"/>
        </patternFill>
      </fill>
    </dxf>
    <dxf>
      <fill>
        <patternFill>
          <bgColor rgb="FFFF696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969"/>
      <color rgb="FFFF7171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[KickstarterData.xlsx]Categ!PivotTable4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2944006999125111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8-4FB8-9AF2-5151C1429CB6}"/>
            </c:ext>
          </c:extLst>
        </c:ser>
        <c:ser>
          <c:idx val="1"/>
          <c:order val="1"/>
          <c:tx>
            <c:strRef>
              <c:f>Categ!$C$3:$C$4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8-4FB8-9AF2-5151C1429CB6}"/>
            </c:ext>
          </c:extLst>
        </c:ser>
        <c:ser>
          <c:idx val="2"/>
          <c:order val="2"/>
          <c:tx>
            <c:strRef>
              <c:f>Categ!$D$3:$D$4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58-4FB8-9AF2-5151C1429CB6}"/>
            </c:ext>
          </c:extLst>
        </c:ser>
        <c:ser>
          <c:idx val="3"/>
          <c:order val="3"/>
          <c:tx>
            <c:strRef>
              <c:f>Categ!$E$3:$E$4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58-4FB8-9AF2-5151C1429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473983"/>
        <c:axId val="265290655"/>
      </c:barChart>
      <c:catAx>
        <c:axId val="797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290655"/>
        <c:crosses val="autoZero"/>
        <c:auto val="1"/>
        <c:lblAlgn val="ctr"/>
        <c:lblOffset val="100"/>
        <c:noMultiLvlLbl val="0"/>
      </c:catAx>
      <c:valAx>
        <c:axId val="2652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4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[KickstarterData.xlsx]Subcate!PivotTable5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8-4CA7-85B6-19AB8D3C855B}"/>
            </c:ext>
          </c:extLst>
        </c:ser>
        <c:ser>
          <c:idx val="1"/>
          <c:order val="1"/>
          <c:tx>
            <c:strRef>
              <c:f>Subcate!$C$4:$C$5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08-4CA7-85B6-19AB8D3C855B}"/>
            </c:ext>
          </c:extLst>
        </c:ser>
        <c:ser>
          <c:idx val="2"/>
          <c:order val="2"/>
          <c:tx>
            <c:strRef>
              <c:f>Subcate!$D$4:$D$5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Subcate!$A$6:$A$47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08-4CA7-85B6-19AB8D3C855B}"/>
            </c:ext>
          </c:extLst>
        </c:ser>
        <c:ser>
          <c:idx val="3"/>
          <c:order val="3"/>
          <c:tx>
            <c:strRef>
              <c:f>Subcate!$E$4:$E$5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08-4CA7-85B6-19AB8D3C8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543631"/>
        <c:axId val="667648751"/>
      </c:barChart>
      <c:catAx>
        <c:axId val="26154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48751"/>
        <c:crosses val="autoZero"/>
        <c:auto val="1"/>
        <c:lblAlgn val="ctr"/>
        <c:lblOffset val="100"/>
        <c:noMultiLvlLbl val="0"/>
      </c:catAx>
      <c:valAx>
        <c:axId val="6676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4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[KickstarterData.xlsx]Date!PivotTable6</c:name>
    <c:fmtId val="29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7-4EA6-A115-FF02F18C3729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7-4EA6-A115-FF02F18C3729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7-4EA6-A115-FF02F18C3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272991"/>
        <c:axId val="792285887"/>
      </c:lineChart>
      <c:catAx>
        <c:axId val="79227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5887"/>
        <c:crosses val="autoZero"/>
        <c:auto val="1"/>
        <c:lblAlgn val="ctr"/>
        <c:lblOffset val="100"/>
        <c:noMultiLvlLbl val="0"/>
      </c:catAx>
      <c:valAx>
        <c:axId val="7922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7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3-4324-A81A-B66649F8EB39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3-4324-A81A-B66649F8EB39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63-4324-A81A-B66649F8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466975"/>
        <c:axId val="829466559"/>
      </c:lineChart>
      <c:catAx>
        <c:axId val="8294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66559"/>
        <c:crosses val="autoZero"/>
        <c:auto val="1"/>
        <c:lblAlgn val="ctr"/>
        <c:lblOffset val="100"/>
        <c:noMultiLvlLbl val="0"/>
      </c:catAx>
      <c:valAx>
        <c:axId val="82946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6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0</xdr:rowOff>
    </xdr:from>
    <xdr:to>
      <xdr:col>25</xdr:col>
      <xdr:colOff>129540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EFD06-772F-43C0-9935-166258584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41910</xdr:rowOff>
    </xdr:from>
    <xdr:to>
      <xdr:col>13</xdr:col>
      <xdr:colOff>441960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7D622-BD6A-4958-968D-B6BDB7B14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0</xdr:row>
      <xdr:rowOff>102870</xdr:rowOff>
    </xdr:from>
    <xdr:to>
      <xdr:col>12</xdr:col>
      <xdr:colOff>266700</xdr:colOff>
      <xdr:row>15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0358E-86D7-4A51-B22C-266816C6E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11430</xdr:rowOff>
    </xdr:from>
    <xdr:to>
      <xdr:col>8</xdr:col>
      <xdr:colOff>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EA1B-2ABB-4065-8C14-68529061A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Torres" refreshedDate="44302.973881597223" createdVersion="7" refreshedVersion="7" minRefreshableVersion="3" recordCount="4114" xr:uid="{F75164FF-9077-4877-B408-A2CB0355F3B8}">
  <cacheSource type="worksheet">
    <worksheetSource ref="A1:T4115" sheet="R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Torres" refreshedDate="44303.431851620371" createdVersion="7" refreshedVersion="7" minRefreshableVersion="3" recordCount="4114" xr:uid="{886CC08A-B533-4F92-87A5-CC2BDE9B39C3}">
  <cacheSource type="worksheet">
    <worksheetSource ref="A1:R4115" sheet="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32889-8E17-4ED2-8E62-84499180561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819C1-4270-494E-BD56-866D007D2E9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D3999-8B2E-4DED-AC79-B7AA1A467A02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21875" style="5" customWidth="1"/>
    <col min="16" max="16" width="24.44140625" customWidth="1"/>
    <col min="17" max="17" width="16.109375" customWidth="1"/>
    <col min="18" max="18" width="17.77734375" customWidth="1"/>
    <col min="19" max="19" width="32.33203125" style="13" customWidth="1"/>
    <col min="20" max="20" width="36.441406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IF(L2&gt;0,E2/L2,0)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6">
        <f t="shared" ref="P3:P66" si="1">IF(L3&gt;0,E3/L3,0)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6">
        <f t="shared" ref="P131:P194" si="13">IF(L131&gt;0,E131/L131,0)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6">
        <f t="shared" ref="P195:P258" si="19">IF(L195&gt;0,E195/L195,0)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6">
        <f t="shared" ref="P259:P322" si="25">IF(L259&gt;0,E259/L259,0)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6">
        <f t="shared" ref="P323:P386" si="31">IF(L323&gt;0,E323/L323,0)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6">
        <f t="shared" ref="P387:P450" si="37">IF(L387&gt;0,E387/L387,0)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6">
        <f t="shared" ref="P451:P514" si="43">IF(L451&gt;0,E451/L451,0)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6">
        <f t="shared" ref="P515:P578" si="49">IF(L515&gt;0,E515/L515,0)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6">
        <f t="shared" ref="P579:P642" si="55">IF(L579&gt;0,E579/L579,0)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6">
        <f t="shared" ref="P643:P706" si="61">IF(L643&gt;0,E643/L643,0)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6">
        <f t="shared" ref="P707:P770" si="67">IF(L707&gt;0,E707/L707,0)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6">
        <f t="shared" ref="P771:P834" si="73">IF(L771&gt;0,E771/L771,0)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6">
        <f t="shared" ref="P835:P898" si="79">IF(L835&gt;0,E835/L835,0)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6">
        <f t="shared" ref="P899:P962" si="85">IF(L899&gt;0,E899/L899,0)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6">
        <f t="shared" ref="P963:P1026" si="91">IF(L963&gt;0,E963/L963,0)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6">
        <f t="shared" ref="P1027:P1090" si="97">IF(L1027&gt;0,E1027/L1027,0)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6">
        <f t="shared" ref="P1091:P1154" si="103">IF(L1091&gt;0,E1091/L1091,0)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6">
        <f t="shared" ref="P1155:P1218" si="109">IF(L1155&gt;0,E1155/L1155,0)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6">
        <f t="shared" ref="P1219:P1282" si="115">IF(L1219&gt;0,E1219/L1219,0)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6">
        <f t="shared" ref="P1283:P1346" si="121">IF(L1283&gt;0,E1283/L1283,0)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6">
        <f t="shared" ref="P1347:P1410" si="127">IF(L1347&gt;0,E1347/L1347,0)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6">
        <f t="shared" ref="P1411:P1474" si="133">IF(L1411&gt;0,E1411/L1411,0)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6">
        <f t="shared" ref="P1475:P1538" si="139">IF(L1475&gt;0,E1475/L1475,0)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6">
        <f t="shared" ref="P1539:P1602" si="145">IF(L1539&gt;0,E1539/L1539,0)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6">
        <f t="shared" ref="P1603:P1666" si="151">IF(L1603&gt;0,E1603/L1603,0)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6">
        <f t="shared" ref="P1667:P1730" si="157">IF(L1667&gt;0,E1667/L1667,0)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6">
        <f t="shared" ref="P1731:P1794" si="163">IF(L1731&gt;0,E1731/L1731,0)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6">
        <f t="shared" ref="P1795:P1858" si="169">IF(L1795&gt;0,E1795/L1795,0)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6">
        <f t="shared" ref="P1859:P1922" si="175">IF(L1859&gt;0,E1859/L1859,0)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6">
        <f t="shared" ref="P1923:P1986" si="181">IF(L1923&gt;0,E1923/L1923,0)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6">
        <f t="shared" ref="P1987:P2050" si="187">IF(L1987&gt;0,E1987/L1987,0)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6">
        <f t="shared" ref="P2051:P2114" si="193">IF(L2051&gt;0,E2051/L2051,0)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6">
        <f t="shared" ref="P2115:P2178" si="199">IF(L2115&gt;0,E2115/L2115,0)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6">
        <f t="shared" ref="P2179:P2242" si="205">IF(L2179&gt;0,E2179/L2179,0)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6">
        <f t="shared" ref="P2243:P2306" si="211">IF(L2243&gt;0,E2243/L2243,0)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6">
        <f t="shared" ref="P2307:P2370" si="217">IF(L2307&gt;0,E2307/L2307,0)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6">
        <f t="shared" ref="P2371:P2434" si="223">IF(L2371&gt;0,E2371/L2371,0)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6">
        <f t="shared" ref="P2435:P2498" si="229">IF(L2435&gt;0,E2435/L2435,0)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6">
        <f t="shared" ref="P2499:P2562" si="235">IF(L2499&gt;0,E2499/L2499,0)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6">
        <f t="shared" ref="P2563:P2626" si="241">IF(L2563&gt;0,E2563/L2563,0)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6">
        <f t="shared" ref="P2627:P2690" si="247">IF(L2627&gt;0,E2627/L2627,0)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6">
        <f t="shared" ref="P2691:P2754" si="253">IF(L2691&gt;0,E2691/L2691,0)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6">
        <f t="shared" ref="P2755:P2818" si="259">IF(L2755&gt;0,E2755/L2755,0)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6">
        <f t="shared" ref="P2819:P2882" si="265">IF(L2819&gt;0,E2819/L2819,0)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6">
        <f t="shared" ref="P2883:P2946" si="271">IF(L2883&gt;0,E2883/L2883,0)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6">
        <f t="shared" ref="P2947:P3010" si="277">IF(L2947&gt;0,E2947/L2947,0)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6">
        <f t="shared" ref="P3011:P3074" si="283">IF(L3011&gt;0,E3011/L3011,0)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6">
        <f t="shared" ref="P3075:P3138" si="289">IF(L3075&gt;0,E3075/L3075,0)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6">
        <f t="shared" ref="P3139:P3202" si="295">IF(L3139&gt;0,E3139/L3139,0)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6">
        <f t="shared" ref="P3203:P3266" si="301">IF(L3203&gt;0,E3203/L3203,0)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6">
        <f t="shared" ref="P3267:P3330" si="307">IF(L3267&gt;0,E3267/L3267,0)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6">
        <f t="shared" ref="P3331:P3394" si="313">IF(L3331&gt;0,E3331/L3331,0)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6">
        <f t="shared" ref="P3395:P3458" si="319">IF(L3395&gt;0,E3395/L3395,0)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6">
        <f t="shared" ref="P3459:P3522" si="325">IF(L3459&gt;0,E3459/L3459,0)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6">
        <f t="shared" ref="P3523:P3586" si="331">IF(L3523&gt;0,E3523/L3523,0)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6">
        <f t="shared" ref="P3587:P3650" si="337">IF(L3587&gt;0,E3587/L3587,0)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6">
        <f t="shared" ref="P3651:P3714" si="343">IF(L3651&gt;0,E3651/L3651,0)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6">
        <f t="shared" ref="P3715:P3778" si="349">IF(L3715&gt;0,E3715/L3715,0)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6">
        <f t="shared" ref="P3779:P3842" si="355">IF(L3779&gt;0,E3779/L3779,0)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6">
        <f t="shared" ref="P3843:P3906" si="361">IF(L3843&gt;0,E3843/L3843,0)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6">
        <f t="shared" ref="P3907:P3970" si="367">IF(L3907&gt;0,E3907/L3907,0)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6">
        <f t="shared" ref="P3971:P4034" si="373">IF(L3971&gt;0,E3971/L3971,0)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6">
        <f t="shared" ref="P4035:P4098" si="379">IF(L4035&gt;0,E4035/L4035,0)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6">
        <f t="shared" ref="P4099:P4115" si="385">IF(L4099&gt;0,E4099/L4099,0)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3">
        <f t="shared" ref="S4099:S4162" si="388">(((J4099/60)/60)/24)+DATE(1970,1,1)</f>
        <v>42344.824502314819</v>
      </c>
      <c r="T4099" s="13">
        <f t="shared" ref="T4099:T4162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67FBC-FBE7-4DAC-A55C-E65D9A12BB89}">
  <dimension ref="A1:F14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664" width="3.44140625" bestFit="1" customWidth="1"/>
    <col min="665" max="1150" width="4.44140625" bestFit="1" customWidth="1"/>
    <col min="1151" max="2851" width="5.44140625" bestFit="1" customWidth="1"/>
    <col min="2852" max="2877" width="6.44140625" bestFit="1" customWidth="1"/>
    <col min="2878" max="2878" width="7.44140625" bestFit="1" customWidth="1"/>
    <col min="2879" max="2880" width="8.44140625" bestFit="1" customWidth="1"/>
    <col min="2881" max="2881" width="9.44140625" bestFit="1" customWidth="1"/>
    <col min="2882" max="2882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3F62C-D6AF-491D-8296-6E462755116D}">
  <dimension ref="A1:F47"/>
  <sheetViews>
    <sheetView topLeftCell="A10" workbookViewId="0">
      <selection activeCell="B9" sqref="B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0526-BB70-4271-991E-C7972A8B1641}">
  <dimension ref="A1:E18"/>
  <sheetViews>
    <sheetView workbookViewId="0">
      <selection activeCell="P31" sqref="P3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8362</v>
      </c>
      <c r="B4" s="8" t="s">
        <v>8363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1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1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1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1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1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1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1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1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1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1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1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1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8978A-7279-4880-B193-35E9BE1AEAF1}">
  <dimension ref="A1:I13"/>
  <sheetViews>
    <sheetView workbookViewId="0">
      <selection activeCell="K36" sqref="K36"/>
    </sheetView>
  </sheetViews>
  <sheetFormatPr defaultRowHeight="14.4" x14ac:dyDescent="0.3"/>
  <cols>
    <col min="1" max="1" width="26.33203125" customWidth="1"/>
    <col min="2" max="2" width="18.109375" customWidth="1"/>
    <col min="3" max="3" width="17.77734375" customWidth="1"/>
    <col min="4" max="4" width="17.6640625" customWidth="1"/>
    <col min="5" max="5" width="12.6640625" customWidth="1"/>
    <col min="6" max="6" width="20.21875" customWidth="1"/>
    <col min="7" max="7" width="17.88671875" customWidth="1"/>
    <col min="8" max="8" width="18.21875" customWidth="1"/>
  </cols>
  <sheetData>
    <row r="1" spans="1:9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3">
      <c r="A2" t="s">
        <v>8388</v>
      </c>
      <c r="B2">
        <f>COUNTIFS(RData!$D$2:$D$4115,"&lt;1000",RData!$F$2:$F$4115,"=successful")</f>
        <v>322</v>
      </c>
      <c r="C2">
        <f>COUNTIFS(RData!$D$2:$D$4115,"&lt;1000",RData!$F$2:$F$4115,"=failed")</f>
        <v>113</v>
      </c>
      <c r="D2">
        <f>COUNTIFS(RData!$D$2:$D$4115,"&lt;1000",RData!$F$2:$F$4115,"=canceled")</f>
        <v>18</v>
      </c>
      <c r="E2">
        <f>COUNTIF(RData!$D$2:$D$4115,"&lt;1000")</f>
        <v>461</v>
      </c>
      <c r="F2" s="7">
        <f>B2/E2</f>
        <v>0.69848156182212584</v>
      </c>
      <c r="G2" s="7">
        <f>C2/E2</f>
        <v>0.24511930585683298</v>
      </c>
      <c r="H2" s="7">
        <f>D2/E2</f>
        <v>3.9045553145336226E-2</v>
      </c>
    </row>
    <row r="3" spans="1:9" x14ac:dyDescent="0.3">
      <c r="A3" t="s">
        <v>8389</v>
      </c>
      <c r="B3">
        <f>COUNTIFS(RData!$D$2:$D$4115,"&gt;=1000",RData!$D$2:$D$4115,"&lt;5000",RData!$F$2:$F$4115,"=successful")</f>
        <v>932</v>
      </c>
      <c r="C3">
        <f>COUNTIFS(RData!$D$2:$D$4115,"&gt;=1000",RData!$D$2:$D$4115,"&lt;5000",RData!$F$2:$F$4115,"=failed")</f>
        <v>420</v>
      </c>
      <c r="D3">
        <f>COUNTIFS(RData!$D$2:$D$4115,"&gt;=1000",RData!$D$2:$D$4115,"&lt;5000",RData!$F$2:$F$4115,"=canceled")</f>
        <v>60</v>
      </c>
      <c r="E3">
        <f>COUNTIF(RData!$D$2:$D$4115,"&gt;=1000")-COUNTIF(RData!$D$2:$D$4115,"&gt;4999")</f>
        <v>1425</v>
      </c>
      <c r="F3" s="7">
        <f t="shared" ref="F3:F13" si="0">B3/E3</f>
        <v>0.65403508771929819</v>
      </c>
      <c r="G3" s="7">
        <f t="shared" ref="G3:G13" si="1">C3/E3</f>
        <v>0.29473684210526313</v>
      </c>
      <c r="H3" s="7">
        <f t="shared" ref="H3:H13" si="2">D3/E3</f>
        <v>4.2105263157894736E-2</v>
      </c>
    </row>
    <row r="4" spans="1:9" x14ac:dyDescent="0.3">
      <c r="A4" t="s">
        <v>8390</v>
      </c>
      <c r="B4">
        <f>COUNTIFS(RData!$D$2:$D$4115,"&gt;=5000",RData!$D$2:$D$4115,"&lt;10000",RData!$F$2:$F$4115,"=successful")</f>
        <v>381</v>
      </c>
      <c r="C4">
        <f>COUNTIFS(RData!$D$2:$D$4115,"&gt;=5000",RData!$D$2:$D$4115,"&lt;10000",RData!$F$2:$F$4115,"=failed")</f>
        <v>283</v>
      </c>
      <c r="D4">
        <f>COUNTIFS(RData!$D$2:$D$4115,"&gt;=5000",RData!$D$2:$D$4115,"&lt;10000",RData!$F$2:$F$4115,"=canceled")</f>
        <v>52</v>
      </c>
      <c r="E4">
        <f>COUNTIF(RData!$D$2:$D$4115,"&gt;=5000")-COUNTIF(RData!$D$2:$D$4115,"&gt;9999")</f>
        <v>722</v>
      </c>
      <c r="F4" s="7">
        <f t="shared" si="0"/>
        <v>0.52770083102493071</v>
      </c>
      <c r="G4" s="7">
        <f t="shared" si="1"/>
        <v>0.39196675900277006</v>
      </c>
      <c r="H4" s="7">
        <f t="shared" si="2"/>
        <v>7.2022160664819951E-2</v>
      </c>
    </row>
    <row r="5" spans="1:9" x14ac:dyDescent="0.3">
      <c r="A5" t="s">
        <v>8391</v>
      </c>
      <c r="B5">
        <f>COUNTIFS(RData!$D$2:$D$4115,"&gt;=10000",RData!$D$2:$D$4115,"&lt;15000",RData!$F$2:$F$4115,"=successful")</f>
        <v>168</v>
      </c>
      <c r="C5">
        <f>COUNTIFS(RData!$D$2:$D$4115,"&gt;=10000",RData!$D$2:$D$4115,"&lt;15000",RData!$F$2:$F$4115,"=failed")</f>
        <v>144</v>
      </c>
      <c r="D5">
        <f>COUNTIFS(RData!$D$2:$D$4115,"&gt;=10000",RData!$D$2:$D$4115,"&lt;15000",RData!$F$2:$F$4115,"=canceled")</f>
        <v>40</v>
      </c>
      <c r="E5">
        <f>COUNTIF(RData!$D$2:$D$4115,"&gt;=10000")-COUNTIF(RData!$D$2:$D$4115,"&gt;14999")</f>
        <v>361</v>
      </c>
      <c r="F5" s="7">
        <f t="shared" si="0"/>
        <v>0.46537396121883656</v>
      </c>
      <c r="G5" s="7">
        <f t="shared" si="1"/>
        <v>0.39889196675900279</v>
      </c>
      <c r="H5" s="7">
        <f t="shared" si="2"/>
        <v>0.11080332409972299</v>
      </c>
    </row>
    <row r="6" spans="1:9" x14ac:dyDescent="0.3">
      <c r="A6" t="s">
        <v>8392</v>
      </c>
      <c r="B6">
        <f>COUNTIFS(RData!$D$2:$D$4115,"&gt;=15000",RData!$D$2:$D$4115,"&lt;20000",RData!$F$2:$F$4115,"=successful")</f>
        <v>94</v>
      </c>
      <c r="C6">
        <f>COUNTIFS(RData!$D$2:$D$4115,"&gt;=15000",RData!$D$2:$D$4115,"&lt;20000",RData!$F$2:$F$4115,"=failed")</f>
        <v>90</v>
      </c>
      <c r="D6">
        <f>COUNTIFS(RData!$D$2:$D$4115,"&gt;=15000",RData!$D$2:$D$4115,"&lt;20000",RData!$F$2:$F$4115,"=canceled")</f>
        <v>17</v>
      </c>
      <c r="E6">
        <f>COUNTIF(RData!$D$2:$D$4115,"&gt;=15000")-COUNTIF(RData!$D$2:$D$4115,"&gt;19999")</f>
        <v>205</v>
      </c>
      <c r="F6" s="7">
        <f t="shared" si="0"/>
        <v>0.45853658536585368</v>
      </c>
      <c r="G6" s="7">
        <f t="shared" si="1"/>
        <v>0.43902439024390244</v>
      </c>
      <c r="H6" s="7">
        <f t="shared" si="2"/>
        <v>8.2926829268292687E-2</v>
      </c>
    </row>
    <row r="7" spans="1:9" x14ac:dyDescent="0.3">
      <c r="A7" t="s">
        <v>8393</v>
      </c>
      <c r="B7">
        <f>COUNTIFS(RData!$D$2:$D$4115,"&gt;=20000",RData!$D$2:$D$4115,"&lt;25000",RData!$F$2:$F$4115,"=successful")</f>
        <v>62</v>
      </c>
      <c r="C7">
        <f>COUNTIFS(RData!$D$2:$D$4115,"&gt;=20000",RData!$D$2:$D$4115,"&lt;25000",RData!$F$2:$F$4115,"=failed")</f>
        <v>72</v>
      </c>
      <c r="D7">
        <f>COUNTIFS(RData!$D$2:$D$4115,"&gt;=20000",RData!$D$2:$D$4115,"&lt;25000",RData!$F$2:$F$4115,"=canceled")</f>
        <v>14</v>
      </c>
      <c r="E7">
        <f>COUNTIF(RData!$D$2:$D$4115,"&gt;=20000")-COUNTIF(RData!$D$2:$D$4115,"&gt;24999")</f>
        <v>149</v>
      </c>
      <c r="F7" s="7">
        <f t="shared" si="0"/>
        <v>0.41610738255033558</v>
      </c>
      <c r="G7" s="7">
        <f t="shared" si="1"/>
        <v>0.48322147651006714</v>
      </c>
      <c r="H7" s="7">
        <f t="shared" si="2"/>
        <v>9.3959731543624164E-2</v>
      </c>
    </row>
    <row r="8" spans="1:9" x14ac:dyDescent="0.3">
      <c r="A8" t="s">
        <v>8394</v>
      </c>
      <c r="B8">
        <f>COUNTIFS(RData!$D$2:$D$4115,"&gt;=25000",RData!$D$2:$D$4115,"&lt;30000",RData!$F$2:$F$4115,"=successful")</f>
        <v>55</v>
      </c>
      <c r="C8">
        <f>COUNTIFS(RData!$D$2:$D$4115,"&gt;=25000",RData!$D$2:$D$4115,"&lt;30000",RData!$F$2:$F$4115,"=failed")</f>
        <v>64</v>
      </c>
      <c r="D8">
        <f>COUNTIFS(RData!$D$2:$D$4115,"&gt;=25000",RData!$D$2:$D$4115,"&lt;30000",RData!$F$2:$F$4115,"=canceled")</f>
        <v>18</v>
      </c>
      <c r="E8">
        <f>COUNTIF(RData!$D$2:$D$4115,"&gt;=25000")-COUNTIF(RData!$D$2:$D$4115,"&gt;29999")</f>
        <v>138</v>
      </c>
      <c r="F8" s="7">
        <f t="shared" si="0"/>
        <v>0.39855072463768115</v>
      </c>
      <c r="G8" s="7">
        <f t="shared" si="1"/>
        <v>0.46376811594202899</v>
      </c>
      <c r="H8" s="7">
        <f t="shared" si="2"/>
        <v>0.13043478260869565</v>
      </c>
    </row>
    <row r="9" spans="1:9" x14ac:dyDescent="0.3">
      <c r="A9" t="s">
        <v>8395</v>
      </c>
      <c r="B9">
        <f>COUNTIFS(RData!$D$2:$D$4115,"&gt;=30000",RData!$D$2:$D$4115,"&lt;35000",RData!$F$2:$F$4115,"=successful")</f>
        <v>32</v>
      </c>
      <c r="C9">
        <f>COUNTIFS(RData!$D$2:$D$4115,"&gt;=30000",RData!$D$2:$D$4115,"&lt;35000",RData!$F$2:$F$4115,"=failed")</f>
        <v>37</v>
      </c>
      <c r="D9">
        <f>COUNTIFS(RData!$D$2:$D$4115,"&gt;=30000",RData!$D$2:$D$4115,"&lt;35000",RData!$F$2:$F$4115,"=canceled")</f>
        <v>13</v>
      </c>
      <c r="E9">
        <f>COUNTIF(RData!$D$2:$D$4115,"&gt;=30000")-COUNTIF(RData!$D$2:$D$4115,"&gt;34999")</f>
        <v>84</v>
      </c>
      <c r="F9" s="7">
        <f t="shared" si="0"/>
        <v>0.38095238095238093</v>
      </c>
      <c r="G9" s="7">
        <f t="shared" si="1"/>
        <v>0.44047619047619047</v>
      </c>
      <c r="H9" s="7">
        <f t="shared" si="2"/>
        <v>0.15476190476190477</v>
      </c>
    </row>
    <row r="10" spans="1:9" x14ac:dyDescent="0.3">
      <c r="A10" t="s">
        <v>8396</v>
      </c>
      <c r="B10">
        <f>COUNTIFS(RData!$D$2:$D$4115,"&gt;=35000",RData!$D$2:$D$4115,"&lt;40000",RData!$F$2:$F$4115,"=successful")</f>
        <v>26</v>
      </c>
      <c r="C10">
        <f>COUNTIFS(RData!$D$2:$D$4115,"&gt;=35000",RData!$D$2:$D$4115,"&lt;40000",RData!$F$2:$F$4115,"=failed")</f>
        <v>22</v>
      </c>
      <c r="D10">
        <f>COUNTIFS(RData!$D$2:$D$4115,"&gt;=35000",RData!$D$2:$D$4115,"&lt;40000",RData!$F$2:$F$4115,"=canceled")</f>
        <v>7</v>
      </c>
      <c r="E10">
        <f>COUNTIF(RData!$D$2:$D$4115,"&gt;=35000")-COUNTIF(RData!$D$2:$D$4115,"&gt;39999")</f>
        <v>55</v>
      </c>
      <c r="F10" s="7">
        <f t="shared" si="0"/>
        <v>0.47272727272727272</v>
      </c>
      <c r="G10" s="7">
        <f t="shared" si="1"/>
        <v>0.4</v>
      </c>
      <c r="H10" s="7">
        <f t="shared" si="2"/>
        <v>0.12727272727272726</v>
      </c>
    </row>
    <row r="11" spans="1:9" x14ac:dyDescent="0.3">
      <c r="A11" t="s">
        <v>8397</v>
      </c>
      <c r="B11">
        <f>COUNTIFS(RData!$D$2:$D$4115,"&gt;=40000",RData!$D$2:$D$4115,"&lt;45000",RData!$F$2:$F$4115,"=successful")</f>
        <v>21</v>
      </c>
      <c r="C11">
        <f>COUNTIFS(RData!$D$2:$D$4115,"&gt;=40000",RData!$D$2:$D$4115,"&lt;45000",RData!$F$2:$F$4115,"=failed")</f>
        <v>16</v>
      </c>
      <c r="D11">
        <f>COUNTIFS(RData!$D$2:$D$4115,"&gt;=40000",RData!$D$2:$D$4115,"&lt;45000",RData!$F$2:$F$4115,"=canceled")</f>
        <v>6</v>
      </c>
      <c r="E11">
        <f>COUNTIF(RData!$D$2:$D$4115,"&gt;=40000")-COUNTIF(RData!$D$2:$D$4115,"&gt;44999")</f>
        <v>44</v>
      </c>
      <c r="F11" s="7">
        <f t="shared" si="0"/>
        <v>0.47727272727272729</v>
      </c>
      <c r="G11" s="7">
        <f t="shared" si="1"/>
        <v>0.36363636363636365</v>
      </c>
      <c r="H11" s="7">
        <f t="shared" si="2"/>
        <v>0.13636363636363635</v>
      </c>
    </row>
    <row r="12" spans="1:9" x14ac:dyDescent="0.3">
      <c r="A12" t="s">
        <v>8398</v>
      </c>
      <c r="B12">
        <f>COUNTIFS(RData!$D$2:$D$4115,"&gt;=45000",RData!$D$2:$D$4115,"&lt;50000",RData!$F$2:$F$4115,"=successful")</f>
        <v>6</v>
      </c>
      <c r="C12">
        <f>COUNTIFS(RData!$D$2:$D$4115,"&gt;=45000",RData!$D$2:$D$4115,"&lt;50000",RData!$F$2:$F$4115,"=failed")</f>
        <v>11</v>
      </c>
      <c r="D12">
        <f>COUNTIFS(RData!$D$2:$D$4115,"&gt;=45000",RData!$D$2:$D$4115,"&lt;50000",RData!$F$2:$F$4115,"=canceled")</f>
        <v>4</v>
      </c>
      <c r="E12">
        <f>COUNTIF(RData!$D$2:$D$4115,"&gt;=45000")-COUNTIF(RData!$D$2:$D$4115,"&gt;49999")</f>
        <v>21</v>
      </c>
      <c r="F12" s="7">
        <f t="shared" si="0"/>
        <v>0.2857142857142857</v>
      </c>
      <c r="G12" s="7">
        <f t="shared" si="1"/>
        <v>0.52380952380952384</v>
      </c>
      <c r="H12" s="7">
        <f t="shared" si="2"/>
        <v>0.19047619047619047</v>
      </c>
    </row>
    <row r="13" spans="1:9" x14ac:dyDescent="0.3">
      <c r="A13" t="s">
        <v>8399</v>
      </c>
      <c r="B13">
        <f>COUNTIFS(RData!$D$2:$D$4115,"&gt;=50000",RData!$F$2:$F$4115,"=successful")</f>
        <v>86</v>
      </c>
      <c r="C13">
        <f>COUNTIFS(RData!$D$2:$D$4115,"&gt;=50000",RData!$F$2:$F$4115,"=failed")</f>
        <v>258</v>
      </c>
      <c r="D13">
        <f>COUNTIFS(RData!$D$2:$D$4115,"&gt;=50000",RData!$F$2:$F$4115,"=canceled")</f>
        <v>100</v>
      </c>
      <c r="E13">
        <f>COUNTIF(RData!$D$2:$D$4115,"&gt;=50000")</f>
        <v>449</v>
      </c>
      <c r="F13" s="7">
        <f t="shared" si="0"/>
        <v>0.19153674832962139</v>
      </c>
      <c r="G13" s="7">
        <f t="shared" si="1"/>
        <v>0.57461024498886415</v>
      </c>
      <c r="H13" s="7">
        <f t="shared" si="2"/>
        <v>0.22271714922048999</v>
      </c>
      <c r="I13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RData</vt:lpstr>
      <vt:lpstr>Categ</vt:lpstr>
      <vt:lpstr>Subcate</vt:lpstr>
      <vt:lpstr>Date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Torres</cp:lastModifiedBy>
  <dcterms:created xsi:type="dcterms:W3CDTF">2017-04-20T15:17:24Z</dcterms:created>
  <dcterms:modified xsi:type="dcterms:W3CDTF">2021-04-19T23:54:52Z</dcterms:modified>
</cp:coreProperties>
</file>