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Jan Kai Marek\Documents\MEGAsync\Programming\AndroidStudioProjects\ResourcesGameHelper\"/>
    </mc:Choice>
  </mc:AlternateContent>
  <xr:revisionPtr revIDLastSave="0" documentId="13_ncr:1_{E0FF3284-D93A-4189-A7D2-2707A360EDDD}" xr6:coauthVersionLast="47" xr6:coauthVersionMax="47" xr10:uidLastSave="{00000000-0000-0000-0000-000000000000}"/>
  <bookViews>
    <workbookView xWindow="-108" yWindow="-108" windowWidth="23256" windowHeight="12456" activeTab="2" xr2:uid="{00000000-000D-0000-FFFF-FFFF00000000}"/>
  </bookViews>
  <sheets>
    <sheet name="Supply Chain" sheetId="1" r:id="rId1"/>
    <sheet name="UserBuildings" sheetId="2" r:id="rId2"/>
    <sheet name="API INPUTS" sheetId="21" r:id="rId3"/>
    <sheet name="STATIC DATA" sheetId="22" r:id="rId4"/>
    <sheet name="README" sheetId="3" r:id="rId5"/>
    <sheet name="Mine ROI" sheetId="4" r:id="rId6"/>
    <sheet name="README-PT-BR" sheetId="5" state="hidden" r:id="rId7"/>
    <sheet name="TU5.05" sheetId="6" r:id="rId8"/>
    <sheet name="API Raw" sheetId="7" r:id="rId9"/>
    <sheet name="Factory ROI" sheetId="8" r:id="rId10"/>
    <sheet name="API Mine Detail" sheetId="9" state="hidden" r:id="rId11"/>
    <sheet name="Headquarters" sheetId="10" r:id="rId12"/>
    <sheet name="RecyclingUnits" sheetId="11" r:id="rId13"/>
    <sheet name="SpecialBuildings" sheetId="12" r:id="rId14"/>
    <sheet name="GD ROI" sheetId="13" state="hidden" r:id="rId15"/>
    <sheet name="User_Calcs" sheetId="14" r:id="rId16"/>
    <sheet name="Markets" sheetId="15" state="hidden" r:id="rId17"/>
    <sheet name="Calc" sheetId="16" state="hidden" r:id="rId18"/>
    <sheet name="Static" sheetId="17" state="hidden" r:id="rId19"/>
  </sheets>
  <definedNames>
    <definedName name="ExternalData_1" localSheetId="2" hidden="1">'API INPUTS'!$A$1:$D$13</definedName>
    <definedName name="ExternalData_2" localSheetId="2" hidden="1">'API INPUTS'!$F$1:$I$35</definedName>
    <definedName name="ExternalData_3" localSheetId="2" hidden="1">'API INPUTS'!$K$1:$M$4</definedName>
    <definedName name="ExternalData_4" localSheetId="2" hidden="1">'API INPUTS'!$O$1:$Q$114</definedName>
    <definedName name="ExternalData_5" localSheetId="2" hidden="1">'API INPUTS'!$S$1:$AG$19</definedName>
    <definedName name="ExternalData_6" localSheetId="2" hidden="1">'API INPUTS'!$AI$1:$AU$23</definedName>
    <definedName name="ExternalData_7" localSheetId="2" hidden="1">'API INPUTS'!$AW$1:$BR$615</definedName>
    <definedName name="ExternalData_8" localSheetId="2" hidden="1">'API INPUTS'!$BT$1:$BX$63</definedName>
    <definedName name="TblAPIFactory">'API Raw'!$E$11:$G$32</definedName>
    <definedName name="TblAPIHQ">'API Raw'!$S$11:$AQ$11</definedName>
    <definedName name="TblAPIMines">'API Raw'!$N$30:$AO$51</definedName>
    <definedName name="TblAPISpecial">'API Raw'!$P$11:$Q$24</definedName>
    <definedName name="TblAPIWarehouse">'API Raw'!$J$11:$L$76</definedName>
    <definedName name="TblFactoryBasics">Static!$B$4:$E$25</definedName>
    <definedName name="TblFactoryInput">Static!$H$4:$J$68</definedName>
    <definedName name="TblFactoryUpgrades">Static!$M$4:$O$89</definedName>
    <definedName name="TblMarket">Markets!$F$4:$J$61</definedName>
    <definedName name="TblMineBasics">Static!$R$4:$Y$17</definedName>
    <definedName name="TblRecycleBasics">Static!$AH$23:$AQ$32</definedName>
    <definedName name="TblResourcesType">Static!$AB$4:$AE$61</definedName>
    <definedName name="TblSpecialBasics">Static!$AH$3:$AO$17</definedName>
    <definedName name="TblUserFactories">UserBuildings!$K$5:$L$26</definedName>
    <definedName name="TblUserMines">UserBuildings!$B$5:$I$18</definedName>
    <definedName name="TblUserWarehouse">UserBuildings!$Y$5:$AA$40</definedName>
  </definedNames>
  <calcPr calcId="191029"/>
  <extLst>
    <ext xmlns:x15="http://schemas.microsoft.com/office/spreadsheetml/2010/11/main" uri="{FCE2AD5D-F65C-4FA6-A056-5C36A1767C68}">
      <x15:dataModel>
        <x15:modelTables>
          <x15:modelTable id="Your factories_4a6ead9e-e746-4360-ac02-93d993ba9396" name="Your factories" connection="Dotaz – Your factories"/>
          <x15:modelTable id="Your warehouses incl credits_33e45aeb-b995-4cb9-91e5-360e9d1b6184" name="Your warehouses incl credits" connection="Dotaz – Your warehouses incl credits"/>
          <x15:modelTable id="Your specialbuildings_fa9a7848-dc8f-4840-80db-3ad931810332" name="Your specialbuildings" connection="Dotaz – Your specialbuildings"/>
          <x15:modelTable id="ID-List_d9152f64-fff7-4b2f-9578-f67485df2bb2" name="ID-List" connection="Dotaz – ID-List"/>
          <x15:modelTable id="Mission list_56135f2b-cb0b-4d8e-a42b-7031367d236b" name="Mission list" connection="Dotaz – Mission list"/>
          <x15:modelTable id="Item production base data_d30cf2d5-7e94-45fc-9668-161cb2087af4" name="Item production base data" connection="Dotaz – Item production base data"/>
          <x15:modelTable id="Your mines_f2bfcfb5-636f-4515-a9f4-620591f8956d" name="Your mines" connection="Dotaz – Your mines"/>
          <x15:modelTable id="Market rates_187a6995-7566-499b-b9d4-b35462a70957" name="Market rates" connection="Dotaz – Market rat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2" l="1"/>
  <c r="L3" i="22"/>
  <c r="M3" i="22" s="1"/>
  <c r="K3" i="22"/>
  <c r="K4" i="22" s="1"/>
  <c r="K5" i="22" s="1"/>
  <c r="K6" i="22" s="1"/>
  <c r="K7" i="22" s="1"/>
  <c r="K8" i="22" s="1"/>
  <c r="K9" i="22" s="1"/>
  <c r="K10" i="22" s="1"/>
  <c r="K11" i="22" s="1"/>
  <c r="K12" i="22" s="1"/>
  <c r="K13" i="22" s="1"/>
  <c r="K14" i="22" s="1"/>
  <c r="K15" i="22" s="1"/>
  <c r="K16" i="22" s="1"/>
  <c r="K17" i="22" s="1"/>
  <c r="K18" i="22" s="1"/>
  <c r="K19" i="22" s="1"/>
  <c r="K20" i="22" s="1"/>
  <c r="K21" i="22" s="1"/>
  <c r="K22" i="22" s="1"/>
  <c r="K23" i="22" s="1"/>
  <c r="K24" i="22" s="1"/>
  <c r="K25" i="22" s="1"/>
  <c r="D96" i="4"/>
  <c r="D94" i="4"/>
  <c r="B3" i="7"/>
  <c r="E2" i="2"/>
  <c r="E6" i="17"/>
  <c r="H68" i="16"/>
  <c r="G68" i="16"/>
  <c r="H67" i="16"/>
  <c r="G67" i="16"/>
  <c r="H66" i="16"/>
  <c r="G66" i="16"/>
  <c r="H65" i="16"/>
  <c r="G65" i="16"/>
  <c r="H64" i="16"/>
  <c r="G64" i="16"/>
  <c r="H63" i="16"/>
  <c r="G63" i="16"/>
  <c r="H62" i="16"/>
  <c r="G62" i="16"/>
  <c r="H61" i="16"/>
  <c r="G61" i="16"/>
  <c r="H60" i="16"/>
  <c r="G60" i="16"/>
  <c r="H59" i="16"/>
  <c r="G59" i="16"/>
  <c r="H58" i="16"/>
  <c r="G58" i="16"/>
  <c r="H57" i="16"/>
  <c r="G57" i="16"/>
  <c r="H56" i="16"/>
  <c r="G56" i="16"/>
  <c r="H55" i="16"/>
  <c r="G55" i="16"/>
  <c r="H54" i="16"/>
  <c r="G54" i="16"/>
  <c r="H53" i="16"/>
  <c r="G53" i="16"/>
  <c r="H52" i="16"/>
  <c r="G52" i="16"/>
  <c r="H51" i="16"/>
  <c r="G51" i="16"/>
  <c r="H50" i="16"/>
  <c r="G50" i="16"/>
  <c r="H49" i="16"/>
  <c r="G49" i="16"/>
  <c r="H48" i="16"/>
  <c r="G48" i="16"/>
  <c r="H47" i="16"/>
  <c r="G47" i="16"/>
  <c r="H46" i="16"/>
  <c r="G46" i="16"/>
  <c r="H45" i="16"/>
  <c r="G45" i="16"/>
  <c r="H44" i="16"/>
  <c r="G44" i="16"/>
  <c r="H43" i="16"/>
  <c r="G43" i="16"/>
  <c r="H42" i="16"/>
  <c r="G42" i="16"/>
  <c r="H41" i="16"/>
  <c r="G41" i="16"/>
  <c r="H40" i="16"/>
  <c r="G40" i="16"/>
  <c r="H39" i="16"/>
  <c r="G39" i="16"/>
  <c r="H38" i="16"/>
  <c r="G38" i="16"/>
  <c r="H37" i="16"/>
  <c r="G37" i="16"/>
  <c r="H36" i="16"/>
  <c r="G36" i="16"/>
  <c r="H35" i="16"/>
  <c r="G35" i="16"/>
  <c r="H34" i="16"/>
  <c r="G34" i="16"/>
  <c r="H33" i="16"/>
  <c r="G33" i="16"/>
  <c r="H32" i="16"/>
  <c r="G32" i="16"/>
  <c r="H31" i="16"/>
  <c r="G31" i="16"/>
  <c r="H30" i="16"/>
  <c r="G30" i="16"/>
  <c r="H29" i="16"/>
  <c r="G29" i="16"/>
  <c r="H28" i="16"/>
  <c r="G28" i="16"/>
  <c r="H27" i="16"/>
  <c r="G27" i="16"/>
  <c r="H26" i="16"/>
  <c r="G26" i="16"/>
  <c r="H25" i="16"/>
  <c r="G25" i="16"/>
  <c r="H24" i="16"/>
  <c r="G24" i="16"/>
  <c r="H23" i="16"/>
  <c r="G23" i="16"/>
  <c r="H22" i="16"/>
  <c r="G22" i="16"/>
  <c r="H21" i="16"/>
  <c r="G21" i="16"/>
  <c r="H20" i="16"/>
  <c r="G20" i="16"/>
  <c r="H19" i="16"/>
  <c r="G19" i="16"/>
  <c r="H18" i="16"/>
  <c r="G18" i="16"/>
  <c r="H17" i="16"/>
  <c r="G17" i="16"/>
  <c r="H16" i="16"/>
  <c r="G16" i="16"/>
  <c r="H15" i="16"/>
  <c r="G15" i="16"/>
  <c r="H14" i="16"/>
  <c r="G14" i="16"/>
  <c r="H13" i="16"/>
  <c r="G13" i="16"/>
  <c r="H12" i="16"/>
  <c r="G12" i="16"/>
  <c r="H11" i="16"/>
  <c r="G11" i="16"/>
  <c r="H10" i="16"/>
  <c r="G10" i="16"/>
  <c r="H9" i="16"/>
  <c r="G9" i="16"/>
  <c r="H8" i="16"/>
  <c r="G8" i="16"/>
  <c r="H7" i="16"/>
  <c r="G7" i="16"/>
  <c r="H6" i="16"/>
  <c r="G6" i="16"/>
  <c r="H5" i="16"/>
  <c r="G5" i="16"/>
  <c r="H4" i="16"/>
  <c r="G4" i="16"/>
  <c r="I65" i="15"/>
  <c r="H65" i="15"/>
  <c r="G65" i="15"/>
  <c r="F65" i="15"/>
  <c r="E65" i="15"/>
  <c r="D65" i="15"/>
  <c r="I64" i="15"/>
  <c r="H64" i="15"/>
  <c r="G64" i="15"/>
  <c r="F64" i="15"/>
  <c r="E64" i="15"/>
  <c r="D64" i="15"/>
  <c r="I63" i="15"/>
  <c r="H63" i="15"/>
  <c r="G63" i="15"/>
  <c r="F63" i="15"/>
  <c r="E63" i="15"/>
  <c r="D63" i="15"/>
  <c r="I62" i="15"/>
  <c r="H62" i="15"/>
  <c r="G62" i="15"/>
  <c r="F62" i="15"/>
  <c r="E62" i="15"/>
  <c r="D62" i="15"/>
  <c r="I61" i="15"/>
  <c r="H61" i="15"/>
  <c r="G61" i="15"/>
  <c r="F61" i="15"/>
  <c r="E61" i="15"/>
  <c r="D61" i="15"/>
  <c r="L61" i="15" s="1"/>
  <c r="I60" i="15"/>
  <c r="H60" i="15"/>
  <c r="G60" i="15"/>
  <c r="F60" i="15"/>
  <c r="E60" i="15"/>
  <c r="D60" i="15"/>
  <c r="L60" i="15" s="1"/>
  <c r="I59" i="15"/>
  <c r="H59" i="15"/>
  <c r="G59" i="15"/>
  <c r="F59" i="15"/>
  <c r="E59" i="15"/>
  <c r="D59" i="15"/>
  <c r="L59" i="15" s="1"/>
  <c r="I58" i="15"/>
  <c r="H58" i="15"/>
  <c r="G58" i="15"/>
  <c r="F58" i="15"/>
  <c r="E58" i="15"/>
  <c r="D58" i="15"/>
  <c r="L58" i="15" s="1"/>
  <c r="I57" i="15"/>
  <c r="H57" i="15"/>
  <c r="G57" i="15"/>
  <c r="F57" i="15"/>
  <c r="E57" i="15"/>
  <c r="D57" i="15"/>
  <c r="L57" i="15" s="1"/>
  <c r="I56" i="15"/>
  <c r="H56" i="15"/>
  <c r="G56" i="15"/>
  <c r="F56" i="15"/>
  <c r="E56" i="15"/>
  <c r="D56" i="15"/>
  <c r="L56" i="15" s="1"/>
  <c r="I55" i="15"/>
  <c r="H55" i="15"/>
  <c r="G55" i="15"/>
  <c r="F55" i="15"/>
  <c r="E55" i="15"/>
  <c r="D55" i="15"/>
  <c r="L55" i="15" s="1"/>
  <c r="I54" i="15"/>
  <c r="H54" i="15"/>
  <c r="G54" i="15"/>
  <c r="F54" i="15"/>
  <c r="E54" i="15"/>
  <c r="D54" i="15"/>
  <c r="L54" i="15" s="1"/>
  <c r="I53" i="15"/>
  <c r="H53" i="15"/>
  <c r="G53" i="15"/>
  <c r="F53" i="15"/>
  <c r="E53" i="15"/>
  <c r="D53" i="15"/>
  <c r="L53" i="15" s="1"/>
  <c r="I52" i="15"/>
  <c r="H52" i="15"/>
  <c r="G52" i="15"/>
  <c r="F52" i="15"/>
  <c r="E52" i="15"/>
  <c r="D52" i="15"/>
  <c r="L52" i="15" s="1"/>
  <c r="I51" i="15"/>
  <c r="H51" i="15"/>
  <c r="G51" i="15"/>
  <c r="F51" i="15"/>
  <c r="E51" i="15"/>
  <c r="D51" i="15"/>
  <c r="L51" i="15" s="1"/>
  <c r="I50" i="15"/>
  <c r="H50" i="15"/>
  <c r="G50" i="15"/>
  <c r="F50" i="15"/>
  <c r="E50" i="15"/>
  <c r="D50" i="15"/>
  <c r="L50" i="15" s="1"/>
  <c r="I49" i="15"/>
  <c r="H49" i="15"/>
  <c r="G49" i="15"/>
  <c r="F49" i="15"/>
  <c r="E49" i="15"/>
  <c r="D49" i="15"/>
  <c r="L49" i="15" s="1"/>
  <c r="I48" i="15"/>
  <c r="H48" i="15"/>
  <c r="G48" i="15"/>
  <c r="F48" i="15"/>
  <c r="E48" i="15"/>
  <c r="D48" i="15"/>
  <c r="L48" i="15" s="1"/>
  <c r="I47" i="15"/>
  <c r="H47" i="15"/>
  <c r="G47" i="15"/>
  <c r="F47" i="15"/>
  <c r="E47" i="15"/>
  <c r="D47" i="15"/>
  <c r="L47" i="15" s="1"/>
  <c r="I46" i="15"/>
  <c r="H46" i="15"/>
  <c r="G46" i="15"/>
  <c r="F46" i="15"/>
  <c r="E46" i="15"/>
  <c r="D46" i="15"/>
  <c r="L46" i="15" s="1"/>
  <c r="I45" i="15"/>
  <c r="H45" i="15"/>
  <c r="G45" i="15"/>
  <c r="F45" i="15"/>
  <c r="E45" i="15"/>
  <c r="D45" i="15"/>
  <c r="L45" i="15" s="1"/>
  <c r="I44" i="15"/>
  <c r="H44" i="15"/>
  <c r="G44" i="15"/>
  <c r="F44" i="15"/>
  <c r="E44" i="15"/>
  <c r="D44" i="15"/>
  <c r="L44" i="15" s="1"/>
  <c r="I43" i="15"/>
  <c r="H43" i="15"/>
  <c r="G43" i="15"/>
  <c r="F43" i="15"/>
  <c r="E43" i="15"/>
  <c r="D43" i="15"/>
  <c r="L43" i="15" s="1"/>
  <c r="I42" i="15"/>
  <c r="H42" i="15"/>
  <c r="G42" i="15"/>
  <c r="F42" i="15"/>
  <c r="E42" i="15"/>
  <c r="D42" i="15"/>
  <c r="L42" i="15" s="1"/>
  <c r="I41" i="15"/>
  <c r="H41" i="15"/>
  <c r="G41" i="15"/>
  <c r="F41" i="15"/>
  <c r="E41" i="15"/>
  <c r="D41" i="15"/>
  <c r="L41" i="15" s="1"/>
  <c r="I40" i="15"/>
  <c r="H40" i="15"/>
  <c r="G40" i="15"/>
  <c r="F40" i="15"/>
  <c r="E40" i="15"/>
  <c r="D40" i="15"/>
  <c r="L40" i="15" s="1"/>
  <c r="I39" i="15"/>
  <c r="H39" i="15"/>
  <c r="G39" i="15"/>
  <c r="F39" i="15"/>
  <c r="E39" i="15"/>
  <c r="D39" i="15"/>
  <c r="L39" i="15" s="1"/>
  <c r="I38" i="15"/>
  <c r="H38" i="15"/>
  <c r="G38" i="15"/>
  <c r="F38" i="15"/>
  <c r="E38" i="15"/>
  <c r="D38" i="15"/>
  <c r="L38" i="15" s="1"/>
  <c r="I37" i="15"/>
  <c r="H37" i="15"/>
  <c r="G37" i="15"/>
  <c r="F37" i="15"/>
  <c r="E37" i="15"/>
  <c r="D37" i="15"/>
  <c r="L37" i="15" s="1"/>
  <c r="I36" i="15"/>
  <c r="H36" i="15"/>
  <c r="G36" i="15"/>
  <c r="F36" i="15"/>
  <c r="E36" i="15"/>
  <c r="D36" i="15"/>
  <c r="L36" i="15" s="1"/>
  <c r="I35" i="15"/>
  <c r="H35" i="15"/>
  <c r="G35" i="15"/>
  <c r="F35" i="15"/>
  <c r="E35" i="15"/>
  <c r="D35" i="15"/>
  <c r="L35" i="15" s="1"/>
  <c r="I34" i="15"/>
  <c r="H34" i="15"/>
  <c r="G34" i="15"/>
  <c r="F34" i="15"/>
  <c r="E34" i="15"/>
  <c r="D34" i="15"/>
  <c r="L34" i="15" s="1"/>
  <c r="I33" i="15"/>
  <c r="H33" i="15"/>
  <c r="G33" i="15"/>
  <c r="F33" i="15"/>
  <c r="E33" i="15"/>
  <c r="D33" i="15"/>
  <c r="L33" i="15" s="1"/>
  <c r="I32" i="15"/>
  <c r="H32" i="15"/>
  <c r="G32" i="15"/>
  <c r="F32" i="15"/>
  <c r="E32" i="15"/>
  <c r="D32" i="15"/>
  <c r="L32" i="15" s="1"/>
  <c r="I31" i="15"/>
  <c r="H31" i="15"/>
  <c r="G31" i="15"/>
  <c r="F31" i="15"/>
  <c r="E31" i="15"/>
  <c r="D31" i="15"/>
  <c r="L31" i="15" s="1"/>
  <c r="I30" i="15"/>
  <c r="H30" i="15"/>
  <c r="G30" i="15"/>
  <c r="F30" i="15"/>
  <c r="E30" i="15"/>
  <c r="D30" i="15"/>
  <c r="L30" i="15" s="1"/>
  <c r="I29" i="15"/>
  <c r="H29" i="15"/>
  <c r="G29" i="15"/>
  <c r="F29" i="15"/>
  <c r="E29" i="15"/>
  <c r="D29" i="15"/>
  <c r="L29" i="15" s="1"/>
  <c r="I28" i="15"/>
  <c r="H28" i="15"/>
  <c r="G28" i="15"/>
  <c r="F28" i="15"/>
  <c r="E28" i="15"/>
  <c r="D28" i="15"/>
  <c r="L28" i="15" s="1"/>
  <c r="I27" i="15"/>
  <c r="H27" i="15"/>
  <c r="G27" i="15"/>
  <c r="F27" i="15"/>
  <c r="E27" i="15"/>
  <c r="D27" i="15"/>
  <c r="L27" i="15" s="1"/>
  <c r="I26" i="15"/>
  <c r="H26" i="15"/>
  <c r="G26" i="15"/>
  <c r="F26" i="15"/>
  <c r="E26" i="15"/>
  <c r="D26" i="15"/>
  <c r="L26" i="15" s="1"/>
  <c r="I25" i="15"/>
  <c r="H25" i="15"/>
  <c r="G25" i="15"/>
  <c r="F25" i="15"/>
  <c r="E25" i="15"/>
  <c r="D25" i="15"/>
  <c r="L25" i="15" s="1"/>
  <c r="I24" i="15"/>
  <c r="H24" i="15"/>
  <c r="G24" i="15"/>
  <c r="F24" i="15"/>
  <c r="E24" i="15"/>
  <c r="D24" i="15"/>
  <c r="L24" i="15" s="1"/>
  <c r="I23" i="15"/>
  <c r="H23" i="15"/>
  <c r="G23" i="15"/>
  <c r="F23" i="15"/>
  <c r="E23" i="15"/>
  <c r="D23" i="15"/>
  <c r="L23" i="15" s="1"/>
  <c r="I22" i="15"/>
  <c r="H22" i="15"/>
  <c r="G22" i="15"/>
  <c r="F22" i="15"/>
  <c r="E22" i="15"/>
  <c r="D22" i="15"/>
  <c r="L22" i="15" s="1"/>
  <c r="I21" i="15"/>
  <c r="H21" i="15"/>
  <c r="G21" i="15"/>
  <c r="F21" i="15"/>
  <c r="E21" i="15"/>
  <c r="D21" i="15"/>
  <c r="L21" i="15" s="1"/>
  <c r="I20" i="15"/>
  <c r="H20" i="15"/>
  <c r="G20" i="15"/>
  <c r="F20" i="15"/>
  <c r="E20" i="15"/>
  <c r="D20" i="15"/>
  <c r="L20" i="15" s="1"/>
  <c r="I19" i="15"/>
  <c r="H19" i="15"/>
  <c r="G19" i="15"/>
  <c r="F19" i="15"/>
  <c r="E19" i="15"/>
  <c r="D19" i="15"/>
  <c r="L19" i="15" s="1"/>
  <c r="I18" i="15"/>
  <c r="H18" i="15"/>
  <c r="G18" i="15"/>
  <c r="F18" i="15"/>
  <c r="E18" i="15"/>
  <c r="D18" i="15"/>
  <c r="L18" i="15" s="1"/>
  <c r="I17" i="15"/>
  <c r="H17" i="15"/>
  <c r="G17" i="15"/>
  <c r="F17" i="15"/>
  <c r="E17" i="15"/>
  <c r="D17" i="15"/>
  <c r="L17" i="15" s="1"/>
  <c r="I16" i="15"/>
  <c r="H16" i="15"/>
  <c r="G16" i="15"/>
  <c r="F16" i="15"/>
  <c r="E16" i="15"/>
  <c r="D16" i="15"/>
  <c r="L16" i="15" s="1"/>
  <c r="I15" i="15"/>
  <c r="H15" i="15"/>
  <c r="G15" i="15"/>
  <c r="F15" i="15"/>
  <c r="E15" i="15"/>
  <c r="D15" i="15"/>
  <c r="L15" i="15" s="1"/>
  <c r="I14" i="15"/>
  <c r="H14" i="15"/>
  <c r="G14" i="15"/>
  <c r="F14" i="15"/>
  <c r="E14" i="15"/>
  <c r="D14" i="15"/>
  <c r="L14" i="15" s="1"/>
  <c r="I13" i="15"/>
  <c r="H13" i="15"/>
  <c r="G13" i="15"/>
  <c r="F13" i="15"/>
  <c r="E13" i="15"/>
  <c r="D13" i="15"/>
  <c r="L13" i="15" s="1"/>
  <c r="I12" i="15"/>
  <c r="H12" i="15"/>
  <c r="G12" i="15"/>
  <c r="F12" i="15"/>
  <c r="E12" i="15"/>
  <c r="D12" i="15"/>
  <c r="L12" i="15" s="1"/>
  <c r="I11" i="15"/>
  <c r="H11" i="15"/>
  <c r="G11" i="15"/>
  <c r="F11" i="15"/>
  <c r="E11" i="15"/>
  <c r="D11" i="15"/>
  <c r="L11" i="15" s="1"/>
  <c r="I10" i="15"/>
  <c r="H10" i="15"/>
  <c r="G10" i="15"/>
  <c r="F10" i="15"/>
  <c r="E10" i="15"/>
  <c r="D10" i="15"/>
  <c r="L10" i="15" s="1"/>
  <c r="I9" i="15"/>
  <c r="H9" i="15"/>
  <c r="G9" i="15"/>
  <c r="F9" i="15"/>
  <c r="E9" i="15"/>
  <c r="D9" i="15"/>
  <c r="L9" i="15" s="1"/>
  <c r="I8" i="15"/>
  <c r="H8" i="15"/>
  <c r="G8" i="15"/>
  <c r="F8" i="15"/>
  <c r="E8" i="15"/>
  <c r="D8" i="15"/>
  <c r="L8" i="15" s="1"/>
  <c r="I7" i="15"/>
  <c r="H7" i="15"/>
  <c r="G7" i="15"/>
  <c r="F7" i="15"/>
  <c r="E7" i="15"/>
  <c r="D7" i="15"/>
  <c r="L7" i="15" s="1"/>
  <c r="I6" i="15"/>
  <c r="H6" i="15"/>
  <c r="G6" i="15"/>
  <c r="F6" i="15"/>
  <c r="E6" i="15"/>
  <c r="D6" i="15"/>
  <c r="L6" i="15" s="1"/>
  <c r="I5" i="15"/>
  <c r="H5" i="15"/>
  <c r="G5" i="15"/>
  <c r="F5" i="15"/>
  <c r="E5" i="15"/>
  <c r="D5" i="15"/>
  <c r="L5" i="15" s="1"/>
  <c r="I4" i="15"/>
  <c r="H4" i="15"/>
  <c r="G4" i="15"/>
  <c r="F4" i="15"/>
  <c r="E4" i="15"/>
  <c r="D4" i="15"/>
  <c r="L4" i="15" s="1"/>
  <c r="D3" i="15"/>
  <c r="B3" i="15"/>
  <c r="B1" i="15"/>
  <c r="K94" i="14"/>
  <c r="E43" i="14"/>
  <c r="E44" i="14" s="1"/>
  <c r="D42" i="14"/>
  <c r="D43" i="14" s="1"/>
  <c r="E31" i="14"/>
  <c r="E30" i="14"/>
  <c r="E29" i="14"/>
  <c r="E28" i="14"/>
  <c r="D28" i="14"/>
  <c r="E27" i="14"/>
  <c r="D25" i="14"/>
  <c r="D30" i="14" s="1"/>
  <c r="D18" i="14"/>
  <c r="D17" i="14"/>
  <c r="D16" i="14"/>
  <c r="D15" i="14"/>
  <c r="D7" i="14"/>
  <c r="H69" i="12"/>
  <c r="F69" i="12"/>
  <c r="D69" i="12"/>
  <c r="C69" i="12"/>
  <c r="H68" i="12"/>
  <c r="F68" i="12"/>
  <c r="D68" i="12"/>
  <c r="C68" i="12"/>
  <c r="H67" i="12"/>
  <c r="F67" i="12"/>
  <c r="D67" i="12"/>
  <c r="C67" i="12"/>
  <c r="H66" i="12"/>
  <c r="F66" i="12"/>
  <c r="D66" i="12"/>
  <c r="C66" i="12"/>
  <c r="H65" i="12"/>
  <c r="F65" i="12"/>
  <c r="D65" i="12"/>
  <c r="C65" i="12"/>
  <c r="H64" i="12"/>
  <c r="F64" i="12"/>
  <c r="D64" i="12"/>
  <c r="C64" i="12"/>
  <c r="H63" i="12"/>
  <c r="F63" i="12"/>
  <c r="D63" i="12"/>
  <c r="C63" i="12"/>
  <c r="H62" i="12"/>
  <c r="F62" i="12"/>
  <c r="D62" i="12"/>
  <c r="C62" i="12"/>
  <c r="H61" i="12"/>
  <c r="F61" i="12"/>
  <c r="D61" i="12"/>
  <c r="C61" i="12"/>
  <c r="H60" i="12"/>
  <c r="F60" i="12"/>
  <c r="D60" i="12"/>
  <c r="C60" i="12"/>
  <c r="H59" i="12"/>
  <c r="F59" i="12"/>
  <c r="D59" i="12"/>
  <c r="C59" i="12"/>
  <c r="H58" i="12"/>
  <c r="F58" i="12"/>
  <c r="D58" i="12"/>
  <c r="C58" i="12"/>
  <c r="H57" i="12"/>
  <c r="F57" i="12"/>
  <c r="D57" i="12"/>
  <c r="C57" i="12"/>
  <c r="H56" i="12"/>
  <c r="F56" i="12"/>
  <c r="D56" i="12"/>
  <c r="C56" i="12"/>
  <c r="G18" i="12"/>
  <c r="H18" i="12" s="1"/>
  <c r="E18" i="12"/>
  <c r="F18" i="12" s="1"/>
  <c r="G17" i="12"/>
  <c r="H17" i="12" s="1"/>
  <c r="E17" i="12"/>
  <c r="F17" i="12" s="1"/>
  <c r="J17" i="11"/>
  <c r="I17" i="11"/>
  <c r="J16" i="11"/>
  <c r="I16" i="11"/>
  <c r="J15" i="11"/>
  <c r="I15" i="11"/>
  <c r="J14" i="11"/>
  <c r="I14" i="11"/>
  <c r="J12" i="11"/>
  <c r="K15" i="11" s="1"/>
  <c r="H41" i="10"/>
  <c r="G41" i="10"/>
  <c r="H40" i="10"/>
  <c r="G40" i="10"/>
  <c r="H39" i="10"/>
  <c r="G39" i="10"/>
  <c r="H38" i="10"/>
  <c r="G38" i="10"/>
  <c r="C33" i="10"/>
  <c r="E33" i="10" s="1"/>
  <c r="C32" i="10"/>
  <c r="E32" i="10" s="1"/>
  <c r="C31" i="10"/>
  <c r="E31" i="10" s="1"/>
  <c r="C30" i="10"/>
  <c r="E30" i="10" s="1"/>
  <c r="C29" i="10"/>
  <c r="E29" i="10" s="1"/>
  <c r="C28" i="10"/>
  <c r="E28" i="10" s="1"/>
  <c r="C27" i="10"/>
  <c r="E27" i="10" s="1"/>
  <c r="C26" i="10"/>
  <c r="E26" i="10" s="1"/>
  <c r="C25" i="10"/>
  <c r="E25" i="10" s="1"/>
  <c r="C24" i="10"/>
  <c r="E24" i="10" s="1"/>
  <c r="C23" i="10"/>
  <c r="E23" i="10" s="1"/>
  <c r="C22" i="10"/>
  <c r="E22" i="10" s="1"/>
  <c r="C21" i="10"/>
  <c r="E21" i="10" s="1"/>
  <c r="C20" i="10"/>
  <c r="E20" i="10" s="1"/>
  <c r="B9" i="9"/>
  <c r="C6" i="9"/>
  <c r="B6" i="9"/>
  <c r="D3" i="9"/>
  <c r="B3" i="9"/>
  <c r="O1" i="9"/>
  <c r="N49" i="7"/>
  <c r="N48" i="7"/>
  <c r="N47" i="7"/>
  <c r="N46" i="7"/>
  <c r="N45" i="7"/>
  <c r="N44" i="7"/>
  <c r="N43" i="7"/>
  <c r="N42" i="7"/>
  <c r="N41" i="7"/>
  <c r="N40" i="7"/>
  <c r="N39" i="7"/>
  <c r="N38" i="7"/>
  <c r="N37" i="7"/>
  <c r="F5" i="2" s="1"/>
  <c r="D5" i="2" s="1"/>
  <c r="N36" i="7"/>
  <c r="N35" i="7"/>
  <c r="N34" i="7"/>
  <c r="N33" i="7"/>
  <c r="N32" i="7"/>
  <c r="N31" i="7"/>
  <c r="N30" i="7"/>
  <c r="O29" i="7"/>
  <c r="O28" i="7"/>
  <c r="S10" i="7"/>
  <c r="O10" i="7"/>
  <c r="I10" i="7"/>
  <c r="D10" i="7"/>
  <c r="B10" i="7"/>
  <c r="S9" i="7"/>
  <c r="O9" i="7"/>
  <c r="I9" i="7"/>
  <c r="D9" i="7"/>
  <c r="B9" i="7"/>
  <c r="C6" i="7"/>
  <c r="B6" i="7"/>
  <c r="D3" i="7"/>
  <c r="N298" i="6"/>
  <c r="M298" i="6"/>
  <c r="L298" i="6"/>
  <c r="K298" i="6"/>
  <c r="J298" i="6"/>
  <c r="N297" i="6"/>
  <c r="M297" i="6"/>
  <c r="L297" i="6"/>
  <c r="K297" i="6"/>
  <c r="J297" i="6"/>
  <c r="N295" i="6"/>
  <c r="M295" i="6"/>
  <c r="L295" i="6"/>
  <c r="K295" i="6"/>
  <c r="J295" i="6"/>
  <c r="N294" i="6"/>
  <c r="M294" i="6"/>
  <c r="L294" i="6"/>
  <c r="K294" i="6"/>
  <c r="J294" i="6"/>
  <c r="N293" i="6"/>
  <c r="M293" i="6"/>
  <c r="L293" i="6"/>
  <c r="K293" i="6"/>
  <c r="J293" i="6"/>
  <c r="N292" i="6"/>
  <c r="M292" i="6"/>
  <c r="L292" i="6"/>
  <c r="K292" i="6"/>
  <c r="J292" i="6"/>
  <c r="N291" i="6"/>
  <c r="M291" i="6"/>
  <c r="L291" i="6"/>
  <c r="K291" i="6"/>
  <c r="J291" i="6"/>
  <c r="N289" i="6"/>
  <c r="M289" i="6"/>
  <c r="L289" i="6"/>
  <c r="K289" i="6"/>
  <c r="J289" i="6"/>
  <c r="N288" i="6"/>
  <c r="M288" i="6"/>
  <c r="L288" i="6"/>
  <c r="K288" i="6"/>
  <c r="J288" i="6"/>
  <c r="N287" i="6"/>
  <c r="M287" i="6"/>
  <c r="L287" i="6"/>
  <c r="K287" i="6"/>
  <c r="J287" i="6"/>
  <c r="N286" i="6"/>
  <c r="M286" i="6"/>
  <c r="L286" i="6"/>
  <c r="K286" i="6"/>
  <c r="J286" i="6"/>
  <c r="N285" i="6"/>
  <c r="M285" i="6"/>
  <c r="L285" i="6"/>
  <c r="K285" i="6"/>
  <c r="J285" i="6"/>
  <c r="N284" i="6"/>
  <c r="M284" i="6"/>
  <c r="L284" i="6"/>
  <c r="K284" i="6"/>
  <c r="J284" i="6"/>
  <c r="N283" i="6"/>
  <c r="M283" i="6"/>
  <c r="L283" i="6"/>
  <c r="K283" i="6"/>
  <c r="J283" i="6"/>
  <c r="N282" i="6"/>
  <c r="M282" i="6"/>
  <c r="L282" i="6"/>
  <c r="K282" i="6"/>
  <c r="J282" i="6"/>
  <c r="N280" i="6"/>
  <c r="M280" i="6"/>
  <c r="L280" i="6"/>
  <c r="K280" i="6"/>
  <c r="J280" i="6"/>
  <c r="N279" i="6"/>
  <c r="M279" i="6"/>
  <c r="L279" i="6"/>
  <c r="K279" i="6"/>
  <c r="J279" i="6"/>
  <c r="N278" i="6"/>
  <c r="M278" i="6"/>
  <c r="L278" i="6"/>
  <c r="K278" i="6"/>
  <c r="J278" i="6"/>
  <c r="N277" i="6"/>
  <c r="M277" i="6"/>
  <c r="L277" i="6"/>
  <c r="K277" i="6"/>
  <c r="J277" i="6"/>
  <c r="N276" i="6"/>
  <c r="M276" i="6"/>
  <c r="L276" i="6"/>
  <c r="K276" i="6"/>
  <c r="J276" i="6"/>
  <c r="N275" i="6"/>
  <c r="M275" i="6"/>
  <c r="L275" i="6"/>
  <c r="K275" i="6"/>
  <c r="J275" i="6"/>
  <c r="N274" i="6"/>
  <c r="M274" i="6"/>
  <c r="L274" i="6"/>
  <c r="K274" i="6"/>
  <c r="J274" i="6"/>
  <c r="N273" i="6"/>
  <c r="M273" i="6"/>
  <c r="L273" i="6"/>
  <c r="K273" i="6"/>
  <c r="J273" i="6"/>
  <c r="N272" i="6"/>
  <c r="M272" i="6"/>
  <c r="L272" i="6"/>
  <c r="K272" i="6"/>
  <c r="J272" i="6"/>
  <c r="N271" i="6"/>
  <c r="M271" i="6"/>
  <c r="L271" i="6"/>
  <c r="K271" i="6"/>
  <c r="J271" i="6"/>
  <c r="N270" i="6"/>
  <c r="M270" i="6"/>
  <c r="L270" i="6"/>
  <c r="K270" i="6"/>
  <c r="J270" i="6"/>
  <c r="N268" i="6"/>
  <c r="M268" i="6"/>
  <c r="L268" i="6"/>
  <c r="K268" i="6"/>
  <c r="J268" i="6"/>
  <c r="N267" i="6"/>
  <c r="M267" i="6"/>
  <c r="L267" i="6"/>
  <c r="K267" i="6"/>
  <c r="J267" i="6"/>
  <c r="N266" i="6"/>
  <c r="M266" i="6"/>
  <c r="L266" i="6"/>
  <c r="K266" i="6"/>
  <c r="J266" i="6"/>
  <c r="N265" i="6"/>
  <c r="M265" i="6"/>
  <c r="L265" i="6"/>
  <c r="K265" i="6"/>
  <c r="J265" i="6"/>
  <c r="N264" i="6"/>
  <c r="M264" i="6"/>
  <c r="L264" i="6"/>
  <c r="K264" i="6"/>
  <c r="J264" i="6"/>
  <c r="N263" i="6"/>
  <c r="M263" i="6"/>
  <c r="L263" i="6"/>
  <c r="K263" i="6"/>
  <c r="J263" i="6"/>
  <c r="N262" i="6"/>
  <c r="M262" i="6"/>
  <c r="L262" i="6"/>
  <c r="K262" i="6"/>
  <c r="J262" i="6"/>
  <c r="N261" i="6"/>
  <c r="M261" i="6"/>
  <c r="L261" i="6"/>
  <c r="K261" i="6"/>
  <c r="J261" i="6"/>
  <c r="N260" i="6"/>
  <c r="M260" i="6"/>
  <c r="L260" i="6"/>
  <c r="K260" i="6"/>
  <c r="J260" i="6"/>
  <c r="N258" i="6"/>
  <c r="M258" i="6"/>
  <c r="L258" i="6"/>
  <c r="K258" i="6"/>
  <c r="J258" i="6"/>
  <c r="N257" i="6"/>
  <c r="M257" i="6"/>
  <c r="L257" i="6"/>
  <c r="K257" i="6"/>
  <c r="J257" i="6"/>
  <c r="N256" i="6"/>
  <c r="M256" i="6"/>
  <c r="L256" i="6"/>
  <c r="K256" i="6"/>
  <c r="J256" i="6"/>
  <c r="N255" i="6"/>
  <c r="M255" i="6"/>
  <c r="L255" i="6"/>
  <c r="K255" i="6"/>
  <c r="J255" i="6"/>
  <c r="N254" i="6"/>
  <c r="M254" i="6"/>
  <c r="L254" i="6"/>
  <c r="K254" i="6"/>
  <c r="J254" i="6"/>
  <c r="N253" i="6"/>
  <c r="M253" i="6"/>
  <c r="L253" i="6"/>
  <c r="K253" i="6"/>
  <c r="J253" i="6"/>
  <c r="N252" i="6"/>
  <c r="M252" i="6"/>
  <c r="L252" i="6"/>
  <c r="K252" i="6"/>
  <c r="J252" i="6"/>
  <c r="N250" i="6"/>
  <c r="M250" i="6"/>
  <c r="L250" i="6"/>
  <c r="K250" i="6"/>
  <c r="J250" i="6"/>
  <c r="N249" i="6"/>
  <c r="M249" i="6"/>
  <c r="L249" i="6"/>
  <c r="K249" i="6"/>
  <c r="J249" i="6"/>
  <c r="N248" i="6"/>
  <c r="M248" i="6"/>
  <c r="L248" i="6"/>
  <c r="K248" i="6"/>
  <c r="J248" i="6"/>
  <c r="N247" i="6"/>
  <c r="M247" i="6"/>
  <c r="L247" i="6"/>
  <c r="K247" i="6"/>
  <c r="J247" i="6"/>
  <c r="N246" i="6"/>
  <c r="M246" i="6"/>
  <c r="L246" i="6"/>
  <c r="K246" i="6"/>
  <c r="J246" i="6"/>
  <c r="N245" i="6"/>
  <c r="M245" i="6"/>
  <c r="L245" i="6"/>
  <c r="K245" i="6"/>
  <c r="J245" i="6"/>
  <c r="N243" i="6"/>
  <c r="M243" i="6"/>
  <c r="L243" i="6"/>
  <c r="K243" i="6"/>
  <c r="J243" i="6"/>
  <c r="N242" i="6"/>
  <c r="M242" i="6"/>
  <c r="L242" i="6"/>
  <c r="K242" i="6"/>
  <c r="J242" i="6"/>
  <c r="N241" i="6"/>
  <c r="M241" i="6"/>
  <c r="L241" i="6"/>
  <c r="K241" i="6"/>
  <c r="J241" i="6"/>
  <c r="N240" i="6"/>
  <c r="M240" i="6"/>
  <c r="L240" i="6"/>
  <c r="K240" i="6"/>
  <c r="J240" i="6"/>
  <c r="N238" i="6"/>
  <c r="M238" i="6"/>
  <c r="L238" i="6"/>
  <c r="K238" i="6"/>
  <c r="J238" i="6"/>
  <c r="N237" i="6"/>
  <c r="M237" i="6"/>
  <c r="L237" i="6"/>
  <c r="K237" i="6"/>
  <c r="J237" i="6"/>
  <c r="N235" i="6"/>
  <c r="M235" i="6"/>
  <c r="L235" i="6"/>
  <c r="K235" i="6"/>
  <c r="J235" i="6"/>
  <c r="N233" i="6"/>
  <c r="M233" i="6"/>
  <c r="L233" i="6"/>
  <c r="K233" i="6"/>
  <c r="J233" i="6"/>
  <c r="N231" i="6"/>
  <c r="M231" i="6"/>
  <c r="L231" i="6"/>
  <c r="K231" i="6"/>
  <c r="J231" i="6"/>
  <c r="N230" i="6"/>
  <c r="M230" i="6"/>
  <c r="L230" i="6"/>
  <c r="K230" i="6"/>
  <c r="J230" i="6"/>
  <c r="N229" i="6"/>
  <c r="M229" i="6"/>
  <c r="L229" i="6"/>
  <c r="K229" i="6"/>
  <c r="J229" i="6"/>
  <c r="N228" i="6"/>
  <c r="M228" i="6"/>
  <c r="L228" i="6"/>
  <c r="K228" i="6"/>
  <c r="J228" i="6"/>
  <c r="N226" i="6"/>
  <c r="M226" i="6"/>
  <c r="L226" i="6"/>
  <c r="K226" i="6"/>
  <c r="J226" i="6"/>
  <c r="N225" i="6"/>
  <c r="M225" i="6"/>
  <c r="L225" i="6"/>
  <c r="K225" i="6"/>
  <c r="J225" i="6"/>
  <c r="N224" i="6"/>
  <c r="M224" i="6"/>
  <c r="L224" i="6"/>
  <c r="K224" i="6"/>
  <c r="J224" i="6"/>
  <c r="N223" i="6"/>
  <c r="M223" i="6"/>
  <c r="L223" i="6"/>
  <c r="K223" i="6"/>
  <c r="J223" i="6"/>
  <c r="N222" i="6"/>
  <c r="M222" i="6"/>
  <c r="L222" i="6"/>
  <c r="K222" i="6"/>
  <c r="J222" i="6"/>
  <c r="N221" i="6"/>
  <c r="M221" i="6"/>
  <c r="L221" i="6"/>
  <c r="K221" i="6"/>
  <c r="J221" i="6"/>
  <c r="N220" i="6"/>
  <c r="M220" i="6"/>
  <c r="L220" i="6"/>
  <c r="K220" i="6"/>
  <c r="J220" i="6"/>
  <c r="N218" i="6"/>
  <c r="M218" i="6"/>
  <c r="L218" i="6"/>
  <c r="K218" i="6"/>
  <c r="J218" i="6"/>
  <c r="N217" i="6"/>
  <c r="M217" i="6"/>
  <c r="L217" i="6"/>
  <c r="K217" i="6"/>
  <c r="J217" i="6"/>
  <c r="N216" i="6"/>
  <c r="M216" i="6"/>
  <c r="L216" i="6"/>
  <c r="K216" i="6"/>
  <c r="J216" i="6"/>
  <c r="N215" i="6"/>
  <c r="M215" i="6"/>
  <c r="L215" i="6"/>
  <c r="K215" i="6"/>
  <c r="J215" i="6"/>
  <c r="N214" i="6"/>
  <c r="M214" i="6"/>
  <c r="L214" i="6"/>
  <c r="K214" i="6"/>
  <c r="J214" i="6"/>
  <c r="N213" i="6"/>
  <c r="M213" i="6"/>
  <c r="L213" i="6"/>
  <c r="K213" i="6"/>
  <c r="J213" i="6"/>
  <c r="N212" i="6"/>
  <c r="M212" i="6"/>
  <c r="L212" i="6"/>
  <c r="K212" i="6"/>
  <c r="J212" i="6"/>
  <c r="N211" i="6"/>
  <c r="M211" i="6"/>
  <c r="L211" i="6"/>
  <c r="K211" i="6"/>
  <c r="J211" i="6"/>
  <c r="N210" i="6"/>
  <c r="M210" i="6"/>
  <c r="L210" i="6"/>
  <c r="K210" i="6"/>
  <c r="J210" i="6"/>
  <c r="N209" i="6"/>
  <c r="M209" i="6"/>
  <c r="L209" i="6"/>
  <c r="K209" i="6"/>
  <c r="J209" i="6"/>
  <c r="N208" i="6"/>
  <c r="M208" i="6"/>
  <c r="L208" i="6"/>
  <c r="K208" i="6"/>
  <c r="J208" i="6"/>
  <c r="N206" i="6"/>
  <c r="M206" i="6"/>
  <c r="L206" i="6"/>
  <c r="K206" i="6"/>
  <c r="J206" i="6"/>
  <c r="N205" i="6"/>
  <c r="M205" i="6"/>
  <c r="L205" i="6"/>
  <c r="K205" i="6"/>
  <c r="J205" i="6"/>
  <c r="N204" i="6"/>
  <c r="M204" i="6"/>
  <c r="L204" i="6"/>
  <c r="K204" i="6"/>
  <c r="J204" i="6"/>
  <c r="N203" i="6"/>
  <c r="M203" i="6"/>
  <c r="L203" i="6"/>
  <c r="K203" i="6"/>
  <c r="J203" i="6"/>
  <c r="N202" i="6"/>
  <c r="M202" i="6"/>
  <c r="L202" i="6"/>
  <c r="K202" i="6"/>
  <c r="J202" i="6"/>
  <c r="N201" i="6"/>
  <c r="M201" i="6"/>
  <c r="L201" i="6"/>
  <c r="K201" i="6"/>
  <c r="J201" i="6"/>
  <c r="N200" i="6"/>
  <c r="M200" i="6"/>
  <c r="L200" i="6"/>
  <c r="K200" i="6"/>
  <c r="J200" i="6"/>
  <c r="N199" i="6"/>
  <c r="M199" i="6"/>
  <c r="L199" i="6"/>
  <c r="K199" i="6"/>
  <c r="J199" i="6"/>
  <c r="N198" i="6"/>
  <c r="M198" i="6"/>
  <c r="L198" i="6"/>
  <c r="K198" i="6"/>
  <c r="J198" i="6"/>
  <c r="N197" i="6"/>
  <c r="M197" i="6"/>
  <c r="L197" i="6"/>
  <c r="K197" i="6"/>
  <c r="J197" i="6"/>
  <c r="N196" i="6"/>
  <c r="M196" i="6"/>
  <c r="L196" i="6"/>
  <c r="K196" i="6"/>
  <c r="J196" i="6"/>
  <c r="N195" i="6"/>
  <c r="M195" i="6"/>
  <c r="L195" i="6"/>
  <c r="K195" i="6"/>
  <c r="J195" i="6"/>
  <c r="N194" i="6"/>
  <c r="M194" i="6"/>
  <c r="L194" i="6"/>
  <c r="K194" i="6"/>
  <c r="J194" i="6"/>
  <c r="N193" i="6"/>
  <c r="M193" i="6"/>
  <c r="L193" i="6"/>
  <c r="K193" i="6"/>
  <c r="J193" i="6"/>
  <c r="N191" i="6"/>
  <c r="M191" i="6"/>
  <c r="L191" i="6"/>
  <c r="K191" i="6"/>
  <c r="J191" i="6"/>
  <c r="N190" i="6"/>
  <c r="M190" i="6"/>
  <c r="L190" i="6"/>
  <c r="K190" i="6"/>
  <c r="J190" i="6"/>
  <c r="N189" i="6"/>
  <c r="M189" i="6"/>
  <c r="L189" i="6"/>
  <c r="K189" i="6"/>
  <c r="J189" i="6"/>
  <c r="N188" i="6"/>
  <c r="M188" i="6"/>
  <c r="L188" i="6"/>
  <c r="K188" i="6"/>
  <c r="J188" i="6"/>
  <c r="N187" i="6"/>
  <c r="M187" i="6"/>
  <c r="L187" i="6"/>
  <c r="K187" i="6"/>
  <c r="J187" i="6"/>
  <c r="N186" i="6"/>
  <c r="M186" i="6"/>
  <c r="L186" i="6"/>
  <c r="K186" i="6"/>
  <c r="J186" i="6"/>
  <c r="N185" i="6"/>
  <c r="M185" i="6"/>
  <c r="L185" i="6"/>
  <c r="K185" i="6"/>
  <c r="J185" i="6"/>
  <c r="N184" i="6"/>
  <c r="M184" i="6"/>
  <c r="L184" i="6"/>
  <c r="K184" i="6"/>
  <c r="J184" i="6"/>
  <c r="N183" i="6"/>
  <c r="M183" i="6"/>
  <c r="L183" i="6"/>
  <c r="K183" i="6"/>
  <c r="J183" i="6"/>
  <c r="N182" i="6"/>
  <c r="M182" i="6"/>
  <c r="L182" i="6"/>
  <c r="K182" i="6"/>
  <c r="J182" i="6"/>
  <c r="N181" i="6"/>
  <c r="M181" i="6"/>
  <c r="L181" i="6"/>
  <c r="K181" i="6"/>
  <c r="J181" i="6"/>
  <c r="N180" i="6"/>
  <c r="M180" i="6"/>
  <c r="L180" i="6"/>
  <c r="K180" i="6"/>
  <c r="J180" i="6"/>
  <c r="N179" i="6"/>
  <c r="M179" i="6"/>
  <c r="L179" i="6"/>
  <c r="K179" i="6"/>
  <c r="J179" i="6"/>
  <c r="N178" i="6"/>
  <c r="M178" i="6"/>
  <c r="L178" i="6"/>
  <c r="K178" i="6"/>
  <c r="J178" i="6"/>
  <c r="N177" i="6"/>
  <c r="M177" i="6"/>
  <c r="L177" i="6"/>
  <c r="K177" i="6"/>
  <c r="J177" i="6"/>
  <c r="N176" i="6"/>
  <c r="M176" i="6"/>
  <c r="L176" i="6"/>
  <c r="K176" i="6"/>
  <c r="J176" i="6"/>
  <c r="N175" i="6"/>
  <c r="M175" i="6"/>
  <c r="L175" i="6"/>
  <c r="K175" i="6"/>
  <c r="J175" i="6"/>
  <c r="N174" i="6"/>
  <c r="M174" i="6"/>
  <c r="L174" i="6"/>
  <c r="K174" i="6"/>
  <c r="J174" i="6"/>
  <c r="N172" i="6"/>
  <c r="M172" i="6"/>
  <c r="L172" i="6"/>
  <c r="K172" i="6"/>
  <c r="J172" i="6"/>
  <c r="N171" i="6"/>
  <c r="M171" i="6"/>
  <c r="L171" i="6"/>
  <c r="K171" i="6"/>
  <c r="J171" i="6"/>
  <c r="N170" i="6"/>
  <c r="M170" i="6"/>
  <c r="L170" i="6"/>
  <c r="K170" i="6"/>
  <c r="J170" i="6"/>
  <c r="N169" i="6"/>
  <c r="M169" i="6"/>
  <c r="L169" i="6"/>
  <c r="K169" i="6"/>
  <c r="J169" i="6"/>
  <c r="N168" i="6"/>
  <c r="M168" i="6"/>
  <c r="L168" i="6"/>
  <c r="K168" i="6"/>
  <c r="J168" i="6"/>
  <c r="N167" i="6"/>
  <c r="M167" i="6"/>
  <c r="L167" i="6"/>
  <c r="K167" i="6"/>
  <c r="J167" i="6"/>
  <c r="N166" i="6"/>
  <c r="M166" i="6"/>
  <c r="L166" i="6"/>
  <c r="K166" i="6"/>
  <c r="J166" i="6"/>
  <c r="N165" i="6"/>
  <c r="M165" i="6"/>
  <c r="L165" i="6"/>
  <c r="K165" i="6"/>
  <c r="J165" i="6"/>
  <c r="N164" i="6"/>
  <c r="M164" i="6"/>
  <c r="L164" i="6"/>
  <c r="K164" i="6"/>
  <c r="J164" i="6"/>
  <c r="N163" i="6"/>
  <c r="M163" i="6"/>
  <c r="L163" i="6"/>
  <c r="K163" i="6"/>
  <c r="J163" i="6"/>
  <c r="N162" i="6"/>
  <c r="M162" i="6"/>
  <c r="L162" i="6"/>
  <c r="K162" i="6"/>
  <c r="J162" i="6"/>
  <c r="N161" i="6"/>
  <c r="M161" i="6"/>
  <c r="L161" i="6"/>
  <c r="K161" i="6"/>
  <c r="J161" i="6"/>
  <c r="N160" i="6"/>
  <c r="M160" i="6"/>
  <c r="L160" i="6"/>
  <c r="K160" i="6"/>
  <c r="J160" i="6"/>
  <c r="N159" i="6"/>
  <c r="M159" i="6"/>
  <c r="L159" i="6"/>
  <c r="K159" i="6"/>
  <c r="J159" i="6"/>
  <c r="N158" i="6"/>
  <c r="M158" i="6"/>
  <c r="L158" i="6"/>
  <c r="K158" i="6"/>
  <c r="J158" i="6"/>
  <c r="N157" i="6"/>
  <c r="M157" i="6"/>
  <c r="L157" i="6"/>
  <c r="K157" i="6"/>
  <c r="J157" i="6"/>
  <c r="N156" i="6"/>
  <c r="M156" i="6"/>
  <c r="L156" i="6"/>
  <c r="K156" i="6"/>
  <c r="J156" i="6"/>
  <c r="N155" i="6"/>
  <c r="M155" i="6"/>
  <c r="L155" i="6"/>
  <c r="K155" i="6"/>
  <c r="J155" i="6"/>
  <c r="N154" i="6"/>
  <c r="M154" i="6"/>
  <c r="L154" i="6"/>
  <c r="K154" i="6"/>
  <c r="J154" i="6"/>
  <c r="N153" i="6"/>
  <c r="M153" i="6"/>
  <c r="L153" i="6"/>
  <c r="K153" i="6"/>
  <c r="J153" i="6"/>
  <c r="N151" i="6"/>
  <c r="M151" i="6"/>
  <c r="L151" i="6"/>
  <c r="K151" i="6"/>
  <c r="J151" i="6"/>
  <c r="N150" i="6"/>
  <c r="M150" i="6"/>
  <c r="L150" i="6"/>
  <c r="K150" i="6"/>
  <c r="J150" i="6"/>
  <c r="N149" i="6"/>
  <c r="M149" i="6"/>
  <c r="L149" i="6"/>
  <c r="K149" i="6"/>
  <c r="J149" i="6"/>
  <c r="N148" i="6"/>
  <c r="M148" i="6"/>
  <c r="L148" i="6"/>
  <c r="K148" i="6"/>
  <c r="J148" i="6"/>
  <c r="N147" i="6"/>
  <c r="M147" i="6"/>
  <c r="L147" i="6"/>
  <c r="K147" i="6"/>
  <c r="J147" i="6"/>
  <c r="N146" i="6"/>
  <c r="M146" i="6"/>
  <c r="L146" i="6"/>
  <c r="K146" i="6"/>
  <c r="J146" i="6"/>
  <c r="N145" i="6"/>
  <c r="M145" i="6"/>
  <c r="L145" i="6"/>
  <c r="K145" i="6"/>
  <c r="J145" i="6"/>
  <c r="N144" i="6"/>
  <c r="M144" i="6"/>
  <c r="L144" i="6"/>
  <c r="K144" i="6"/>
  <c r="J144" i="6"/>
  <c r="N143" i="6"/>
  <c r="M143" i="6"/>
  <c r="L143" i="6"/>
  <c r="K143" i="6"/>
  <c r="J143" i="6"/>
  <c r="N142" i="6"/>
  <c r="M142" i="6"/>
  <c r="L142" i="6"/>
  <c r="K142" i="6"/>
  <c r="J142" i="6"/>
  <c r="N141" i="6"/>
  <c r="M141" i="6"/>
  <c r="L141" i="6"/>
  <c r="K141" i="6"/>
  <c r="J141" i="6"/>
  <c r="N140" i="6"/>
  <c r="M140" i="6"/>
  <c r="L140" i="6"/>
  <c r="K140" i="6"/>
  <c r="J140" i="6"/>
  <c r="N139" i="6"/>
  <c r="M139" i="6"/>
  <c r="L139" i="6"/>
  <c r="K139" i="6"/>
  <c r="J139" i="6"/>
  <c r="N138" i="6"/>
  <c r="M138" i="6"/>
  <c r="L138" i="6"/>
  <c r="K138" i="6"/>
  <c r="J138" i="6"/>
  <c r="N137" i="6"/>
  <c r="M137" i="6"/>
  <c r="L137" i="6"/>
  <c r="K137" i="6"/>
  <c r="J137" i="6"/>
  <c r="N136" i="6"/>
  <c r="M136" i="6"/>
  <c r="L136" i="6"/>
  <c r="K136" i="6"/>
  <c r="J136" i="6"/>
  <c r="N135" i="6"/>
  <c r="M135" i="6"/>
  <c r="L135" i="6"/>
  <c r="K135" i="6"/>
  <c r="J135" i="6"/>
  <c r="N134" i="6"/>
  <c r="M134" i="6"/>
  <c r="L134" i="6"/>
  <c r="K134" i="6"/>
  <c r="J134" i="6"/>
  <c r="N133" i="6"/>
  <c r="M133" i="6"/>
  <c r="L133" i="6"/>
  <c r="K133" i="6"/>
  <c r="J133" i="6"/>
  <c r="N132" i="6"/>
  <c r="M132" i="6"/>
  <c r="L132" i="6"/>
  <c r="K132" i="6"/>
  <c r="J132" i="6"/>
  <c r="N131" i="6"/>
  <c r="M131" i="6"/>
  <c r="L131" i="6"/>
  <c r="K131" i="6"/>
  <c r="J131" i="6"/>
  <c r="N130" i="6"/>
  <c r="M130" i="6"/>
  <c r="L130" i="6"/>
  <c r="K130" i="6"/>
  <c r="J130" i="6"/>
  <c r="N128" i="6"/>
  <c r="M128" i="6"/>
  <c r="L128" i="6"/>
  <c r="K128" i="6"/>
  <c r="J128" i="6"/>
  <c r="N127" i="6"/>
  <c r="M127" i="6"/>
  <c r="L127" i="6"/>
  <c r="K127" i="6"/>
  <c r="J127" i="6"/>
  <c r="N126" i="6"/>
  <c r="M126" i="6"/>
  <c r="L126" i="6"/>
  <c r="K126" i="6"/>
  <c r="J126" i="6"/>
  <c r="N125" i="6"/>
  <c r="M125" i="6"/>
  <c r="L125" i="6"/>
  <c r="K125" i="6"/>
  <c r="J125" i="6"/>
  <c r="N124" i="6"/>
  <c r="M124" i="6"/>
  <c r="L124" i="6"/>
  <c r="K124" i="6"/>
  <c r="J124" i="6"/>
  <c r="N123" i="6"/>
  <c r="M123" i="6"/>
  <c r="L123" i="6"/>
  <c r="K123" i="6"/>
  <c r="J123" i="6"/>
  <c r="N122" i="6"/>
  <c r="M122" i="6"/>
  <c r="L122" i="6"/>
  <c r="K122" i="6"/>
  <c r="J122" i="6"/>
  <c r="N121" i="6"/>
  <c r="M121" i="6"/>
  <c r="L121" i="6"/>
  <c r="K121" i="6"/>
  <c r="J121" i="6"/>
  <c r="N120" i="6"/>
  <c r="M120" i="6"/>
  <c r="L120" i="6"/>
  <c r="K120" i="6"/>
  <c r="J120" i="6"/>
  <c r="N119" i="6"/>
  <c r="M119" i="6"/>
  <c r="L119" i="6"/>
  <c r="K119" i="6"/>
  <c r="J119" i="6"/>
  <c r="N118" i="6"/>
  <c r="M118" i="6"/>
  <c r="L118" i="6"/>
  <c r="K118" i="6"/>
  <c r="J118" i="6"/>
  <c r="N117" i="6"/>
  <c r="M117" i="6"/>
  <c r="L117" i="6"/>
  <c r="K117" i="6"/>
  <c r="J117" i="6"/>
  <c r="N116" i="6"/>
  <c r="M116" i="6"/>
  <c r="L116" i="6"/>
  <c r="K116" i="6"/>
  <c r="J116" i="6"/>
  <c r="N115" i="6"/>
  <c r="M115" i="6"/>
  <c r="L115" i="6"/>
  <c r="K115" i="6"/>
  <c r="J115" i="6"/>
  <c r="N114" i="6"/>
  <c r="M114" i="6"/>
  <c r="L114" i="6"/>
  <c r="K114" i="6"/>
  <c r="J114" i="6"/>
  <c r="N113" i="6"/>
  <c r="M113" i="6"/>
  <c r="L113" i="6"/>
  <c r="K113" i="6"/>
  <c r="J113" i="6"/>
  <c r="N112" i="6"/>
  <c r="M112" i="6"/>
  <c r="L112" i="6"/>
  <c r="K112" i="6"/>
  <c r="J112" i="6"/>
  <c r="N111" i="6"/>
  <c r="M111" i="6"/>
  <c r="L111" i="6"/>
  <c r="K111" i="6"/>
  <c r="J111" i="6"/>
  <c r="N110" i="6"/>
  <c r="M110" i="6"/>
  <c r="L110" i="6"/>
  <c r="K110" i="6"/>
  <c r="J110" i="6"/>
  <c r="N109" i="6"/>
  <c r="M109" i="6"/>
  <c r="L109" i="6"/>
  <c r="K109" i="6"/>
  <c r="J109" i="6"/>
  <c r="N107" i="6"/>
  <c r="M107" i="6"/>
  <c r="L107" i="6"/>
  <c r="K107" i="6"/>
  <c r="J107" i="6"/>
  <c r="N106" i="6"/>
  <c r="M106" i="6"/>
  <c r="L106" i="6"/>
  <c r="K106" i="6"/>
  <c r="J106" i="6"/>
  <c r="N105" i="6"/>
  <c r="M105" i="6"/>
  <c r="L105" i="6"/>
  <c r="K105" i="6"/>
  <c r="J105" i="6"/>
  <c r="N104" i="6"/>
  <c r="M104" i="6"/>
  <c r="L104" i="6"/>
  <c r="K104" i="6"/>
  <c r="J104" i="6"/>
  <c r="N103" i="6"/>
  <c r="M103" i="6"/>
  <c r="L103" i="6"/>
  <c r="K103" i="6"/>
  <c r="J103" i="6"/>
  <c r="N102" i="6"/>
  <c r="M102" i="6"/>
  <c r="L102" i="6"/>
  <c r="K102" i="6"/>
  <c r="J102" i="6"/>
  <c r="N101" i="6"/>
  <c r="M101" i="6"/>
  <c r="L101" i="6"/>
  <c r="K101" i="6"/>
  <c r="J101" i="6"/>
  <c r="N100" i="6"/>
  <c r="M100" i="6"/>
  <c r="L100" i="6"/>
  <c r="K100" i="6"/>
  <c r="J100" i="6"/>
  <c r="N99" i="6"/>
  <c r="M99" i="6"/>
  <c r="L99" i="6"/>
  <c r="K99" i="6"/>
  <c r="J99" i="6"/>
  <c r="N98" i="6"/>
  <c r="M98" i="6"/>
  <c r="L98" i="6"/>
  <c r="K98" i="6"/>
  <c r="J98" i="6"/>
  <c r="N97" i="6"/>
  <c r="M97" i="6"/>
  <c r="L97" i="6"/>
  <c r="K97" i="6"/>
  <c r="J97" i="6"/>
  <c r="N96" i="6"/>
  <c r="M96" i="6"/>
  <c r="L96" i="6"/>
  <c r="K96" i="6"/>
  <c r="J96" i="6"/>
  <c r="N95" i="6"/>
  <c r="M95" i="6"/>
  <c r="L95" i="6"/>
  <c r="K95" i="6"/>
  <c r="J95" i="6"/>
  <c r="N94" i="6"/>
  <c r="M94" i="6"/>
  <c r="L94" i="6"/>
  <c r="K94" i="6"/>
  <c r="J94" i="6"/>
  <c r="N93" i="6"/>
  <c r="M93" i="6"/>
  <c r="L93" i="6"/>
  <c r="K93" i="6"/>
  <c r="J93" i="6"/>
  <c r="N92" i="6"/>
  <c r="M92" i="6"/>
  <c r="L92" i="6"/>
  <c r="K92" i="6"/>
  <c r="J92" i="6"/>
  <c r="N91" i="6"/>
  <c r="M91" i="6"/>
  <c r="L91" i="6"/>
  <c r="K91" i="6"/>
  <c r="J91" i="6"/>
  <c r="N90" i="6"/>
  <c r="M90" i="6"/>
  <c r="L90" i="6"/>
  <c r="K90" i="6"/>
  <c r="J90" i="6"/>
  <c r="N88" i="6"/>
  <c r="M88" i="6"/>
  <c r="L88" i="6"/>
  <c r="K88" i="6"/>
  <c r="J88" i="6"/>
  <c r="N87" i="6"/>
  <c r="M87" i="6"/>
  <c r="L87" i="6"/>
  <c r="K87" i="6"/>
  <c r="J87" i="6"/>
  <c r="N86" i="6"/>
  <c r="M86" i="6"/>
  <c r="L86" i="6"/>
  <c r="K86" i="6"/>
  <c r="J86" i="6"/>
  <c r="N85" i="6"/>
  <c r="M85" i="6"/>
  <c r="L85" i="6"/>
  <c r="K85" i="6"/>
  <c r="J85" i="6"/>
  <c r="N84" i="6"/>
  <c r="M84" i="6"/>
  <c r="L84" i="6"/>
  <c r="K84" i="6"/>
  <c r="J84" i="6"/>
  <c r="N83" i="6"/>
  <c r="M83" i="6"/>
  <c r="L83" i="6"/>
  <c r="K83" i="6"/>
  <c r="J83" i="6"/>
  <c r="N82" i="6"/>
  <c r="M82" i="6"/>
  <c r="L82" i="6"/>
  <c r="K82" i="6"/>
  <c r="J82" i="6"/>
  <c r="N81" i="6"/>
  <c r="M81" i="6"/>
  <c r="L81" i="6"/>
  <c r="K81" i="6"/>
  <c r="J81" i="6"/>
  <c r="N80" i="6"/>
  <c r="M80" i="6"/>
  <c r="L80" i="6"/>
  <c r="K80" i="6"/>
  <c r="J80" i="6"/>
  <c r="N79" i="6"/>
  <c r="M79" i="6"/>
  <c r="L79" i="6"/>
  <c r="K79" i="6"/>
  <c r="J79" i="6"/>
  <c r="N78" i="6"/>
  <c r="M78" i="6"/>
  <c r="L78" i="6"/>
  <c r="K78" i="6"/>
  <c r="J78" i="6"/>
  <c r="N77" i="6"/>
  <c r="M77" i="6"/>
  <c r="L77" i="6"/>
  <c r="K77" i="6"/>
  <c r="J77" i="6"/>
  <c r="N76" i="6"/>
  <c r="M76" i="6"/>
  <c r="L76" i="6"/>
  <c r="K76" i="6"/>
  <c r="J76" i="6"/>
  <c r="N75" i="6"/>
  <c r="M75" i="6"/>
  <c r="L75" i="6"/>
  <c r="K75" i="6"/>
  <c r="J75" i="6"/>
  <c r="N74" i="6"/>
  <c r="M74" i="6"/>
  <c r="L74" i="6"/>
  <c r="K74" i="6"/>
  <c r="J74" i="6"/>
  <c r="N73" i="6"/>
  <c r="M73" i="6"/>
  <c r="L73" i="6"/>
  <c r="K73" i="6"/>
  <c r="J73" i="6"/>
  <c r="N72" i="6"/>
  <c r="M72" i="6"/>
  <c r="L72" i="6"/>
  <c r="K72" i="6"/>
  <c r="J72" i="6"/>
  <c r="N70" i="6"/>
  <c r="M70" i="6"/>
  <c r="L70" i="6"/>
  <c r="K70" i="6"/>
  <c r="J70" i="6"/>
  <c r="N69" i="6"/>
  <c r="M69" i="6"/>
  <c r="L69" i="6"/>
  <c r="K69" i="6"/>
  <c r="J69" i="6"/>
  <c r="N68" i="6"/>
  <c r="M68" i="6"/>
  <c r="L68" i="6"/>
  <c r="K68" i="6"/>
  <c r="J68" i="6"/>
  <c r="N67" i="6"/>
  <c r="M67" i="6"/>
  <c r="L67" i="6"/>
  <c r="K67" i="6"/>
  <c r="J67" i="6"/>
  <c r="N66" i="6"/>
  <c r="M66" i="6"/>
  <c r="L66" i="6"/>
  <c r="K66" i="6"/>
  <c r="J66" i="6"/>
  <c r="N65" i="6"/>
  <c r="M65" i="6"/>
  <c r="L65" i="6"/>
  <c r="K65" i="6"/>
  <c r="J65" i="6"/>
  <c r="N64" i="6"/>
  <c r="M64" i="6"/>
  <c r="L64" i="6"/>
  <c r="K64" i="6"/>
  <c r="J64" i="6"/>
  <c r="N63" i="6"/>
  <c r="M63" i="6"/>
  <c r="L63" i="6"/>
  <c r="K63" i="6"/>
  <c r="J63" i="6"/>
  <c r="N62" i="6"/>
  <c r="M62" i="6"/>
  <c r="L62" i="6"/>
  <c r="K62" i="6"/>
  <c r="J62" i="6"/>
  <c r="N61" i="6"/>
  <c r="M61" i="6"/>
  <c r="L61" i="6"/>
  <c r="K61" i="6"/>
  <c r="J61" i="6"/>
  <c r="N60" i="6"/>
  <c r="M60" i="6"/>
  <c r="L60" i="6"/>
  <c r="K60" i="6"/>
  <c r="J60" i="6"/>
  <c r="N59" i="6"/>
  <c r="M59" i="6"/>
  <c r="L59" i="6"/>
  <c r="K59" i="6"/>
  <c r="J59" i="6"/>
  <c r="N58" i="6"/>
  <c r="M58" i="6"/>
  <c r="L58" i="6"/>
  <c r="K58" i="6"/>
  <c r="J58" i="6"/>
  <c r="N57" i="6"/>
  <c r="M57" i="6"/>
  <c r="L57" i="6"/>
  <c r="K57" i="6"/>
  <c r="J57" i="6"/>
  <c r="N56" i="6"/>
  <c r="M56" i="6"/>
  <c r="L56" i="6"/>
  <c r="K56" i="6"/>
  <c r="J56" i="6"/>
  <c r="N55" i="6"/>
  <c r="M55" i="6"/>
  <c r="L55" i="6"/>
  <c r="K55" i="6"/>
  <c r="J55" i="6"/>
  <c r="N54" i="6"/>
  <c r="M54" i="6"/>
  <c r="L54" i="6"/>
  <c r="K54" i="6"/>
  <c r="J54" i="6"/>
  <c r="N53" i="6"/>
  <c r="M53" i="6"/>
  <c r="L53" i="6"/>
  <c r="K53" i="6"/>
  <c r="J53" i="6"/>
  <c r="N52" i="6"/>
  <c r="M52" i="6"/>
  <c r="L52" i="6"/>
  <c r="K52" i="6"/>
  <c r="J52" i="6"/>
  <c r="N51" i="6"/>
  <c r="M51" i="6"/>
  <c r="L51" i="6"/>
  <c r="K51" i="6"/>
  <c r="J51" i="6"/>
  <c r="N49" i="6"/>
  <c r="M49" i="6"/>
  <c r="L49" i="6"/>
  <c r="K49" i="6"/>
  <c r="J49" i="6"/>
  <c r="N48" i="6"/>
  <c r="M48" i="6"/>
  <c r="L48" i="6"/>
  <c r="K48" i="6"/>
  <c r="J48" i="6"/>
  <c r="N47" i="6"/>
  <c r="M47" i="6"/>
  <c r="L47" i="6"/>
  <c r="K47" i="6"/>
  <c r="J47" i="6"/>
  <c r="N46" i="6"/>
  <c r="M46" i="6"/>
  <c r="L46" i="6"/>
  <c r="K46" i="6"/>
  <c r="J46" i="6"/>
  <c r="N45" i="6"/>
  <c r="M45" i="6"/>
  <c r="L45" i="6"/>
  <c r="K45" i="6"/>
  <c r="J45" i="6"/>
  <c r="N44" i="6"/>
  <c r="M44" i="6"/>
  <c r="L44" i="6"/>
  <c r="K44" i="6"/>
  <c r="J44" i="6"/>
  <c r="N43" i="6"/>
  <c r="M43" i="6"/>
  <c r="L43" i="6"/>
  <c r="K43" i="6"/>
  <c r="J43" i="6"/>
  <c r="N42" i="6"/>
  <c r="M42" i="6"/>
  <c r="L42" i="6"/>
  <c r="K42" i="6"/>
  <c r="J42" i="6"/>
  <c r="N41" i="6"/>
  <c r="M41" i="6"/>
  <c r="L41" i="6"/>
  <c r="K41" i="6"/>
  <c r="J41" i="6"/>
  <c r="N40" i="6"/>
  <c r="M40" i="6"/>
  <c r="L40" i="6"/>
  <c r="K40" i="6"/>
  <c r="J40" i="6"/>
  <c r="N39" i="6"/>
  <c r="M39" i="6"/>
  <c r="L39" i="6"/>
  <c r="K39" i="6"/>
  <c r="J39" i="6"/>
  <c r="N38" i="6"/>
  <c r="M38" i="6"/>
  <c r="L38" i="6"/>
  <c r="K38" i="6"/>
  <c r="J38" i="6"/>
  <c r="N37" i="6"/>
  <c r="M37" i="6"/>
  <c r="L37" i="6"/>
  <c r="K37" i="6"/>
  <c r="J37" i="6"/>
  <c r="N36" i="6"/>
  <c r="M36" i="6"/>
  <c r="L36" i="6"/>
  <c r="K36" i="6"/>
  <c r="J36" i="6"/>
  <c r="N35" i="6"/>
  <c r="M35" i="6"/>
  <c r="L35" i="6"/>
  <c r="K35" i="6"/>
  <c r="J35" i="6"/>
  <c r="N34" i="6"/>
  <c r="M34" i="6"/>
  <c r="L34" i="6"/>
  <c r="K34" i="6"/>
  <c r="J34" i="6"/>
  <c r="N33" i="6"/>
  <c r="M33" i="6"/>
  <c r="L33" i="6"/>
  <c r="K33" i="6"/>
  <c r="J33" i="6"/>
  <c r="N32" i="6"/>
  <c r="M32" i="6"/>
  <c r="L32" i="6"/>
  <c r="K32" i="6"/>
  <c r="J32" i="6"/>
  <c r="N31" i="6"/>
  <c r="M31" i="6"/>
  <c r="L31" i="6"/>
  <c r="K31" i="6"/>
  <c r="J31" i="6"/>
  <c r="N30" i="6"/>
  <c r="M30" i="6"/>
  <c r="L30" i="6"/>
  <c r="K30" i="6"/>
  <c r="J30" i="6"/>
  <c r="N29" i="6"/>
  <c r="M29" i="6"/>
  <c r="L29" i="6"/>
  <c r="K29" i="6"/>
  <c r="J29" i="6"/>
  <c r="N27" i="6"/>
  <c r="M27" i="6"/>
  <c r="L27" i="6"/>
  <c r="K27" i="6"/>
  <c r="J27" i="6"/>
  <c r="N26" i="6"/>
  <c r="M26" i="6"/>
  <c r="L26" i="6"/>
  <c r="K26" i="6"/>
  <c r="J26" i="6"/>
  <c r="N25" i="6"/>
  <c r="M25" i="6"/>
  <c r="L25" i="6"/>
  <c r="K25" i="6"/>
  <c r="J25" i="6"/>
  <c r="N24" i="6"/>
  <c r="M24" i="6"/>
  <c r="L24" i="6"/>
  <c r="K24" i="6"/>
  <c r="J24" i="6"/>
  <c r="N23" i="6"/>
  <c r="M23" i="6"/>
  <c r="L23" i="6"/>
  <c r="K23" i="6"/>
  <c r="J23" i="6"/>
  <c r="N22" i="6"/>
  <c r="M22" i="6"/>
  <c r="L22" i="6"/>
  <c r="K22" i="6"/>
  <c r="J22" i="6"/>
  <c r="N21" i="6"/>
  <c r="M21" i="6"/>
  <c r="L21" i="6"/>
  <c r="K21" i="6"/>
  <c r="J21" i="6"/>
  <c r="N20" i="6"/>
  <c r="M20" i="6"/>
  <c r="L20" i="6"/>
  <c r="K20" i="6"/>
  <c r="J20" i="6"/>
  <c r="N19" i="6"/>
  <c r="M19" i="6"/>
  <c r="L19" i="6"/>
  <c r="K19" i="6"/>
  <c r="J19" i="6"/>
  <c r="N18" i="6"/>
  <c r="M18" i="6"/>
  <c r="L18" i="6"/>
  <c r="K18" i="6"/>
  <c r="J18" i="6"/>
  <c r="N17" i="6"/>
  <c r="M17" i="6"/>
  <c r="L17" i="6"/>
  <c r="K17" i="6"/>
  <c r="J17" i="6"/>
  <c r="N16" i="6"/>
  <c r="M16" i="6"/>
  <c r="L16" i="6"/>
  <c r="K16" i="6"/>
  <c r="J16" i="6"/>
  <c r="N15" i="6"/>
  <c r="M15" i="6"/>
  <c r="L15" i="6"/>
  <c r="K15" i="6"/>
  <c r="J15" i="6"/>
  <c r="N14" i="6"/>
  <c r="M14" i="6"/>
  <c r="L14" i="6"/>
  <c r="K14" i="6"/>
  <c r="J14" i="6"/>
  <c r="N13" i="6"/>
  <c r="M13" i="6"/>
  <c r="L13" i="6"/>
  <c r="K13" i="6"/>
  <c r="J13" i="6"/>
  <c r="N12" i="6"/>
  <c r="M12" i="6"/>
  <c r="L12" i="6"/>
  <c r="K12" i="6"/>
  <c r="J12" i="6"/>
  <c r="N11" i="6"/>
  <c r="M11" i="6"/>
  <c r="L11" i="6"/>
  <c r="K11" i="6"/>
  <c r="J11" i="6"/>
  <c r="N10" i="6"/>
  <c r="M10" i="6"/>
  <c r="L10" i="6"/>
  <c r="K10" i="6"/>
  <c r="J10" i="6"/>
  <c r="N9" i="6"/>
  <c r="M9" i="6"/>
  <c r="L9" i="6"/>
  <c r="K9" i="6"/>
  <c r="J9" i="6"/>
  <c r="N8" i="6"/>
  <c r="M8" i="6"/>
  <c r="L8" i="6"/>
  <c r="K8" i="6"/>
  <c r="J8" i="6"/>
  <c r="N7" i="6"/>
  <c r="M7" i="6"/>
  <c r="L7" i="6"/>
  <c r="K7" i="6"/>
  <c r="J7" i="6"/>
  <c r="N6" i="6"/>
  <c r="M6" i="6"/>
  <c r="L6" i="6"/>
  <c r="K6" i="6"/>
  <c r="J6" i="6"/>
  <c r="G222" i="5"/>
  <c r="G221" i="5"/>
  <c r="G220" i="5"/>
  <c r="G219" i="5"/>
  <c r="G218" i="5"/>
  <c r="G217" i="5"/>
  <c r="G216" i="5"/>
  <c r="G215" i="5"/>
  <c r="G214" i="5"/>
  <c r="G213" i="5"/>
  <c r="G212" i="5"/>
  <c r="G211" i="5"/>
  <c r="G210" i="5"/>
  <c r="G209" i="5"/>
  <c r="G208" i="5"/>
  <c r="G207" i="5"/>
  <c r="G206" i="5"/>
  <c r="G205" i="5"/>
  <c r="G204" i="5"/>
  <c r="G203" i="5"/>
  <c r="G202" i="5"/>
  <c r="B135" i="5"/>
  <c r="B132" i="5"/>
  <c r="B129" i="5"/>
  <c r="B126" i="5"/>
  <c r="B123" i="5"/>
  <c r="B120" i="5"/>
  <c r="D114" i="4"/>
  <c r="D113" i="4"/>
  <c r="D112" i="4"/>
  <c r="D111" i="4"/>
  <c r="D110" i="4"/>
  <c r="D109" i="4"/>
  <c r="D108" i="4"/>
  <c r="D107" i="4"/>
  <c r="D106" i="4"/>
  <c r="D105" i="4"/>
  <c r="D104" i="4"/>
  <c r="D103" i="4"/>
  <c r="D102" i="4"/>
  <c r="D101" i="4"/>
  <c r="D100" i="4"/>
  <c r="D99" i="4"/>
  <c r="D98" i="4"/>
  <c r="D97" i="4"/>
  <c r="H55" i="4"/>
  <c r="G55" i="4"/>
  <c r="G38" i="4"/>
  <c r="H21" i="4"/>
  <c r="G21" i="4"/>
  <c r="J18" i="4"/>
  <c r="I18" i="4"/>
  <c r="J17" i="4"/>
  <c r="I17" i="4"/>
  <c r="J16" i="4"/>
  <c r="I16" i="4"/>
  <c r="J15" i="4"/>
  <c r="I15" i="4"/>
  <c r="J14" i="4"/>
  <c r="I14" i="4"/>
  <c r="J13" i="4"/>
  <c r="I13" i="4"/>
  <c r="J12" i="4"/>
  <c r="I12" i="4"/>
  <c r="J11" i="4"/>
  <c r="I11" i="4"/>
  <c r="J10" i="4"/>
  <c r="I10" i="4"/>
  <c r="J9" i="4"/>
  <c r="I9" i="4"/>
  <c r="J8" i="4"/>
  <c r="I8" i="4"/>
  <c r="J7" i="4"/>
  <c r="I7" i="4"/>
  <c r="J6" i="4"/>
  <c r="I6" i="4"/>
  <c r="J5" i="4"/>
  <c r="I5" i="4"/>
  <c r="H4" i="4"/>
  <c r="B113" i="3"/>
  <c r="B110" i="3"/>
  <c r="B107" i="3"/>
  <c r="B104" i="3"/>
  <c r="B101" i="3"/>
  <c r="B98" i="3"/>
  <c r="D95" i="3"/>
  <c r="D94" i="3"/>
  <c r="D93" i="3"/>
  <c r="D92" i="3"/>
  <c r="AB40" i="2"/>
  <c r="Z40" i="2" s="1"/>
  <c r="N35" i="13" s="1"/>
  <c r="AB39" i="2"/>
  <c r="Z39" i="2" s="1"/>
  <c r="N65" i="13" s="1"/>
  <c r="AB38" i="2"/>
  <c r="Z38" i="2" s="1"/>
  <c r="AB37" i="2"/>
  <c r="Z37" i="2" s="1"/>
  <c r="K13" i="8" s="1"/>
  <c r="AB36" i="2"/>
  <c r="Z36" i="2" s="1"/>
  <c r="AB35" i="2"/>
  <c r="Z35" i="2" s="1"/>
  <c r="AB34" i="2"/>
  <c r="Z34" i="2" s="1"/>
  <c r="N61" i="13" s="1"/>
  <c r="AB33" i="2"/>
  <c r="Z33" i="2" s="1"/>
  <c r="AB32" i="2"/>
  <c r="Z32" i="2" s="1"/>
  <c r="N49" i="13" s="1"/>
  <c r="AB31" i="2"/>
  <c r="Z31" i="2" s="1"/>
  <c r="AB30" i="2"/>
  <c r="Z30" i="2" s="1"/>
  <c r="N57" i="13" s="1"/>
  <c r="AB29" i="2"/>
  <c r="Z29" i="2" s="1"/>
  <c r="N22" i="13" s="1"/>
  <c r="AB28" i="2"/>
  <c r="Z28" i="2" s="1"/>
  <c r="AB27" i="2"/>
  <c r="Z27" i="2"/>
  <c r="S20" i="8" s="1"/>
  <c r="AB26" i="2"/>
  <c r="Z26" i="2" s="1"/>
  <c r="I42" i="13" s="1"/>
  <c r="O26" i="2"/>
  <c r="M26" i="2" s="1"/>
  <c r="D26" i="2"/>
  <c r="B26" i="2"/>
  <c r="AB25" i="2"/>
  <c r="Z25" i="2" s="1"/>
  <c r="N9" i="13" s="1"/>
  <c r="O25" i="2"/>
  <c r="M25" i="2" s="1"/>
  <c r="AB24" i="2"/>
  <c r="Z24" i="2"/>
  <c r="O24" i="2"/>
  <c r="M24" i="2" s="1"/>
  <c r="D24" i="2"/>
  <c r="AB23" i="2"/>
  <c r="Z23" i="2" s="1"/>
  <c r="O23" i="2"/>
  <c r="M23" i="2" s="1"/>
  <c r="L23" i="2" s="1"/>
  <c r="D22" i="16" s="1"/>
  <c r="AB22" i="2"/>
  <c r="Z22" i="2" s="1"/>
  <c r="O15" i="8" s="1"/>
  <c r="O22" i="2"/>
  <c r="M22" i="2" s="1"/>
  <c r="Q20" i="8" s="1"/>
  <c r="R20" i="8" s="1"/>
  <c r="AB21" i="2"/>
  <c r="Z21" i="2" s="1"/>
  <c r="K6" i="8" s="1"/>
  <c r="O21" i="2"/>
  <c r="M21" i="2" s="1"/>
  <c r="AB20" i="2"/>
  <c r="Z20" i="2"/>
  <c r="O20" i="2"/>
  <c r="M20" i="2"/>
  <c r="H20" i="2"/>
  <c r="G20" i="2"/>
  <c r="E20" i="2"/>
  <c r="D26" i="14" s="1"/>
  <c r="D29" i="14" s="1"/>
  <c r="AB19" i="2"/>
  <c r="Z19" i="2" s="1"/>
  <c r="O19" i="2"/>
  <c r="M19" i="2" s="1"/>
  <c r="AB18" i="2"/>
  <c r="Z18" i="2"/>
  <c r="I54" i="13" s="1"/>
  <c r="U18" i="2"/>
  <c r="S18" i="2" s="1"/>
  <c r="H52" i="12" s="1"/>
  <c r="O18" i="2"/>
  <c r="M18" i="2" s="1"/>
  <c r="L18" i="2"/>
  <c r="AB17" i="2"/>
  <c r="Z17" i="2" s="1"/>
  <c r="I58" i="13" s="1"/>
  <c r="U17" i="2"/>
  <c r="S17" i="2" s="1"/>
  <c r="O17" i="2"/>
  <c r="M17" i="2" s="1"/>
  <c r="AB16" i="2"/>
  <c r="Z16" i="2" s="1"/>
  <c r="U16" i="2"/>
  <c r="S16" i="2" s="1"/>
  <c r="O16" i="2"/>
  <c r="M16" i="2" s="1"/>
  <c r="I16" i="2"/>
  <c r="G16" i="2" s="1"/>
  <c r="C12" i="1" s="1"/>
  <c r="AB15" i="2"/>
  <c r="Z15" i="2"/>
  <c r="I30" i="13" s="1"/>
  <c r="U15" i="2"/>
  <c r="S15" i="2" s="1"/>
  <c r="O15" i="2"/>
  <c r="M15" i="2" s="1"/>
  <c r="AB14" i="2"/>
  <c r="Z14" i="2" s="1"/>
  <c r="U14" i="2"/>
  <c r="S14" i="2" s="1"/>
  <c r="O14" i="2"/>
  <c r="M14" i="2"/>
  <c r="Q12" i="8" s="1"/>
  <c r="R12" i="8" s="1"/>
  <c r="AB13" i="2"/>
  <c r="Z13" i="2" s="1"/>
  <c r="I13" i="13" s="1"/>
  <c r="U13" i="2"/>
  <c r="S13" i="2" s="1"/>
  <c r="O13" i="2"/>
  <c r="M13" i="2" s="1"/>
  <c r="AB12" i="2"/>
  <c r="Z12" i="2"/>
  <c r="I48" i="13" s="1"/>
  <c r="U12" i="2"/>
  <c r="S12" i="2" s="1"/>
  <c r="O12" i="2"/>
  <c r="M12" i="2"/>
  <c r="I10" i="8" s="1"/>
  <c r="AB11" i="2"/>
  <c r="Z11" i="2" s="1"/>
  <c r="U11" i="2"/>
  <c r="S11" i="2" s="1"/>
  <c r="O11" i="2"/>
  <c r="M11" i="2" s="1"/>
  <c r="L11" i="2" s="1"/>
  <c r="AB10" i="2"/>
  <c r="Z10" i="2" s="1"/>
  <c r="I56" i="13" s="1"/>
  <c r="U10" i="2"/>
  <c r="S10" i="2" s="1"/>
  <c r="O10" i="2"/>
  <c r="M10" i="2" s="1"/>
  <c r="U8" i="8" s="1"/>
  <c r="AB9" i="2"/>
  <c r="Z9" i="2" s="1"/>
  <c r="U9" i="2"/>
  <c r="S9" i="2"/>
  <c r="O9" i="2"/>
  <c r="M9" i="2" s="1"/>
  <c r="AB8" i="2"/>
  <c r="Z8" i="2" s="1"/>
  <c r="I12" i="13" s="1"/>
  <c r="U8" i="2"/>
  <c r="S8" i="2" s="1"/>
  <c r="O8" i="2"/>
  <c r="M8" i="2" s="1"/>
  <c r="L8" i="2" s="1"/>
  <c r="AB7" i="2"/>
  <c r="Z7" i="2" s="1"/>
  <c r="W7" i="2"/>
  <c r="W5" i="2" s="1"/>
  <c r="U7" i="2"/>
  <c r="S7" i="2"/>
  <c r="O7" i="2"/>
  <c r="M7" i="2" s="1"/>
  <c r="L7" i="2" s="1"/>
  <c r="AB6" i="2"/>
  <c r="Z6" i="2" s="1"/>
  <c r="I21" i="13" s="1"/>
  <c r="U6" i="2"/>
  <c r="S6" i="2" s="1"/>
  <c r="C23" i="12" s="1"/>
  <c r="O6" i="2"/>
  <c r="M6" i="2" s="1"/>
  <c r="F6" i="2"/>
  <c r="D6" i="2" s="1"/>
  <c r="AB5" i="2"/>
  <c r="Z5" i="2" s="1"/>
  <c r="I26" i="13" s="1"/>
  <c r="U5" i="2"/>
  <c r="S5" i="2" s="1"/>
  <c r="H22" i="12" s="1"/>
  <c r="O5" i="2"/>
  <c r="M5" i="2" s="1"/>
  <c r="U3" i="8" s="1"/>
  <c r="I27" i="1"/>
  <c r="I26" i="1"/>
  <c r="I25" i="1"/>
  <c r="I24" i="1"/>
  <c r="I23" i="1"/>
  <c r="I22" i="1"/>
  <c r="I21" i="1"/>
  <c r="I20" i="1"/>
  <c r="I19" i="1"/>
  <c r="I18" i="1"/>
  <c r="I17" i="1"/>
  <c r="I16" i="1"/>
  <c r="I15" i="1"/>
  <c r="I14" i="1"/>
  <c r="I13" i="1"/>
  <c r="I12" i="1"/>
  <c r="I11" i="1"/>
  <c r="I10" i="1"/>
  <c r="I9" i="1"/>
  <c r="I8" i="1"/>
  <c r="I7" i="1"/>
  <c r="U15" i="8" l="1"/>
  <c r="L17" i="2"/>
  <c r="M17" i="8"/>
  <c r="N17" i="8" s="1"/>
  <c r="L19" i="2"/>
  <c r="I11" i="2"/>
  <c r="G11" i="2" s="1"/>
  <c r="C11" i="1" s="1"/>
  <c r="I8" i="2"/>
  <c r="G8" i="2" s="1"/>
  <c r="C20" i="1" s="1"/>
  <c r="F14" i="2"/>
  <c r="D14" i="2" s="1"/>
  <c r="L4" i="22"/>
  <c r="E47" i="14"/>
  <c r="K14" i="11"/>
  <c r="T20" i="8"/>
  <c r="F15" i="2"/>
  <c r="D15" i="2" s="1"/>
  <c r="K16" i="11"/>
  <c r="K17" i="11"/>
  <c r="D44" i="14"/>
  <c r="D47" i="14"/>
  <c r="M15" i="8"/>
  <c r="N15" i="8" s="1"/>
  <c r="P15" i="8" s="1"/>
  <c r="E32" i="14"/>
  <c r="F10" i="2"/>
  <c r="D10" i="2" s="1"/>
  <c r="I12" i="2"/>
  <c r="G12" i="2" s="1"/>
  <c r="C16" i="1" s="1"/>
  <c r="F18" i="2"/>
  <c r="D18" i="2" s="1"/>
  <c r="L12" i="2"/>
  <c r="I24" i="16" s="1"/>
  <c r="G24" i="13" s="1"/>
  <c r="H24" i="13" s="1"/>
  <c r="E18" i="14"/>
  <c r="I7" i="2"/>
  <c r="G7" i="2" s="1"/>
  <c r="C14" i="1" s="1"/>
  <c r="I12" i="8"/>
  <c r="J12" i="8" s="1"/>
  <c r="K4" i="15"/>
  <c r="K31" i="15"/>
  <c r="K36" i="15"/>
  <c r="K48" i="15"/>
  <c r="G6" i="10"/>
  <c r="K38" i="15"/>
  <c r="K35" i="15"/>
  <c r="K43" i="15"/>
  <c r="J7" i="15"/>
  <c r="C37" i="11" s="1"/>
  <c r="J28" i="15"/>
  <c r="E3" i="11" s="1"/>
  <c r="L33" i="1"/>
  <c r="L56" i="1" s="1"/>
  <c r="K20" i="15"/>
  <c r="K24" i="15"/>
  <c r="J32" i="15"/>
  <c r="G60" i="12" s="1"/>
  <c r="K12" i="15"/>
  <c r="K56" i="15"/>
  <c r="J35" i="15"/>
  <c r="C28" i="11" s="1"/>
  <c r="J48" i="15"/>
  <c r="I57" i="12" s="1"/>
  <c r="J8" i="15"/>
  <c r="M14" i="11" s="1"/>
  <c r="K10" i="15"/>
  <c r="K52" i="15"/>
  <c r="K19" i="15"/>
  <c r="J12" i="15"/>
  <c r="C29" i="11" s="1"/>
  <c r="K28" i="15"/>
  <c r="I7" i="10"/>
  <c r="J11" i="15"/>
  <c r="E57" i="12" s="1"/>
  <c r="K16" i="15"/>
  <c r="K60" i="15"/>
  <c r="K11" i="10"/>
  <c r="J40" i="15"/>
  <c r="J4" i="15"/>
  <c r="I59" i="12" s="1"/>
  <c r="G8" i="10"/>
  <c r="J20" i="15"/>
  <c r="E5" i="11" s="1"/>
  <c r="K44" i="15"/>
  <c r="J55" i="15"/>
  <c r="C23" i="11" s="1"/>
  <c r="D12" i="11" s="1"/>
  <c r="K59" i="15"/>
  <c r="K40" i="15"/>
  <c r="E35" i="1"/>
  <c r="H24" i="4" s="1"/>
  <c r="K11" i="15"/>
  <c r="E37" i="1"/>
  <c r="C26" i="4" s="1"/>
  <c r="C60" i="4" s="1"/>
  <c r="C24" i="2"/>
  <c r="E94" i="4" s="1"/>
  <c r="G4" i="10"/>
  <c r="I5" i="10"/>
  <c r="M10" i="10"/>
  <c r="K7" i="15"/>
  <c r="K23" i="15"/>
  <c r="J36" i="15"/>
  <c r="L54" i="1" s="1"/>
  <c r="C16" i="11"/>
  <c r="E16" i="11" s="1"/>
  <c r="E42" i="1"/>
  <c r="C31" i="4" s="1"/>
  <c r="C65" i="4" s="1"/>
  <c r="K7" i="10"/>
  <c r="J14" i="15"/>
  <c r="K55" i="15"/>
  <c r="E43" i="1"/>
  <c r="M7" i="10"/>
  <c r="J19" i="15"/>
  <c r="C15" i="11" s="1"/>
  <c r="E15" i="11" s="1"/>
  <c r="K32" i="15"/>
  <c r="J60" i="15"/>
  <c r="E44" i="1"/>
  <c r="C16" i="4" s="1"/>
  <c r="H16" i="4" s="1"/>
  <c r="C3" i="6"/>
  <c r="M3" i="10"/>
  <c r="M8" i="10"/>
  <c r="M12" i="11"/>
  <c r="K8" i="15"/>
  <c r="E38" i="1"/>
  <c r="C10" i="4" s="1"/>
  <c r="H10" i="4" s="1"/>
  <c r="H31" i="10"/>
  <c r="K4" i="10"/>
  <c r="J16" i="15"/>
  <c r="G64" i="12" s="1"/>
  <c r="J24" i="15"/>
  <c r="F32" i="10" s="1"/>
  <c r="E41" i="1"/>
  <c r="K5" i="10"/>
  <c r="G11" i="10"/>
  <c r="C32" i="11"/>
  <c r="E62" i="12"/>
  <c r="J38" i="15"/>
  <c r="L43" i="1" s="1"/>
  <c r="I9" i="10"/>
  <c r="J56" i="15"/>
  <c r="C24" i="11" s="1"/>
  <c r="D19" i="11" s="1"/>
  <c r="E34" i="1"/>
  <c r="C23" i="4" s="1"/>
  <c r="C57" i="4" s="1"/>
  <c r="B3" i="6"/>
  <c r="G3" i="10"/>
  <c r="L17" i="11"/>
  <c r="K14" i="15"/>
  <c r="E36" i="1"/>
  <c r="C8" i="4" s="1"/>
  <c r="H8" i="4" s="1"/>
  <c r="J52" i="15"/>
  <c r="F29" i="10" s="1"/>
  <c r="E45" i="1"/>
  <c r="C17" i="4" s="1"/>
  <c r="H17" i="4" s="1"/>
  <c r="D3" i="6"/>
  <c r="M9" i="10"/>
  <c r="I22" i="12"/>
  <c r="L45" i="1"/>
  <c r="G10" i="10"/>
  <c r="J44" i="15"/>
  <c r="F28" i="10" s="1"/>
  <c r="J59" i="15"/>
  <c r="L48" i="1" s="1"/>
  <c r="E39" i="1"/>
  <c r="H28" i="4" s="1"/>
  <c r="E46" i="1"/>
  <c r="C35" i="4" s="1"/>
  <c r="C69" i="4" s="1"/>
  <c r="M4" i="10"/>
  <c r="K10" i="10"/>
  <c r="E40" i="1"/>
  <c r="H29" i="4" s="1"/>
  <c r="E33" i="1"/>
  <c r="M5" i="10"/>
  <c r="J23" i="15"/>
  <c r="I52" i="12" s="1"/>
  <c r="H44" i="12"/>
  <c r="F27" i="12"/>
  <c r="C44" i="12"/>
  <c r="C27" i="12"/>
  <c r="D27" i="12"/>
  <c r="F44" i="12"/>
  <c r="H27" i="12"/>
  <c r="D44" i="12"/>
  <c r="D78" i="12" s="1"/>
  <c r="U24" i="8"/>
  <c r="I24" i="8"/>
  <c r="M24" i="8"/>
  <c r="N24" i="8" s="1"/>
  <c r="L26" i="2"/>
  <c r="Q24" i="8"/>
  <c r="R24" i="8" s="1"/>
  <c r="M4" i="8"/>
  <c r="N4" i="8" s="1"/>
  <c r="Q4" i="8"/>
  <c r="R4" i="8" s="1"/>
  <c r="I4" i="8"/>
  <c r="U4" i="8"/>
  <c r="L6" i="2"/>
  <c r="C30" i="12"/>
  <c r="H47" i="12"/>
  <c r="F30" i="12"/>
  <c r="F47" i="12"/>
  <c r="D30" i="12"/>
  <c r="H30" i="12"/>
  <c r="D47" i="12"/>
  <c r="C47" i="12"/>
  <c r="J50" i="15"/>
  <c r="L52" i="1" s="1"/>
  <c r="M11" i="10"/>
  <c r="K50" i="15"/>
  <c r="I3" i="8"/>
  <c r="L5" i="2"/>
  <c r="I13" i="16"/>
  <c r="D7" i="16"/>
  <c r="I12" i="16"/>
  <c r="G12" i="13" s="1"/>
  <c r="H12" i="13" s="1"/>
  <c r="J12" i="13" s="1"/>
  <c r="J42" i="15"/>
  <c r="K42" i="15"/>
  <c r="K47" i="15"/>
  <c r="J47" i="15"/>
  <c r="F31" i="10" s="1"/>
  <c r="G5" i="10"/>
  <c r="Q6" i="8"/>
  <c r="R6" i="8" s="1"/>
  <c r="U6" i="8"/>
  <c r="M6" i="8"/>
  <c r="N6" i="8" s="1"/>
  <c r="I8" i="8"/>
  <c r="Q8" i="8"/>
  <c r="R8" i="8" s="1"/>
  <c r="M8" i="8"/>
  <c r="N8" i="8" s="1"/>
  <c r="L10" i="2"/>
  <c r="D51" i="12"/>
  <c r="F34" i="12"/>
  <c r="H51" i="12"/>
  <c r="I51" i="12" s="1"/>
  <c r="D34" i="12"/>
  <c r="F51" i="12"/>
  <c r="C34" i="12"/>
  <c r="C51" i="12"/>
  <c r="C85" i="12" s="1"/>
  <c r="H34" i="12"/>
  <c r="I34" i="12" s="1"/>
  <c r="N39" i="13"/>
  <c r="I46" i="13"/>
  <c r="N53" i="13"/>
  <c r="I60" i="13"/>
  <c r="O24" i="8"/>
  <c r="P24" i="8" s="1"/>
  <c r="I64" i="13"/>
  <c r="I38" i="13"/>
  <c r="I68" i="13"/>
  <c r="N31" i="13"/>
  <c r="I7" i="13"/>
  <c r="S7" i="8"/>
  <c r="F49" i="12"/>
  <c r="H32" i="12"/>
  <c r="F32" i="12"/>
  <c r="C49" i="12"/>
  <c r="C32" i="12"/>
  <c r="D32" i="12"/>
  <c r="H49" i="12"/>
  <c r="D49" i="12"/>
  <c r="D18" i="16"/>
  <c r="I45" i="16"/>
  <c r="G45" i="13" s="1"/>
  <c r="H45" i="13" s="1"/>
  <c r="I43" i="16"/>
  <c r="G43" i="13" s="1"/>
  <c r="M19" i="8"/>
  <c r="N19" i="8" s="1"/>
  <c r="I19" i="8"/>
  <c r="Q19" i="8"/>
  <c r="R19" i="8" s="1"/>
  <c r="L21" i="2"/>
  <c r="I50" i="16" s="1"/>
  <c r="G50" i="13" s="1"/>
  <c r="H50" i="13" s="1"/>
  <c r="F7" i="2"/>
  <c r="D7" i="2" s="1"/>
  <c r="I18" i="2"/>
  <c r="G18" i="2" s="1"/>
  <c r="C8" i="1" s="1"/>
  <c r="F16" i="2"/>
  <c r="D16" i="2" s="1"/>
  <c r="I9" i="2"/>
  <c r="G9" i="2" s="1"/>
  <c r="C9" i="1" s="1"/>
  <c r="F8" i="2"/>
  <c r="D8" i="2" s="1"/>
  <c r="I17" i="2"/>
  <c r="G17" i="2" s="1"/>
  <c r="C19" i="1" s="1"/>
  <c r="I10" i="2"/>
  <c r="G10" i="2" s="1"/>
  <c r="C17" i="1" s="1"/>
  <c r="F9" i="2"/>
  <c r="D9" i="2" s="1"/>
  <c r="F17" i="2"/>
  <c r="D17" i="2" s="1"/>
  <c r="I6" i="2"/>
  <c r="G6" i="2" s="1"/>
  <c r="C10" i="1" s="1"/>
  <c r="I5" i="2"/>
  <c r="U19" i="8"/>
  <c r="I59" i="13"/>
  <c r="N55" i="13"/>
  <c r="D6" i="16"/>
  <c r="I9" i="16"/>
  <c r="G9" i="13" s="1"/>
  <c r="H46" i="12"/>
  <c r="F46" i="12"/>
  <c r="C46" i="12"/>
  <c r="F29" i="12"/>
  <c r="D29" i="12"/>
  <c r="E29" i="12" s="1"/>
  <c r="C29" i="12"/>
  <c r="D46" i="12"/>
  <c r="E46" i="12" s="1"/>
  <c r="H29" i="12"/>
  <c r="I14" i="8"/>
  <c r="M14" i="8"/>
  <c r="N14" i="8" s="1"/>
  <c r="L16" i="2"/>
  <c r="Q14" i="8"/>
  <c r="R14" i="8" s="1"/>
  <c r="U14" i="8"/>
  <c r="U7" i="8"/>
  <c r="I7" i="8"/>
  <c r="M7" i="8"/>
  <c r="N7" i="8" s="1"/>
  <c r="L9" i="2"/>
  <c r="D8" i="16" s="1"/>
  <c r="Q7" i="8"/>
  <c r="R7" i="8" s="1"/>
  <c r="I63" i="13"/>
  <c r="I50" i="13"/>
  <c r="I67" i="13"/>
  <c r="N47" i="13"/>
  <c r="H23" i="10"/>
  <c r="D24" i="12"/>
  <c r="F24" i="12"/>
  <c r="C24" i="12"/>
  <c r="H41" i="12"/>
  <c r="F41" i="12"/>
  <c r="D41" i="12"/>
  <c r="D75" i="12" s="1"/>
  <c r="H24" i="12"/>
  <c r="C41" i="12"/>
  <c r="D10" i="16"/>
  <c r="I21" i="16"/>
  <c r="Q21" i="8"/>
  <c r="R21" i="8" s="1"/>
  <c r="I21" i="8"/>
  <c r="U21" i="8"/>
  <c r="M21" i="8"/>
  <c r="N21" i="8" s="1"/>
  <c r="I32" i="13"/>
  <c r="N29" i="13"/>
  <c r="I6" i="8"/>
  <c r="N25" i="13"/>
  <c r="I37" i="13"/>
  <c r="I34" i="13"/>
  <c r="K17" i="8"/>
  <c r="S12" i="8"/>
  <c r="T12" i="8" s="1"/>
  <c r="K14" i="8"/>
  <c r="M23" i="8"/>
  <c r="N23" i="8" s="1"/>
  <c r="I23" i="8"/>
  <c r="U23" i="8"/>
  <c r="L25" i="2"/>
  <c r="I62" i="16" s="1"/>
  <c r="G62" i="13" s="1"/>
  <c r="H62" i="13" s="1"/>
  <c r="D50" i="12"/>
  <c r="D84" i="12" s="1"/>
  <c r="F33" i="12"/>
  <c r="C50" i="12"/>
  <c r="C84" i="12" s="1"/>
  <c r="H33" i="12"/>
  <c r="D33" i="12"/>
  <c r="H50" i="12"/>
  <c r="F50" i="12"/>
  <c r="C33" i="12"/>
  <c r="C43" i="12"/>
  <c r="D43" i="12"/>
  <c r="H26" i="12"/>
  <c r="H43" i="12"/>
  <c r="F26" i="12"/>
  <c r="D26" i="12"/>
  <c r="C26" i="12"/>
  <c r="F43" i="12"/>
  <c r="F77" i="12" s="1"/>
  <c r="I24" i="13"/>
  <c r="I8" i="13"/>
  <c r="I19" i="13"/>
  <c r="I10" i="13"/>
  <c r="S4" i="8"/>
  <c r="S6" i="8"/>
  <c r="T6" i="8" s="1"/>
  <c r="S5" i="8"/>
  <c r="S8" i="8"/>
  <c r="I40" i="13"/>
  <c r="I17" i="13"/>
  <c r="Q18" i="8"/>
  <c r="R18" i="8" s="1"/>
  <c r="I18" i="8"/>
  <c r="M18" i="8"/>
  <c r="N18" i="8" s="1"/>
  <c r="L20" i="2"/>
  <c r="I48" i="16" s="1"/>
  <c r="U18" i="8"/>
  <c r="Q23" i="8"/>
  <c r="R23" i="8" s="1"/>
  <c r="N6" i="13"/>
  <c r="O23" i="8"/>
  <c r="O20" i="8"/>
  <c r="O14" i="8"/>
  <c r="O22" i="8"/>
  <c r="O8" i="8"/>
  <c r="P8" i="8" s="1"/>
  <c r="O13" i="8"/>
  <c r="O7" i="8"/>
  <c r="P7" i="8" s="1"/>
  <c r="O10" i="8"/>
  <c r="O18" i="8"/>
  <c r="P18" i="8" s="1"/>
  <c r="O12" i="8"/>
  <c r="O5" i="8"/>
  <c r="O6" i="8"/>
  <c r="O19" i="8"/>
  <c r="O17" i="8"/>
  <c r="P17" i="8" s="1"/>
  <c r="O11" i="8"/>
  <c r="O21" i="8"/>
  <c r="O16" i="8"/>
  <c r="O9" i="8"/>
  <c r="L55" i="13"/>
  <c r="M55" i="13" s="1"/>
  <c r="O55" i="13" s="1"/>
  <c r="K4" i="11"/>
  <c r="J25" i="1"/>
  <c r="Q11" i="8"/>
  <c r="R11" i="8" s="1"/>
  <c r="I11" i="8"/>
  <c r="U11" i="8"/>
  <c r="L13" i="2"/>
  <c r="M11" i="8"/>
  <c r="N11" i="8" s="1"/>
  <c r="I5" i="8"/>
  <c r="U5" i="8"/>
  <c r="Q5" i="8"/>
  <c r="R5" i="8" s="1"/>
  <c r="M5" i="8"/>
  <c r="N5" i="8" s="1"/>
  <c r="M10" i="8"/>
  <c r="N10" i="8" s="1"/>
  <c r="Q10" i="8"/>
  <c r="R10" i="8" s="1"/>
  <c r="I17" i="8"/>
  <c r="U17" i="8"/>
  <c r="Q17" i="8"/>
  <c r="R17" i="8" s="1"/>
  <c r="I23" i="13"/>
  <c r="N20" i="13"/>
  <c r="I45" i="13"/>
  <c r="S10" i="8"/>
  <c r="I36" i="13"/>
  <c r="N11" i="13"/>
  <c r="K18" i="8"/>
  <c r="K12" i="8"/>
  <c r="L12" i="8" s="1"/>
  <c r="K16" i="8"/>
  <c r="K21" i="8"/>
  <c r="K20" i="8"/>
  <c r="K11" i="8"/>
  <c r="K7" i="8"/>
  <c r="K9" i="8"/>
  <c r="K10" i="8"/>
  <c r="K19" i="8"/>
  <c r="F25" i="12"/>
  <c r="G25" i="12" s="1"/>
  <c r="H42" i="12"/>
  <c r="H76" i="12" s="1"/>
  <c r="F42" i="12"/>
  <c r="G42" i="12" s="1"/>
  <c r="D25" i="12"/>
  <c r="C25" i="12"/>
  <c r="D42" i="12"/>
  <c r="H25" i="12"/>
  <c r="C42" i="12"/>
  <c r="Q13" i="8"/>
  <c r="R13" i="8" s="1"/>
  <c r="M13" i="8"/>
  <c r="N13" i="8" s="1"/>
  <c r="I13" i="8"/>
  <c r="U13" i="8"/>
  <c r="L15" i="2"/>
  <c r="U12" i="8"/>
  <c r="L14" i="2"/>
  <c r="D13" i="16" s="1"/>
  <c r="M12" i="8"/>
  <c r="N12" i="8" s="1"/>
  <c r="N4" i="13"/>
  <c r="K5" i="8"/>
  <c r="K15" i="8"/>
  <c r="K8" i="8"/>
  <c r="K24" i="8"/>
  <c r="N14" i="13"/>
  <c r="I18" i="13"/>
  <c r="I66" i="13"/>
  <c r="I62" i="13"/>
  <c r="I52" i="13"/>
  <c r="N43" i="13"/>
  <c r="S24" i="8"/>
  <c r="N27" i="13"/>
  <c r="I51" i="13"/>
  <c r="I33" i="13"/>
  <c r="I44" i="13"/>
  <c r="K23" i="8"/>
  <c r="S19" i="8"/>
  <c r="U10" i="8"/>
  <c r="K22" i="8"/>
  <c r="J10" i="8"/>
  <c r="H26" i="10"/>
  <c r="I55" i="16"/>
  <c r="G55" i="13" s="1"/>
  <c r="I41" i="13"/>
  <c r="I5" i="13"/>
  <c r="O4" i="8"/>
  <c r="K3" i="8"/>
  <c r="I41" i="16"/>
  <c r="G41" i="13" s="1"/>
  <c r="H41" i="13" s="1"/>
  <c r="J41" i="13" s="1"/>
  <c r="I39" i="16"/>
  <c r="G39" i="13" s="1"/>
  <c r="D17" i="16"/>
  <c r="C45" i="12"/>
  <c r="F45" i="12"/>
  <c r="D45" i="12"/>
  <c r="F28" i="12"/>
  <c r="H45" i="12"/>
  <c r="D28" i="12"/>
  <c r="E28" i="12" s="1"/>
  <c r="C28" i="12"/>
  <c r="H28" i="12"/>
  <c r="F48" i="12"/>
  <c r="H31" i="12"/>
  <c r="D48" i="12"/>
  <c r="C31" i="12"/>
  <c r="H48" i="12"/>
  <c r="F31" i="12"/>
  <c r="D31" i="12"/>
  <c r="C48" i="12"/>
  <c r="M16" i="8"/>
  <c r="N16" i="8" s="1"/>
  <c r="I16" i="8"/>
  <c r="U16" i="8"/>
  <c r="Q16" i="8"/>
  <c r="R16" i="8" s="1"/>
  <c r="U20" i="8"/>
  <c r="I20" i="8"/>
  <c r="M20" i="8"/>
  <c r="N20" i="8" s="1"/>
  <c r="L22" i="2"/>
  <c r="S16" i="8"/>
  <c r="N16" i="13"/>
  <c r="S22" i="8"/>
  <c r="S21" i="8"/>
  <c r="T21" i="8" s="1"/>
  <c r="S18" i="8"/>
  <c r="T18" i="8" s="1"/>
  <c r="S9" i="8"/>
  <c r="S15" i="8"/>
  <c r="S11" i="8"/>
  <c r="T11" i="8" s="1"/>
  <c r="S23" i="8"/>
  <c r="T23" i="8" s="1"/>
  <c r="S13" i="8"/>
  <c r="T13" i="8" s="1"/>
  <c r="S17" i="8"/>
  <c r="T17" i="8" s="1"/>
  <c r="M22" i="8"/>
  <c r="N22" i="8" s="1"/>
  <c r="I22" i="8"/>
  <c r="L24" i="2"/>
  <c r="I60" i="16" s="1"/>
  <c r="G60" i="13" s="1"/>
  <c r="H60" i="13" s="1"/>
  <c r="U22" i="8"/>
  <c r="K4" i="8"/>
  <c r="H20" i="10"/>
  <c r="I37" i="16"/>
  <c r="G37" i="13" s="1"/>
  <c r="H37" i="13" s="1"/>
  <c r="I38" i="16"/>
  <c r="G38" i="13" s="1"/>
  <c r="H38" i="13" s="1"/>
  <c r="D16" i="16"/>
  <c r="S14" i="8"/>
  <c r="Q22" i="8"/>
  <c r="R22" i="8" s="1"/>
  <c r="H22" i="10"/>
  <c r="U9" i="8"/>
  <c r="Q9" i="8"/>
  <c r="R9" i="8" s="1"/>
  <c r="M9" i="8"/>
  <c r="N9" i="8" s="1"/>
  <c r="I9" i="8"/>
  <c r="D35" i="12"/>
  <c r="H35" i="12"/>
  <c r="C52" i="12"/>
  <c r="C86" i="12" s="1"/>
  <c r="D52" i="12"/>
  <c r="D86" i="12" s="1"/>
  <c r="C35" i="12"/>
  <c r="F52" i="12"/>
  <c r="F35" i="12"/>
  <c r="I13" i="2"/>
  <c r="G13" i="2" s="1"/>
  <c r="C13" i="1" s="1"/>
  <c r="F11" i="2"/>
  <c r="D11" i="2" s="1"/>
  <c r="I14" i="2"/>
  <c r="G14" i="2" s="1"/>
  <c r="C18" i="1" s="1"/>
  <c r="F12" i="2"/>
  <c r="D12" i="2" s="1"/>
  <c r="I15" i="2"/>
  <c r="G15" i="2" s="1"/>
  <c r="C15" i="1" s="1"/>
  <c r="F13" i="2"/>
  <c r="D13" i="2" s="1"/>
  <c r="K53" i="15"/>
  <c r="J53" i="15"/>
  <c r="L46" i="1" s="1"/>
  <c r="I59" i="16"/>
  <c r="G59" i="13" s="1"/>
  <c r="H59" i="13" s="1"/>
  <c r="J59" i="13" s="1"/>
  <c r="H21" i="10"/>
  <c r="I66" i="16"/>
  <c r="G66" i="13" s="1"/>
  <c r="H66" i="13" s="1"/>
  <c r="H27" i="10"/>
  <c r="H32" i="10"/>
  <c r="D10" i="1"/>
  <c r="D39" i="12"/>
  <c r="F22" i="12"/>
  <c r="D22" i="12"/>
  <c r="C22" i="12"/>
  <c r="H39" i="12"/>
  <c r="I39" i="12" s="1"/>
  <c r="F39" i="12"/>
  <c r="C39" i="12"/>
  <c r="D23" i="12"/>
  <c r="H40" i="12"/>
  <c r="F23" i="12"/>
  <c r="F40" i="12"/>
  <c r="C40" i="12"/>
  <c r="C74" i="12" s="1"/>
  <c r="D40" i="12"/>
  <c r="H23" i="12"/>
  <c r="I15" i="13"/>
  <c r="I28" i="13"/>
  <c r="Q15" i="8"/>
  <c r="R15" i="8" s="1"/>
  <c r="I15" i="8"/>
  <c r="H29" i="10"/>
  <c r="C75" i="12"/>
  <c r="K39" i="15"/>
  <c r="J39" i="15"/>
  <c r="F27" i="10" s="1"/>
  <c r="H33" i="10"/>
  <c r="B1" i="10"/>
  <c r="H30" i="10"/>
  <c r="F84" i="12"/>
  <c r="K29" i="15"/>
  <c r="J29" i="15"/>
  <c r="F24" i="10" s="1"/>
  <c r="I3" i="10"/>
  <c r="J31" i="15"/>
  <c r="G9" i="10"/>
  <c r="K6" i="10"/>
  <c r="I56" i="12"/>
  <c r="I11" i="10"/>
  <c r="H24" i="10"/>
  <c r="H28" i="10"/>
  <c r="K13" i="15"/>
  <c r="J13" i="15"/>
  <c r="L35" i="1" s="1"/>
  <c r="J18" i="15"/>
  <c r="L37" i="1" s="1"/>
  <c r="K18" i="15"/>
  <c r="J26" i="15"/>
  <c r="L40" i="1" s="1"/>
  <c r="M6" i="10"/>
  <c r="I44" i="16"/>
  <c r="G44" i="13" s="1"/>
  <c r="H44" i="13" s="1"/>
  <c r="M23" i="16"/>
  <c r="K26" i="1" s="1"/>
  <c r="M4" i="16"/>
  <c r="K7" i="1" s="1"/>
  <c r="M11" i="16"/>
  <c r="K14" i="1" s="1"/>
  <c r="M25" i="16"/>
  <c r="K28" i="1" s="1"/>
  <c r="M16" i="16"/>
  <c r="K19" i="1" s="1"/>
  <c r="M6" i="16"/>
  <c r="K9" i="1" s="1"/>
  <c r="M24" i="16"/>
  <c r="K27" i="1" s="1"/>
  <c r="H25" i="10"/>
  <c r="M17" i="11"/>
  <c r="K26" i="15"/>
  <c r="I11" i="16"/>
  <c r="G11" i="13" s="1"/>
  <c r="D77" i="12"/>
  <c r="I23" i="16"/>
  <c r="G23" i="13" s="1"/>
  <c r="H23" i="13" s="1"/>
  <c r="J23" i="13" s="1"/>
  <c r="K3" i="10"/>
  <c r="K8" i="10"/>
  <c r="E7" i="11"/>
  <c r="H74" i="12"/>
  <c r="F86" i="12"/>
  <c r="J6" i="15"/>
  <c r="K6" i="15"/>
  <c r="K51" i="15"/>
  <c r="J51" i="15"/>
  <c r="G65" i="12" s="1"/>
  <c r="I20" i="16"/>
  <c r="G20" i="13" s="1"/>
  <c r="I35" i="16"/>
  <c r="G35" i="13" s="1"/>
  <c r="I56" i="16"/>
  <c r="K27" i="15"/>
  <c r="J27" i="15"/>
  <c r="F33" i="10" s="1"/>
  <c r="G7" i="10"/>
  <c r="K9" i="10"/>
  <c r="D80" i="12"/>
  <c r="E80" i="12" s="1"/>
  <c r="K5" i="15"/>
  <c r="J5" i="15"/>
  <c r="C38" i="11" s="1"/>
  <c r="F85" i="12"/>
  <c r="L12" i="11"/>
  <c r="I10" i="10"/>
  <c r="I8" i="10"/>
  <c r="I6" i="10"/>
  <c r="I4" i="10"/>
  <c r="E63" i="12"/>
  <c r="H86" i="12"/>
  <c r="K15" i="15"/>
  <c r="J15" i="15"/>
  <c r="L47" i="1" s="1"/>
  <c r="I46" i="16"/>
  <c r="G46" i="13" s="1"/>
  <c r="H46" i="13" s="1"/>
  <c r="I4" i="16"/>
  <c r="G4" i="13" s="1"/>
  <c r="I42" i="16"/>
  <c r="G42" i="13" s="1"/>
  <c r="H42" i="13" s="1"/>
  <c r="J42" i="13" s="1"/>
  <c r="I52" i="16"/>
  <c r="G52" i="13" s="1"/>
  <c r="H52" i="13" s="1"/>
  <c r="K17" i="15"/>
  <c r="J17" i="15"/>
  <c r="E66" i="12" s="1"/>
  <c r="I16" i="16"/>
  <c r="G16" i="13" s="1"/>
  <c r="J30" i="15"/>
  <c r="F21" i="10" s="1"/>
  <c r="K30" i="15"/>
  <c r="K41" i="15"/>
  <c r="J41" i="15"/>
  <c r="L49" i="1" s="1"/>
  <c r="J43" i="15"/>
  <c r="E6" i="11" s="1"/>
  <c r="J54" i="15"/>
  <c r="L36" i="1" s="1"/>
  <c r="K54" i="15"/>
  <c r="J10" i="15"/>
  <c r="F30" i="10" s="1"/>
  <c r="J22" i="15"/>
  <c r="L38" i="1" s="1"/>
  <c r="J34" i="15"/>
  <c r="F22" i="10" s="1"/>
  <c r="J46" i="15"/>
  <c r="F23" i="10" s="1"/>
  <c r="J58" i="15"/>
  <c r="M20" i="16"/>
  <c r="K23" i="1" s="1"/>
  <c r="I40" i="16"/>
  <c r="G40" i="13" s="1"/>
  <c r="H40" i="13" s="1"/>
  <c r="J40" i="13" s="1"/>
  <c r="I36" i="16"/>
  <c r="G36" i="13" s="1"/>
  <c r="H36" i="13" s="1"/>
  <c r="K22" i="15"/>
  <c r="K25" i="15"/>
  <c r="J25" i="15"/>
  <c r="F25" i="10" s="1"/>
  <c r="K34" i="15"/>
  <c r="K37" i="15"/>
  <c r="J37" i="15"/>
  <c r="F20" i="10" s="1"/>
  <c r="K46" i="15"/>
  <c r="K49" i="15"/>
  <c r="J49" i="15"/>
  <c r="L53" i="1" s="1"/>
  <c r="K58" i="15"/>
  <c r="K61" i="15"/>
  <c r="J61" i="15"/>
  <c r="E8" i="11" s="1"/>
  <c r="M9" i="16"/>
  <c r="K12" i="1" s="1"/>
  <c r="I68" i="16"/>
  <c r="G68" i="13" s="1"/>
  <c r="H68" i="13" s="1"/>
  <c r="I68" i="12"/>
  <c r="E33" i="14"/>
  <c r="K9" i="15"/>
  <c r="J9" i="15"/>
  <c r="L44" i="1" s="1"/>
  <c r="K21" i="15"/>
  <c r="J21" i="15"/>
  <c r="K33" i="15"/>
  <c r="J33" i="15"/>
  <c r="K45" i="15"/>
  <c r="J45" i="15"/>
  <c r="K57" i="15"/>
  <c r="J57" i="15"/>
  <c r="M5" i="16"/>
  <c r="K8" i="1" s="1"/>
  <c r="I10" i="16"/>
  <c r="G10" i="13" s="1"/>
  <c r="H10" i="13" s="1"/>
  <c r="I19" i="16"/>
  <c r="G19" i="13" s="1"/>
  <c r="H19" i="13" s="1"/>
  <c r="J19" i="13" s="1"/>
  <c r="I22" i="16"/>
  <c r="G22" i="13" s="1"/>
  <c r="G59" i="12"/>
  <c r="F83" i="12"/>
  <c r="C22" i="4" l="1"/>
  <c r="C56" i="4" s="1"/>
  <c r="H56" i="4" s="1"/>
  <c r="C5" i="4"/>
  <c r="L5" i="22"/>
  <c r="M4" i="22"/>
  <c r="I15" i="16"/>
  <c r="I14" i="16"/>
  <c r="G14" i="13" s="1"/>
  <c r="T10" i="8"/>
  <c r="D37" i="1"/>
  <c r="J66" i="13"/>
  <c r="I63" i="16"/>
  <c r="G63" i="13" s="1"/>
  <c r="H63" i="13" s="1"/>
  <c r="H73" i="12"/>
  <c r="I73" i="12" s="1"/>
  <c r="G23" i="12"/>
  <c r="T4" i="8"/>
  <c r="M18" i="16"/>
  <c r="K21" i="1" s="1"/>
  <c r="J68" i="13"/>
  <c r="G24" i="12"/>
  <c r="T24" i="8"/>
  <c r="J24" i="13"/>
  <c r="K22" i="13" s="1"/>
  <c r="P13" i="8"/>
  <c r="I64" i="16"/>
  <c r="G64" i="13" s="1"/>
  <c r="H64" i="13" s="1"/>
  <c r="J64" i="13" s="1"/>
  <c r="M7" i="16"/>
  <c r="K10" i="1" s="1"/>
  <c r="C9" i="4"/>
  <c r="H9" i="4" s="1"/>
  <c r="J37" i="13"/>
  <c r="D11" i="16"/>
  <c r="P16" i="8"/>
  <c r="K39" i="13"/>
  <c r="P22" i="8"/>
  <c r="T7" i="8"/>
  <c r="T19" i="8"/>
  <c r="L10" i="8"/>
  <c r="P6" i="8"/>
  <c r="T14" i="8"/>
  <c r="P5" i="8"/>
  <c r="D20" i="2"/>
  <c r="M10" i="16"/>
  <c r="K13" i="1" s="1"/>
  <c r="F76" i="12"/>
  <c r="G76" i="12" s="1"/>
  <c r="J62" i="13"/>
  <c r="E107" i="4"/>
  <c r="I69" i="12"/>
  <c r="C27" i="4"/>
  <c r="C61" i="4" s="1"/>
  <c r="H61" i="4" s="1"/>
  <c r="I76" i="12"/>
  <c r="H26" i="4"/>
  <c r="C13" i="11"/>
  <c r="E13" i="11" s="1"/>
  <c r="C17" i="11"/>
  <c r="E17" i="11" s="1"/>
  <c r="G262" i="6"/>
  <c r="I31" i="12"/>
  <c r="G168" i="6"/>
  <c r="G208" i="6"/>
  <c r="H22" i="4"/>
  <c r="C31" i="11"/>
  <c r="C34" i="4"/>
  <c r="C68" i="4" s="1"/>
  <c r="H68" i="4" s="1"/>
  <c r="E34" i="12"/>
  <c r="G258" i="6"/>
  <c r="E50" i="12"/>
  <c r="C12" i="4"/>
  <c r="H12" i="4" s="1"/>
  <c r="H5" i="4"/>
  <c r="H34" i="4"/>
  <c r="C21" i="11"/>
  <c r="E21" i="11" s="1"/>
  <c r="C29" i="4"/>
  <c r="C63" i="4" s="1"/>
  <c r="H63" i="4" s="1"/>
  <c r="G52" i="6"/>
  <c r="G237" i="6"/>
  <c r="G22" i="12"/>
  <c r="G56" i="12"/>
  <c r="G218" i="6"/>
  <c r="G278" i="6"/>
  <c r="G184" i="6"/>
  <c r="L34" i="1"/>
  <c r="M34" i="1" s="1"/>
  <c r="I64" i="12"/>
  <c r="C30" i="11"/>
  <c r="G263" i="6"/>
  <c r="G97" i="6"/>
  <c r="L73" i="4"/>
  <c r="F73" i="4" s="1"/>
  <c r="H33" i="4"/>
  <c r="G176" i="6"/>
  <c r="C34" i="11"/>
  <c r="G254" i="6"/>
  <c r="E84" i="12"/>
  <c r="G197" i="6"/>
  <c r="G200" i="6"/>
  <c r="I30" i="12"/>
  <c r="E68" i="12"/>
  <c r="G63" i="12"/>
  <c r="G195" i="6"/>
  <c r="E25" i="12"/>
  <c r="E33" i="12"/>
  <c r="L51" i="1"/>
  <c r="C4" i="11" s="1"/>
  <c r="D4" i="11" s="1"/>
  <c r="I23" i="12"/>
  <c r="C18" i="11"/>
  <c r="E18" i="11" s="1"/>
  <c r="C35" i="11"/>
  <c r="G145" i="6"/>
  <c r="G84" i="6"/>
  <c r="G260" i="6"/>
  <c r="E40" i="12"/>
  <c r="G191" i="6"/>
  <c r="G88" i="6"/>
  <c r="I42" i="12"/>
  <c r="E112" i="4"/>
  <c r="G43" i="12"/>
  <c r="G27" i="12"/>
  <c r="G172" i="6"/>
  <c r="G117" i="6"/>
  <c r="G154" i="6"/>
  <c r="G287" i="6"/>
  <c r="G26" i="12"/>
  <c r="G61" i="12"/>
  <c r="G257" i="6"/>
  <c r="G282" i="6"/>
  <c r="I40" i="12"/>
  <c r="G55" i="6"/>
  <c r="C33" i="4"/>
  <c r="C67" i="4" s="1"/>
  <c r="H67" i="4" s="1"/>
  <c r="G248" i="6"/>
  <c r="I43" i="12"/>
  <c r="C24" i="4"/>
  <c r="C58" i="4" s="1"/>
  <c r="H58" i="4" s="1"/>
  <c r="E104" i="4"/>
  <c r="L41" i="1"/>
  <c r="M41" i="1" s="1"/>
  <c r="C33" i="11"/>
  <c r="G114" i="6"/>
  <c r="E59" i="12"/>
  <c r="G8" i="12" s="1"/>
  <c r="H8" i="12" s="1"/>
  <c r="G198" i="6"/>
  <c r="G220" i="6"/>
  <c r="E111" i="4"/>
  <c r="G57" i="12"/>
  <c r="G6" i="12" s="1"/>
  <c r="H6" i="12" s="1"/>
  <c r="I58" i="12"/>
  <c r="I60" i="12"/>
  <c r="E77" i="12"/>
  <c r="G298" i="6"/>
  <c r="G17" i="6"/>
  <c r="E23" i="12"/>
  <c r="G264" i="6"/>
  <c r="G273" i="6"/>
  <c r="I26" i="12"/>
  <c r="I24" i="12"/>
  <c r="H25" i="4"/>
  <c r="E95" i="4"/>
  <c r="G30" i="12"/>
  <c r="C12" i="11"/>
  <c r="E12" i="11" s="1"/>
  <c r="H12" i="11" s="1"/>
  <c r="G77" i="12"/>
  <c r="G189" i="6"/>
  <c r="E30" i="12"/>
  <c r="C14" i="11"/>
  <c r="E14" i="11" s="1"/>
  <c r="D6" i="10"/>
  <c r="G58" i="12"/>
  <c r="L14" i="11"/>
  <c r="G48" i="6"/>
  <c r="G15" i="6"/>
  <c r="G178" i="6"/>
  <c r="C25" i="4"/>
  <c r="C59" i="4" s="1"/>
  <c r="H59" i="4" s="1"/>
  <c r="E32" i="12"/>
  <c r="E100" i="4"/>
  <c r="E47" i="12"/>
  <c r="G105" i="6"/>
  <c r="C22" i="11"/>
  <c r="E22" i="11" s="1"/>
  <c r="I74" i="12"/>
  <c r="G124" i="6"/>
  <c r="G146" i="6"/>
  <c r="F26" i="10"/>
  <c r="E16" i="10" s="1"/>
  <c r="I25" i="12"/>
  <c r="C19" i="11"/>
  <c r="E19" i="11" s="1"/>
  <c r="H19" i="11" s="1"/>
  <c r="G274" i="6"/>
  <c r="G222" i="6"/>
  <c r="E64" i="12"/>
  <c r="G283" i="6"/>
  <c r="G149" i="6"/>
  <c r="G49" i="6"/>
  <c r="E31" i="12"/>
  <c r="E42" i="12"/>
  <c r="G44" i="12"/>
  <c r="C8" i="10"/>
  <c r="L86" i="4"/>
  <c r="F86" i="4" s="1"/>
  <c r="H69" i="4"/>
  <c r="G69" i="12"/>
  <c r="E24" i="12"/>
  <c r="E26" i="12"/>
  <c r="G62" i="12"/>
  <c r="D15" i="11"/>
  <c r="G15" i="11" s="1"/>
  <c r="M33" i="1"/>
  <c r="C10" i="10"/>
  <c r="E86" i="12"/>
  <c r="E75" i="12"/>
  <c r="D46" i="1"/>
  <c r="E67" i="12"/>
  <c r="D42" i="1"/>
  <c r="E58" i="12"/>
  <c r="E41" i="12"/>
  <c r="H27" i="4"/>
  <c r="G34" i="12"/>
  <c r="D11" i="10"/>
  <c r="I67" i="12"/>
  <c r="G294" i="6"/>
  <c r="G143" i="6"/>
  <c r="G137" i="6"/>
  <c r="G7" i="6"/>
  <c r="G253" i="6"/>
  <c r="G45" i="6"/>
  <c r="G12" i="6"/>
  <c r="C7" i="4"/>
  <c r="H7" i="4" s="1"/>
  <c r="G280" i="6"/>
  <c r="G83" i="6"/>
  <c r="G134" i="6"/>
  <c r="G183" i="6"/>
  <c r="G148" i="6"/>
  <c r="G58" i="6"/>
  <c r="G51" i="6"/>
  <c r="G62" i="6"/>
  <c r="G125" i="6"/>
  <c r="G186" i="6"/>
  <c r="G107" i="6"/>
  <c r="G85" i="6"/>
  <c r="G63" i="6"/>
  <c r="G126" i="6"/>
  <c r="G150" i="6"/>
  <c r="G82" i="6"/>
  <c r="G60" i="6"/>
  <c r="G212" i="6"/>
  <c r="G210" i="6"/>
  <c r="G202" i="6"/>
  <c r="G101" i="6"/>
  <c r="G123" i="6"/>
  <c r="G211" i="6"/>
  <c r="G188" i="6"/>
  <c r="G166" i="6"/>
  <c r="G87" i="6"/>
  <c r="G136" i="6"/>
  <c r="G111" i="6"/>
  <c r="G163" i="6"/>
  <c r="G140" i="6"/>
  <c r="G22" i="6"/>
  <c r="G35" i="6"/>
  <c r="G131" i="6"/>
  <c r="G204" i="6"/>
  <c r="G19" i="6"/>
  <c r="G127" i="6"/>
  <c r="G261" i="6"/>
  <c r="G182" i="6"/>
  <c r="G31" i="6"/>
  <c r="G112" i="6"/>
  <c r="G213" i="6"/>
  <c r="G160" i="6"/>
  <c r="G214" i="6"/>
  <c r="G155" i="6"/>
  <c r="G199" i="6"/>
  <c r="G293" i="6"/>
  <c r="G165" i="6"/>
  <c r="G270" i="6"/>
  <c r="G203" i="6"/>
  <c r="G103" i="6"/>
  <c r="G243" i="6"/>
  <c r="G170" i="6"/>
  <c r="G74" i="6"/>
  <c r="G240" i="6"/>
  <c r="G139" i="6"/>
  <c r="G90" i="6"/>
  <c r="G181" i="6"/>
  <c r="G38" i="6"/>
  <c r="G174" i="6"/>
  <c r="G40" i="6"/>
  <c r="G246" i="6"/>
  <c r="G27" i="6"/>
  <c r="G295" i="6"/>
  <c r="G279" i="6"/>
  <c r="G132" i="6"/>
  <c r="G225" i="6"/>
  <c r="G167" i="6"/>
  <c r="G110" i="6"/>
  <c r="G54" i="6"/>
  <c r="G272" i="6"/>
  <c r="G39" i="6"/>
  <c r="G138" i="6"/>
  <c r="G113" i="6"/>
  <c r="G76" i="6"/>
  <c r="G128" i="6"/>
  <c r="G20" i="6"/>
  <c r="G57" i="6"/>
  <c r="G142" i="6"/>
  <c r="G209" i="6"/>
  <c r="G21" i="6"/>
  <c r="G141" i="6"/>
  <c r="G247" i="6"/>
  <c r="G169" i="6"/>
  <c r="G289" i="6"/>
  <c r="G99" i="6"/>
  <c r="G205" i="6"/>
  <c r="G147" i="6"/>
  <c r="G206" i="6"/>
  <c r="G190" i="6"/>
  <c r="G228" i="6"/>
  <c r="G158" i="6"/>
  <c r="G133" i="6"/>
  <c r="G98" i="6"/>
  <c r="G115" i="6"/>
  <c r="G156" i="6"/>
  <c r="G229" i="6"/>
  <c r="G23" i="6"/>
  <c r="G153" i="6"/>
  <c r="G157" i="6"/>
  <c r="G86" i="6"/>
  <c r="G193" i="6"/>
  <c r="G135" i="6"/>
  <c r="G194" i="6"/>
  <c r="G201" i="6"/>
  <c r="G233" i="6"/>
  <c r="G286" i="6"/>
  <c r="G179" i="6"/>
  <c r="G33" i="6"/>
  <c r="G25" i="6"/>
  <c r="G144" i="6"/>
  <c r="G180" i="6"/>
  <c r="G30" i="6"/>
  <c r="G32" i="6"/>
  <c r="G14" i="6"/>
  <c r="G18" i="6"/>
  <c r="G230" i="6"/>
  <c r="G100" i="6"/>
  <c r="G16" i="6"/>
  <c r="G171" i="6"/>
  <c r="G216" i="6"/>
  <c r="G249" i="6"/>
  <c r="G122" i="6"/>
  <c r="G242" i="6"/>
  <c r="G284" i="6"/>
  <c r="G61" i="6"/>
  <c r="G252" i="6"/>
  <c r="G34" i="6"/>
  <c r="G231" i="6"/>
  <c r="G53" i="6"/>
  <c r="G8" i="6"/>
  <c r="G66" i="6"/>
  <c r="G196" i="6"/>
  <c r="G70" i="6"/>
  <c r="G266" i="6"/>
  <c r="G9" i="6"/>
  <c r="G65" i="6"/>
  <c r="G255" i="6"/>
  <c r="G238" i="6"/>
  <c r="G94" i="6"/>
  <c r="G175" i="6"/>
  <c r="G277" i="6"/>
  <c r="G245" i="6"/>
  <c r="G72" i="6"/>
  <c r="G93" i="6"/>
  <c r="G292" i="6"/>
  <c r="G95" i="6"/>
  <c r="G297" i="6"/>
  <c r="G42" i="6"/>
  <c r="G291" i="6"/>
  <c r="G36" i="6"/>
  <c r="G6" i="6"/>
  <c r="G80" i="6"/>
  <c r="G226" i="6"/>
  <c r="G96" i="6"/>
  <c r="G11" i="6"/>
  <c r="G77" i="6"/>
  <c r="G241" i="6"/>
  <c r="G217" i="6"/>
  <c r="G81" i="6"/>
  <c r="G162" i="6"/>
  <c r="G267" i="6"/>
  <c r="G221" i="6"/>
  <c r="G59" i="6"/>
  <c r="G104" i="6"/>
  <c r="G120" i="6"/>
  <c r="G73" i="6"/>
  <c r="G164" i="6"/>
  <c r="G41" i="6"/>
  <c r="G271" i="6"/>
  <c r="G29" i="6"/>
  <c r="G109" i="6"/>
  <c r="G92" i="6"/>
  <c r="G250" i="6"/>
  <c r="G121" i="6"/>
  <c r="G13" i="6"/>
  <c r="G91" i="6"/>
  <c r="G224" i="6"/>
  <c r="G215" i="6"/>
  <c r="G68" i="6"/>
  <c r="G177" i="6"/>
  <c r="G276" i="6"/>
  <c r="G185" i="6"/>
  <c r="G187" i="6"/>
  <c r="G268" i="6"/>
  <c r="G47" i="6"/>
  <c r="G10" i="6"/>
  <c r="H65" i="4"/>
  <c r="L82" i="4"/>
  <c r="K82" i="4" s="1"/>
  <c r="C26" i="2"/>
  <c r="E97" i="4"/>
  <c r="E114" i="4"/>
  <c r="E102" i="4"/>
  <c r="E109" i="4"/>
  <c r="E110" i="4"/>
  <c r="E113" i="4"/>
  <c r="E106" i="4"/>
  <c r="E101" i="4"/>
  <c r="E105" i="4"/>
  <c r="E108" i="4"/>
  <c r="E98" i="4"/>
  <c r="E99" i="4"/>
  <c r="C36" i="11"/>
  <c r="I62" i="12"/>
  <c r="C20" i="11"/>
  <c r="E20" i="11" s="1"/>
  <c r="E56" i="12"/>
  <c r="G130" i="6"/>
  <c r="G43" i="6"/>
  <c r="G24" i="6"/>
  <c r="G75" i="6"/>
  <c r="G46" i="6"/>
  <c r="G118" i="6"/>
  <c r="G285" i="6"/>
  <c r="G56" i="6"/>
  <c r="G102" i="6"/>
  <c r="G26" i="6"/>
  <c r="E103" i="4"/>
  <c r="N43" i="1"/>
  <c r="G13" i="8" s="1"/>
  <c r="M43" i="1"/>
  <c r="C6" i="10"/>
  <c r="C30" i="4"/>
  <c r="C64" i="4" s="1"/>
  <c r="H30" i="4"/>
  <c r="D3" i="10"/>
  <c r="G69" i="6"/>
  <c r="G116" i="6"/>
  <c r="G151" i="6"/>
  <c r="G79" i="6"/>
  <c r="G223" i="6"/>
  <c r="G106" i="6"/>
  <c r="G44" i="6"/>
  <c r="G288" i="6"/>
  <c r="G64" i="6"/>
  <c r="G161" i="6"/>
  <c r="E96" i="4"/>
  <c r="G256" i="6"/>
  <c r="C32" i="4"/>
  <c r="C66" i="4" s="1"/>
  <c r="C15" i="4"/>
  <c r="H15" i="4" s="1"/>
  <c r="L39" i="1"/>
  <c r="M39" i="1" s="1"/>
  <c r="M15" i="11"/>
  <c r="H32" i="4"/>
  <c r="M48" i="1"/>
  <c r="N48" i="1"/>
  <c r="G18" i="8" s="1"/>
  <c r="G265" i="6"/>
  <c r="G67" i="6"/>
  <c r="G235" i="6"/>
  <c r="G119" i="6"/>
  <c r="G37" i="6"/>
  <c r="G275" i="6"/>
  <c r="G78" i="6"/>
  <c r="G159" i="6"/>
  <c r="C13" i="4"/>
  <c r="H13" i="4" s="1"/>
  <c r="I86" i="12"/>
  <c r="H23" i="4"/>
  <c r="C6" i="4"/>
  <c r="H6" i="4" s="1"/>
  <c r="E60" i="12"/>
  <c r="E52" i="12"/>
  <c r="C14" i="4"/>
  <c r="H14" i="4" s="1"/>
  <c r="H31" i="4"/>
  <c r="C4" i="10"/>
  <c r="I35" i="12"/>
  <c r="I33" i="12"/>
  <c r="G29" i="12"/>
  <c r="C18" i="4"/>
  <c r="H18" i="4" s="1"/>
  <c r="H35" i="4"/>
  <c r="N33" i="1"/>
  <c r="G3" i="8" s="1"/>
  <c r="F3" i="8" s="1"/>
  <c r="I28" i="12"/>
  <c r="D8" i="10"/>
  <c r="D38" i="1"/>
  <c r="C28" i="4"/>
  <c r="C62" i="4" s="1"/>
  <c r="C11" i="4"/>
  <c r="H11" i="4" s="1"/>
  <c r="G48" i="13"/>
  <c r="H48" i="13" s="1"/>
  <c r="J48" i="13" s="1"/>
  <c r="K47" i="13" s="1"/>
  <c r="D17" i="1"/>
  <c r="C43" i="1" s="1"/>
  <c r="C72" i="1" s="1"/>
  <c r="K15" i="4"/>
  <c r="K11" i="4"/>
  <c r="K7" i="4"/>
  <c r="K6" i="4"/>
  <c r="K14" i="4"/>
  <c r="K9" i="4"/>
  <c r="K2" i="4"/>
  <c r="K12" i="4"/>
  <c r="K17" i="4"/>
  <c r="K10" i="4"/>
  <c r="K5" i="4"/>
  <c r="K8" i="4"/>
  <c r="K18" i="4"/>
  <c r="K13" i="4"/>
  <c r="K16" i="4"/>
  <c r="G31" i="10"/>
  <c r="I31" i="10"/>
  <c r="I20" i="10"/>
  <c r="G20" i="10"/>
  <c r="I21" i="10"/>
  <c r="G21" i="10"/>
  <c r="I23" i="10"/>
  <c r="G23" i="10"/>
  <c r="I24" i="10"/>
  <c r="G24" i="10"/>
  <c r="G22" i="10"/>
  <c r="I22" i="10"/>
  <c r="L39" i="13"/>
  <c r="M39" i="13" s="1"/>
  <c r="O39" i="13" s="1"/>
  <c r="J20" i="1"/>
  <c r="I41" i="12"/>
  <c r="H75" i="12"/>
  <c r="I75" i="12" s="1"/>
  <c r="I33" i="16"/>
  <c r="D15" i="16"/>
  <c r="I34" i="16"/>
  <c r="I49" i="12"/>
  <c r="H83" i="12"/>
  <c r="I83" i="12" s="1"/>
  <c r="C8" i="11"/>
  <c r="D8" i="11" s="1"/>
  <c r="C3" i="11"/>
  <c r="M36" i="1"/>
  <c r="N36" i="1"/>
  <c r="G30" i="10"/>
  <c r="I30" i="10"/>
  <c r="D4" i="10"/>
  <c r="J17" i="8"/>
  <c r="L17" i="8" s="1"/>
  <c r="L20" i="13"/>
  <c r="M20" i="13" s="1"/>
  <c r="O20" i="13" s="1"/>
  <c r="J13" i="1"/>
  <c r="M22" i="16"/>
  <c r="K25" i="1" s="1"/>
  <c r="J51" i="1" s="1"/>
  <c r="J80" i="1" s="1"/>
  <c r="G39" i="12"/>
  <c r="F73" i="12"/>
  <c r="G73" i="12" s="1"/>
  <c r="M16" i="11"/>
  <c r="C36" i="1"/>
  <c r="C65" i="1" s="1"/>
  <c r="D36" i="1"/>
  <c r="D5" i="16"/>
  <c r="I6" i="16"/>
  <c r="G6" i="13" s="1"/>
  <c r="L15" i="11"/>
  <c r="I27" i="10"/>
  <c r="G27" i="10"/>
  <c r="C11" i="10"/>
  <c r="L16" i="11"/>
  <c r="G31" i="12"/>
  <c r="J45" i="13"/>
  <c r="G66" i="12"/>
  <c r="J63" i="13"/>
  <c r="G85" i="12"/>
  <c r="G56" i="13"/>
  <c r="H56" i="13" s="1"/>
  <c r="J56" i="13" s="1"/>
  <c r="K55" i="13" s="1"/>
  <c r="D19" i="1"/>
  <c r="E4" i="11"/>
  <c r="M19" i="16"/>
  <c r="K22" i="1" s="1"/>
  <c r="D9" i="10"/>
  <c r="C9" i="10"/>
  <c r="E35" i="12"/>
  <c r="T16" i="8"/>
  <c r="I48" i="12"/>
  <c r="H82" i="12"/>
  <c r="I82" i="12" s="1"/>
  <c r="C79" i="12"/>
  <c r="T5" i="8"/>
  <c r="G50" i="12"/>
  <c r="H80" i="12"/>
  <c r="I80" i="12" s="1"/>
  <c r="I46" i="12"/>
  <c r="L43" i="13"/>
  <c r="M43" i="13" s="1"/>
  <c r="O43" i="13" s="1"/>
  <c r="J7" i="11"/>
  <c r="J4" i="11"/>
  <c r="J6" i="11"/>
  <c r="J5" i="11"/>
  <c r="J21" i="1"/>
  <c r="D9" i="16"/>
  <c r="I17" i="16"/>
  <c r="I18" i="16"/>
  <c r="J4" i="8"/>
  <c r="E44" i="12"/>
  <c r="C77" i="12"/>
  <c r="J46" i="13"/>
  <c r="C82" i="12"/>
  <c r="G28" i="12"/>
  <c r="I25" i="16"/>
  <c r="G25" i="13" s="1"/>
  <c r="D12" i="16"/>
  <c r="I26" i="16"/>
  <c r="I20" i="2"/>
  <c r="G5" i="2"/>
  <c r="C7" i="1" s="1"/>
  <c r="C5" i="10"/>
  <c r="D5" i="10"/>
  <c r="J3" i="8"/>
  <c r="L3" i="8" s="1"/>
  <c r="H3" i="8" s="1"/>
  <c r="E61" i="12"/>
  <c r="I31" i="16"/>
  <c r="G31" i="13" s="1"/>
  <c r="M37" i="1"/>
  <c r="N37" i="1"/>
  <c r="P37" i="1" s="1"/>
  <c r="I65" i="12"/>
  <c r="J15" i="8"/>
  <c r="L15" i="8" s="1"/>
  <c r="T22" i="8"/>
  <c r="E45" i="12"/>
  <c r="D79" i="12"/>
  <c r="E79" i="12" s="1"/>
  <c r="K51" i="1"/>
  <c r="J23" i="8"/>
  <c r="L23" i="8" s="1"/>
  <c r="C80" i="12"/>
  <c r="C73" i="12"/>
  <c r="D40" i="1"/>
  <c r="N53" i="1"/>
  <c r="M53" i="1"/>
  <c r="D28" i="11"/>
  <c r="N35" i="1"/>
  <c r="P35" i="1" s="1"/>
  <c r="M35" i="1"/>
  <c r="G45" i="12"/>
  <c r="J11" i="8"/>
  <c r="L11" i="8" s="1"/>
  <c r="P12" i="8"/>
  <c r="T8" i="8"/>
  <c r="F80" i="12"/>
  <c r="G80" i="12" s="1"/>
  <c r="G46" i="12"/>
  <c r="D85" i="12"/>
  <c r="E85" i="12" s="1"/>
  <c r="E51" i="12"/>
  <c r="E78" i="12"/>
  <c r="I27" i="16"/>
  <c r="G27" i="13" s="1"/>
  <c r="G68" i="12"/>
  <c r="F79" i="12"/>
  <c r="G79" i="12" s="1"/>
  <c r="D10" i="10"/>
  <c r="L42" i="1"/>
  <c r="I61" i="12"/>
  <c r="E69" i="12"/>
  <c r="E22" i="12"/>
  <c r="D41" i="1"/>
  <c r="L77" i="4"/>
  <c r="H60" i="4"/>
  <c r="J9" i="8"/>
  <c r="L9" i="8" s="1"/>
  <c r="L74" i="4"/>
  <c r="H57" i="4"/>
  <c r="I53" i="16"/>
  <c r="G53" i="13" s="1"/>
  <c r="D21" i="16"/>
  <c r="I54" i="16"/>
  <c r="P10" i="8"/>
  <c r="E43" i="12"/>
  <c r="I50" i="12"/>
  <c r="H84" i="12"/>
  <c r="I84" i="12" s="1"/>
  <c r="G41" i="12"/>
  <c r="F75" i="12"/>
  <c r="G75" i="12" s="1"/>
  <c r="L14" i="13"/>
  <c r="M14" i="13" s="1"/>
  <c r="O14" i="13" s="1"/>
  <c r="J11" i="1"/>
  <c r="D43" i="1"/>
  <c r="D83" i="12"/>
  <c r="E83" i="12" s="1"/>
  <c r="E49" i="12"/>
  <c r="I27" i="12"/>
  <c r="D82" i="12"/>
  <c r="E82" i="12" s="1"/>
  <c r="E48" i="12"/>
  <c r="I29" i="16"/>
  <c r="G29" i="13" s="1"/>
  <c r="D14" i="16"/>
  <c r="L9" i="13"/>
  <c r="M9" i="13" s="1"/>
  <c r="O9" i="13" s="1"/>
  <c r="J9" i="1"/>
  <c r="M9" i="1" s="1"/>
  <c r="J8" i="8"/>
  <c r="L8" i="8" s="1"/>
  <c r="D76" i="12"/>
  <c r="E76" i="12" s="1"/>
  <c r="L4" i="8"/>
  <c r="H4" i="8" s="1"/>
  <c r="D35" i="1"/>
  <c r="J60" i="13"/>
  <c r="G25" i="10"/>
  <c r="I25" i="10"/>
  <c r="D74" i="12"/>
  <c r="E74" i="12" s="1"/>
  <c r="G84" i="12"/>
  <c r="C3" i="10"/>
  <c r="D39" i="1"/>
  <c r="P21" i="8"/>
  <c r="I29" i="12"/>
  <c r="C78" i="12"/>
  <c r="G83" i="12"/>
  <c r="I32" i="16"/>
  <c r="I8" i="16"/>
  <c r="J52" i="13"/>
  <c r="E65" i="12"/>
  <c r="H77" i="12"/>
  <c r="I77" i="12" s="1"/>
  <c r="D35" i="11"/>
  <c r="N9" i="1"/>
  <c r="J44" i="13"/>
  <c r="G67" i="12"/>
  <c r="G35" i="12"/>
  <c r="D23" i="16"/>
  <c r="I57" i="16"/>
  <c r="G57" i="13" s="1"/>
  <c r="I58" i="16"/>
  <c r="T15" i="8"/>
  <c r="P4" i="8"/>
  <c r="P11" i="8"/>
  <c r="P14" i="8"/>
  <c r="J21" i="8"/>
  <c r="L21" i="8" s="1"/>
  <c r="D34" i="1"/>
  <c r="I49" i="16"/>
  <c r="G49" i="13" s="1"/>
  <c r="D20" i="16"/>
  <c r="I51" i="16"/>
  <c r="G51" i="13" s="1"/>
  <c r="H51" i="13" s="1"/>
  <c r="J51" i="13" s="1"/>
  <c r="G32" i="12"/>
  <c r="L11" i="13"/>
  <c r="M11" i="13" s="1"/>
  <c r="O11" i="13" s="1"/>
  <c r="I3" i="11"/>
  <c r="I8" i="11"/>
  <c r="J10" i="1"/>
  <c r="L10" i="1" s="1"/>
  <c r="G47" i="12"/>
  <c r="F81" i="12"/>
  <c r="G81" i="12" s="1"/>
  <c r="D25" i="16"/>
  <c r="I67" i="16"/>
  <c r="I65" i="16"/>
  <c r="G65" i="13" s="1"/>
  <c r="M21" i="16"/>
  <c r="K24" i="1" s="1"/>
  <c r="C7" i="10"/>
  <c r="D7" i="10"/>
  <c r="I29" i="10"/>
  <c r="G29" i="10"/>
  <c r="I33" i="10"/>
  <c r="G33" i="10"/>
  <c r="I63" i="12"/>
  <c r="L50" i="1"/>
  <c r="M54" i="1" s="1"/>
  <c r="N21" i="1"/>
  <c r="M21" i="1"/>
  <c r="J20" i="8"/>
  <c r="L27" i="13"/>
  <c r="M27" i="13" s="1"/>
  <c r="O27" i="13" s="1"/>
  <c r="J16" i="1"/>
  <c r="L22" i="13"/>
  <c r="M22" i="13" s="1"/>
  <c r="O22" i="13" s="1"/>
  <c r="J14" i="1"/>
  <c r="N14" i="1" s="1"/>
  <c r="J10" i="13"/>
  <c r="K9" i="13" s="1"/>
  <c r="F78" i="12"/>
  <c r="G78" i="12" s="1"/>
  <c r="G48" i="12"/>
  <c r="F82" i="12"/>
  <c r="G82" i="12" s="1"/>
  <c r="J50" i="13"/>
  <c r="F74" i="12"/>
  <c r="G74" i="12" s="1"/>
  <c r="G40" i="12"/>
  <c r="M46" i="1"/>
  <c r="N46" i="1"/>
  <c r="G33" i="12"/>
  <c r="G15" i="13"/>
  <c r="H15" i="13" s="1"/>
  <c r="J15" i="13" s="1"/>
  <c r="K14" i="13" s="1"/>
  <c r="I28" i="16"/>
  <c r="G28" i="13" s="1"/>
  <c r="H28" i="13" s="1"/>
  <c r="J28" i="13" s="1"/>
  <c r="K27" i="13" s="1"/>
  <c r="D81" i="12"/>
  <c r="E81" i="12" s="1"/>
  <c r="I30" i="16"/>
  <c r="H85" i="12"/>
  <c r="I85" i="12" s="1"/>
  <c r="G52" i="12"/>
  <c r="I7" i="11"/>
  <c r="I6" i="11"/>
  <c r="I4" i="11"/>
  <c r="I5" i="11"/>
  <c r="L35" i="13"/>
  <c r="M35" i="13" s="1"/>
  <c r="O35" i="13" s="1"/>
  <c r="J19" i="1"/>
  <c r="N19" i="1" s="1"/>
  <c r="J22" i="8"/>
  <c r="L22" i="8" s="1"/>
  <c r="T9" i="8"/>
  <c r="J16" i="8"/>
  <c r="L16" i="8" s="1"/>
  <c r="C6" i="11"/>
  <c r="D6" i="11" s="1"/>
  <c r="P20" i="8"/>
  <c r="J18" i="8"/>
  <c r="L18" i="8" s="1"/>
  <c r="I32" i="12"/>
  <c r="G51" i="12"/>
  <c r="G13" i="13"/>
  <c r="H13" i="13" s="1"/>
  <c r="J13" i="13" s="1"/>
  <c r="K11" i="13" s="1"/>
  <c r="D11" i="1"/>
  <c r="H78" i="12"/>
  <c r="I78" i="12" s="1"/>
  <c r="I44" i="12"/>
  <c r="D45" i="1"/>
  <c r="C45" i="1"/>
  <c r="C74" i="1" s="1"/>
  <c r="M38" i="1"/>
  <c r="N38" i="1"/>
  <c r="E39" i="12"/>
  <c r="D73" i="12"/>
  <c r="E73" i="12" s="1"/>
  <c r="D44" i="1"/>
  <c r="J5" i="8"/>
  <c r="L5" i="8" s="1"/>
  <c r="P9" i="8"/>
  <c r="J7" i="8"/>
  <c r="L7" i="8" s="1"/>
  <c r="E27" i="12"/>
  <c r="F10" i="1"/>
  <c r="E10" i="1"/>
  <c r="G10" i="1"/>
  <c r="J13" i="8"/>
  <c r="L13" i="8" s="1"/>
  <c r="C81" i="12"/>
  <c r="J14" i="8"/>
  <c r="L14" i="8" s="1"/>
  <c r="I7" i="16"/>
  <c r="I28" i="10"/>
  <c r="G28" i="10"/>
  <c r="I32" i="10"/>
  <c r="G32" i="10"/>
  <c r="D19" i="16"/>
  <c r="I47" i="16"/>
  <c r="G47" i="13" s="1"/>
  <c r="I66" i="12"/>
  <c r="M17" i="16"/>
  <c r="K20" i="1" s="1"/>
  <c r="J36" i="13"/>
  <c r="G86" i="12"/>
  <c r="I41" i="10"/>
  <c r="J41" i="10" s="1"/>
  <c r="B40" i="10"/>
  <c r="B41" i="10"/>
  <c r="B39" i="10"/>
  <c r="I40" i="10"/>
  <c r="J40" i="10" s="1"/>
  <c r="I38" i="10"/>
  <c r="J38" i="10" s="1"/>
  <c r="J42" i="10" s="1"/>
  <c r="I39" i="10"/>
  <c r="J39" i="10" s="1"/>
  <c r="D38" i="10"/>
  <c r="D41" i="10"/>
  <c r="B38" i="10"/>
  <c r="D40" i="10"/>
  <c r="D39" i="10"/>
  <c r="C83" i="12"/>
  <c r="J38" i="13"/>
  <c r="H79" i="12"/>
  <c r="I79" i="12" s="1"/>
  <c r="I45" i="12"/>
  <c r="L20" i="8"/>
  <c r="P19" i="8"/>
  <c r="P23" i="8"/>
  <c r="D24" i="16"/>
  <c r="I61" i="16"/>
  <c r="G61" i="13" s="1"/>
  <c r="J6" i="8"/>
  <c r="L6" i="8" s="1"/>
  <c r="G21" i="13"/>
  <c r="H21" i="13" s="1"/>
  <c r="J21" i="13" s="1"/>
  <c r="K20" i="13" s="1"/>
  <c r="D14" i="1"/>
  <c r="J19" i="8"/>
  <c r="L19" i="8" s="1"/>
  <c r="G49" i="12"/>
  <c r="C76" i="12"/>
  <c r="I5" i="16"/>
  <c r="D4" i="16"/>
  <c r="I47" i="12"/>
  <c r="H81" i="12"/>
  <c r="I81" i="12" s="1"/>
  <c r="J24" i="8"/>
  <c r="L24" i="8" s="1"/>
  <c r="K61" i="13" l="1"/>
  <c r="L6" i="22"/>
  <c r="M5" i="22"/>
  <c r="L78" i="4"/>
  <c r="G78" i="4" s="1"/>
  <c r="D12" i="1"/>
  <c r="E40" i="10"/>
  <c r="E39" i="10"/>
  <c r="K35" i="13"/>
  <c r="M19" i="1"/>
  <c r="C3" i="8"/>
  <c r="G13" i="12"/>
  <c r="H13" i="12" s="1"/>
  <c r="L80" i="4"/>
  <c r="G80" i="4" s="1"/>
  <c r="C8" i="12"/>
  <c r="D8" i="12" s="1"/>
  <c r="C73" i="4"/>
  <c r="I73" i="4"/>
  <c r="G5" i="12"/>
  <c r="H5" i="12" s="1"/>
  <c r="I26" i="10"/>
  <c r="L85" i="4"/>
  <c r="K85" i="4" s="1"/>
  <c r="L76" i="4"/>
  <c r="F76" i="4" s="1"/>
  <c r="C11" i="12"/>
  <c r="D11" i="12" s="1"/>
  <c r="C17" i="12"/>
  <c r="D17" i="12" s="1"/>
  <c r="C13" i="12"/>
  <c r="D13" i="12" s="1"/>
  <c r="F12" i="11"/>
  <c r="N41" i="1"/>
  <c r="G11" i="8" s="1"/>
  <c r="F11" i="8" s="1"/>
  <c r="G12" i="11"/>
  <c r="L75" i="4"/>
  <c r="E75" i="4" s="1"/>
  <c r="J73" i="4"/>
  <c r="H18" i="8"/>
  <c r="C43" i="8" s="1"/>
  <c r="C6" i="12"/>
  <c r="D6" i="12" s="1"/>
  <c r="H20" i="8"/>
  <c r="E20" i="8" s="1"/>
  <c r="H11" i="8"/>
  <c r="E11" i="8" s="1"/>
  <c r="H5" i="8"/>
  <c r="E5" i="8" s="1"/>
  <c r="M45" i="1"/>
  <c r="M40" i="1"/>
  <c r="H14" i="8"/>
  <c r="E14" i="8" s="1"/>
  <c r="H22" i="8"/>
  <c r="E22" i="8" s="1"/>
  <c r="H15" i="11"/>
  <c r="H8" i="8"/>
  <c r="E8" i="8" s="1"/>
  <c r="N44" i="1"/>
  <c r="G14" i="8" s="1"/>
  <c r="H17" i="8"/>
  <c r="E17" i="8" s="1"/>
  <c r="H19" i="8"/>
  <c r="E19" i="8" s="1"/>
  <c r="H15" i="8"/>
  <c r="E15" i="8" s="1"/>
  <c r="G9" i="12"/>
  <c r="H9" i="12" s="1"/>
  <c r="F15" i="11"/>
  <c r="H21" i="8"/>
  <c r="E21" i="8" s="1"/>
  <c r="H7" i="8"/>
  <c r="E7" i="8" s="1"/>
  <c r="N34" i="1"/>
  <c r="G4" i="8" s="1"/>
  <c r="F4" i="8" s="1"/>
  <c r="H6" i="8"/>
  <c r="E6" i="8" s="1"/>
  <c r="H13" i="8"/>
  <c r="D38" i="8" s="1"/>
  <c r="G14" i="12"/>
  <c r="H14" i="12" s="1"/>
  <c r="H9" i="8"/>
  <c r="E9" i="8" s="1"/>
  <c r="G7" i="12"/>
  <c r="H7" i="12" s="1"/>
  <c r="H16" i="8"/>
  <c r="E16" i="8" s="1"/>
  <c r="D20" i="11"/>
  <c r="D36" i="11" s="1"/>
  <c r="E36" i="11" s="1"/>
  <c r="N45" i="1"/>
  <c r="P45" i="1" s="1"/>
  <c r="H12" i="8"/>
  <c r="E12" i="8" s="1"/>
  <c r="C5" i="12"/>
  <c r="D5" i="12" s="1"/>
  <c r="K73" i="4"/>
  <c r="E12" i="12"/>
  <c r="F12" i="12" s="1"/>
  <c r="D73" i="4"/>
  <c r="H73" i="4"/>
  <c r="G73" i="4"/>
  <c r="M51" i="1"/>
  <c r="E10" i="12"/>
  <c r="F10" i="12" s="1"/>
  <c r="E73" i="4"/>
  <c r="N51" i="1"/>
  <c r="P51" i="1" s="1"/>
  <c r="E8" i="12"/>
  <c r="F8" i="12" s="1"/>
  <c r="C9" i="12"/>
  <c r="D9" i="12" s="1"/>
  <c r="I6" i="12"/>
  <c r="J6" i="12" s="1"/>
  <c r="H10" i="8"/>
  <c r="E10" i="8" s="1"/>
  <c r="G12" i="12"/>
  <c r="H12" i="12" s="1"/>
  <c r="I16" i="12"/>
  <c r="J16" i="12" s="1"/>
  <c r="C14" i="12"/>
  <c r="D14" i="12" s="1"/>
  <c r="C7" i="12"/>
  <c r="D7" i="12" s="1"/>
  <c r="I15" i="12"/>
  <c r="J15" i="12" s="1"/>
  <c r="E6" i="12"/>
  <c r="F6" i="12" s="1"/>
  <c r="G26" i="10"/>
  <c r="G16" i="10" s="1"/>
  <c r="H82" i="4"/>
  <c r="D82" i="4"/>
  <c r="I82" i="4"/>
  <c r="D86" i="4"/>
  <c r="N54" i="1"/>
  <c r="P54" i="1" s="1"/>
  <c r="E82" i="4"/>
  <c r="F19" i="11"/>
  <c r="G11" i="12"/>
  <c r="H11" i="12" s="1"/>
  <c r="C82" i="4"/>
  <c r="L84" i="4"/>
  <c r="F84" i="4" s="1"/>
  <c r="M52" i="1"/>
  <c r="G19" i="11"/>
  <c r="E9" i="12"/>
  <c r="F9" i="12" s="1"/>
  <c r="C16" i="12"/>
  <c r="D16" i="12" s="1"/>
  <c r="C10" i="12"/>
  <c r="D10" i="12" s="1"/>
  <c r="N47" i="1"/>
  <c r="P47" i="1" s="1"/>
  <c r="C12" i="12"/>
  <c r="D12" i="12" s="1"/>
  <c r="G3" i="6"/>
  <c r="H293" i="6" s="1"/>
  <c r="N40" i="1"/>
  <c r="P40" i="1" s="1"/>
  <c r="D31" i="11"/>
  <c r="F31" i="11" s="1"/>
  <c r="N39" i="1"/>
  <c r="C20" i="13" s="1"/>
  <c r="D20" i="13" s="1"/>
  <c r="F8" i="11"/>
  <c r="H8" i="11" s="1"/>
  <c r="L18" i="11"/>
  <c r="L19" i="11" s="1"/>
  <c r="L20" i="11" s="1"/>
  <c r="C18" i="12"/>
  <c r="D18" i="12" s="1"/>
  <c r="I7" i="12"/>
  <c r="J7" i="12" s="1"/>
  <c r="H23" i="8"/>
  <c r="G15" i="12"/>
  <c r="H15" i="12" s="1"/>
  <c r="E14" i="12"/>
  <c r="F14" i="12" s="1"/>
  <c r="E7" i="12"/>
  <c r="F7" i="12" s="1"/>
  <c r="I9" i="12"/>
  <c r="J9" i="12" s="1"/>
  <c r="F13" i="8"/>
  <c r="G16" i="12"/>
  <c r="H16" i="12" s="1"/>
  <c r="I8" i="12"/>
  <c r="J8" i="12" s="1"/>
  <c r="M18" i="11"/>
  <c r="M19" i="11" s="1"/>
  <c r="M20" i="11" s="1"/>
  <c r="E86" i="4"/>
  <c r="J86" i="4"/>
  <c r="K86" i="4"/>
  <c r="I86" i="4"/>
  <c r="H86" i="4"/>
  <c r="G86" i="4"/>
  <c r="C86" i="4"/>
  <c r="I17" i="12"/>
  <c r="J17" i="12" s="1"/>
  <c r="C15" i="12"/>
  <c r="D15" i="12" s="1"/>
  <c r="M49" i="1"/>
  <c r="E11" i="12"/>
  <c r="F11" i="12" s="1"/>
  <c r="N49" i="1"/>
  <c r="C49" i="13" s="1"/>
  <c r="H64" i="4"/>
  <c r="L81" i="4"/>
  <c r="H66" i="4"/>
  <c r="L83" i="4"/>
  <c r="G6" i="11"/>
  <c r="L79" i="4"/>
  <c r="H62" i="4"/>
  <c r="I18" i="12"/>
  <c r="J18" i="12" s="1"/>
  <c r="E16" i="12"/>
  <c r="F16" i="12" s="1"/>
  <c r="F6" i="11"/>
  <c r="E5" i="12"/>
  <c r="F5" i="12" s="1"/>
  <c r="J82" i="4"/>
  <c r="E13" i="12"/>
  <c r="F13" i="12" s="1"/>
  <c r="F82" i="4"/>
  <c r="M44" i="1"/>
  <c r="G82" i="4"/>
  <c r="I10" i="12"/>
  <c r="J10" i="12" s="1"/>
  <c r="E15" i="12"/>
  <c r="F15" i="12" s="1"/>
  <c r="N52" i="1"/>
  <c r="G22" i="8" s="1"/>
  <c r="H24" i="8"/>
  <c r="E24" i="8" s="1"/>
  <c r="E3" i="8"/>
  <c r="D3" i="8" s="1"/>
  <c r="C28" i="8"/>
  <c r="D28" i="8"/>
  <c r="E28" i="8"/>
  <c r="E4" i="8"/>
  <c r="J47" i="1"/>
  <c r="J76" i="1" s="1"/>
  <c r="K47" i="1"/>
  <c r="F12" i="4"/>
  <c r="E12" i="4"/>
  <c r="D12" i="4"/>
  <c r="G12" i="4"/>
  <c r="L65" i="13"/>
  <c r="M65" i="13" s="1"/>
  <c r="O65" i="13" s="1"/>
  <c r="J28" i="1"/>
  <c r="L49" i="13"/>
  <c r="M49" i="13" s="1"/>
  <c r="O49" i="13" s="1"/>
  <c r="J23" i="1"/>
  <c r="D17" i="11"/>
  <c r="M42" i="1"/>
  <c r="D14" i="11"/>
  <c r="N42" i="1"/>
  <c r="C9" i="13"/>
  <c r="D9" i="13" s="1"/>
  <c r="G5" i="8"/>
  <c r="I5" i="12"/>
  <c r="J5" i="12" s="1"/>
  <c r="G10" i="12"/>
  <c r="H10" i="12" s="1"/>
  <c r="F4" i="11"/>
  <c r="H4" i="11" s="1"/>
  <c r="G4" i="11"/>
  <c r="G33" i="13"/>
  <c r="H33" i="13" s="1"/>
  <c r="J33" i="13" s="1"/>
  <c r="M13" i="16"/>
  <c r="K16" i="1" s="1"/>
  <c r="J42" i="1" s="1"/>
  <c r="J71" i="1" s="1"/>
  <c r="C11" i="13"/>
  <c r="D11" i="13" s="1"/>
  <c r="G6" i="8"/>
  <c r="G67" i="13"/>
  <c r="H67" i="13" s="1"/>
  <c r="J67" i="13" s="1"/>
  <c r="K65" i="13" s="1"/>
  <c r="M15" i="16"/>
  <c r="K18" i="1" s="1"/>
  <c r="L31" i="13"/>
  <c r="M31" i="13" s="1"/>
  <c r="O31" i="13" s="1"/>
  <c r="J18" i="1"/>
  <c r="J43" i="10"/>
  <c r="G7" i="13"/>
  <c r="H7" i="13" s="1"/>
  <c r="J7" i="13" s="1"/>
  <c r="D9" i="1"/>
  <c r="J40" i="1"/>
  <c r="J69" i="1" s="1"/>
  <c r="K40" i="1"/>
  <c r="N50" i="1"/>
  <c r="P50" i="1" s="1"/>
  <c r="M50" i="1"/>
  <c r="C5" i="11"/>
  <c r="G58" i="13"/>
  <c r="H58" i="13" s="1"/>
  <c r="J58" i="13" s="1"/>
  <c r="K57" i="13" s="1"/>
  <c r="D20" i="1"/>
  <c r="I11" i="12"/>
  <c r="J11" i="12" s="1"/>
  <c r="L6" i="13"/>
  <c r="J8" i="1"/>
  <c r="G9" i="4"/>
  <c r="F9" i="4"/>
  <c r="D9" i="4"/>
  <c r="E9" i="4"/>
  <c r="K39" i="1"/>
  <c r="J39" i="1"/>
  <c r="J68" i="1" s="1"/>
  <c r="G12" i="1"/>
  <c r="F12" i="1"/>
  <c r="E12" i="1"/>
  <c r="C38" i="1"/>
  <c r="C67" i="1" s="1"/>
  <c r="K49" i="13"/>
  <c r="E35" i="11"/>
  <c r="F35" i="11"/>
  <c r="I12" i="12"/>
  <c r="J12" i="12" s="1"/>
  <c r="I14" i="12"/>
  <c r="J14" i="12" s="1"/>
  <c r="D3" i="11"/>
  <c r="F3" i="11"/>
  <c r="H3" i="11" s="1"/>
  <c r="G3" i="11"/>
  <c r="F14" i="4"/>
  <c r="E14" i="4"/>
  <c r="G14" i="4"/>
  <c r="D14" i="4"/>
  <c r="E41" i="10"/>
  <c r="L20" i="1"/>
  <c r="M20" i="1"/>
  <c r="N20" i="1"/>
  <c r="K42" i="1"/>
  <c r="K36" i="1"/>
  <c r="J36" i="1"/>
  <c r="J65" i="1" s="1"/>
  <c r="L57" i="13"/>
  <c r="M57" i="13" s="1"/>
  <c r="O57" i="13" s="1"/>
  <c r="K6" i="11"/>
  <c r="J26" i="1"/>
  <c r="G19" i="1"/>
  <c r="F19" i="1"/>
  <c r="E19" i="1"/>
  <c r="K46" i="1"/>
  <c r="J46" i="1"/>
  <c r="J75" i="1" s="1"/>
  <c r="E6" i="4"/>
  <c r="F6" i="4"/>
  <c r="D6" i="4"/>
  <c r="G6" i="4"/>
  <c r="L16" i="13"/>
  <c r="M16" i="13" s="1"/>
  <c r="O16" i="13" s="1"/>
  <c r="P38" i="1"/>
  <c r="J12" i="1"/>
  <c r="F18" i="8"/>
  <c r="F10" i="4"/>
  <c r="E10" i="4"/>
  <c r="D10" i="4"/>
  <c r="G10" i="4"/>
  <c r="G23" i="8"/>
  <c r="F17" i="4"/>
  <c r="G17" i="4"/>
  <c r="E17" i="4"/>
  <c r="D17" i="4"/>
  <c r="P36" i="1"/>
  <c r="K35" i="1"/>
  <c r="J35" i="1"/>
  <c r="J64" i="1" s="1"/>
  <c r="G8" i="13"/>
  <c r="H8" i="13" s="1"/>
  <c r="J8" i="13" s="1"/>
  <c r="D8" i="1"/>
  <c r="M10" i="1"/>
  <c r="L13" i="1"/>
  <c r="E18" i="4"/>
  <c r="D18" i="4"/>
  <c r="F18" i="4"/>
  <c r="G18" i="4"/>
  <c r="D15" i="4"/>
  <c r="F15" i="4"/>
  <c r="E15" i="4"/>
  <c r="G15" i="4"/>
  <c r="J45" i="1"/>
  <c r="J74" i="1" s="1"/>
  <c r="K45" i="1"/>
  <c r="G14" i="1"/>
  <c r="F14" i="1"/>
  <c r="E14" i="1"/>
  <c r="C40" i="1"/>
  <c r="C69" i="1" s="1"/>
  <c r="G54" i="13"/>
  <c r="H54" i="13" s="1"/>
  <c r="J54" i="13" s="1"/>
  <c r="K53" i="13" s="1"/>
  <c r="D18" i="1"/>
  <c r="M13" i="1"/>
  <c r="D16" i="4"/>
  <c r="E16" i="4"/>
  <c r="G16" i="4"/>
  <c r="F16" i="4"/>
  <c r="G77" i="4"/>
  <c r="F77" i="4"/>
  <c r="E77" i="4"/>
  <c r="K77" i="4"/>
  <c r="H77" i="4"/>
  <c r="J77" i="4"/>
  <c r="I77" i="4"/>
  <c r="C77" i="4"/>
  <c r="D77" i="4"/>
  <c r="C14" i="13"/>
  <c r="D14" i="13" s="1"/>
  <c r="G7" i="8"/>
  <c r="E11" i="4"/>
  <c r="G11" i="4"/>
  <c r="F11" i="4"/>
  <c r="D11" i="4"/>
  <c r="L61" i="13"/>
  <c r="M61" i="13" s="1"/>
  <c r="O61" i="13" s="1"/>
  <c r="P53" i="1"/>
  <c r="J27" i="1"/>
  <c r="G30" i="13"/>
  <c r="H30" i="13" s="1"/>
  <c r="J30" i="13" s="1"/>
  <c r="K29" i="13" s="1"/>
  <c r="D16" i="1"/>
  <c r="K43" i="13"/>
  <c r="G32" i="13"/>
  <c r="H32" i="13" s="1"/>
  <c r="J32" i="13" s="1"/>
  <c r="M14" i="16"/>
  <c r="K17" i="1" s="1"/>
  <c r="L29" i="13"/>
  <c r="P43" i="1"/>
  <c r="J17" i="1"/>
  <c r="K37" i="1"/>
  <c r="E28" i="11"/>
  <c r="F28" i="11"/>
  <c r="M14" i="1"/>
  <c r="G26" i="13"/>
  <c r="H26" i="13" s="1"/>
  <c r="J26" i="13" s="1"/>
  <c r="K25" i="13" s="1"/>
  <c r="D15" i="1"/>
  <c r="G18" i="13"/>
  <c r="H18" i="13" s="1"/>
  <c r="J18" i="13" s="1"/>
  <c r="M8" i="16"/>
  <c r="K11" i="1" s="1"/>
  <c r="N10" i="1"/>
  <c r="E17" i="10"/>
  <c r="F16" i="10"/>
  <c r="F17" i="10" s="1"/>
  <c r="G8" i="4"/>
  <c r="F8" i="4"/>
  <c r="D8" i="4"/>
  <c r="E8" i="4"/>
  <c r="F17" i="1"/>
  <c r="E17" i="1"/>
  <c r="G17" i="1"/>
  <c r="C16" i="13"/>
  <c r="G8" i="8"/>
  <c r="G16" i="8"/>
  <c r="C39" i="13"/>
  <c r="G34" i="13"/>
  <c r="H34" i="13" s="1"/>
  <c r="J34" i="13" s="1"/>
  <c r="M12" i="16"/>
  <c r="K15" i="1" s="1"/>
  <c r="I13" i="12"/>
  <c r="J13" i="12" s="1"/>
  <c r="P46" i="1"/>
  <c r="G7" i="4"/>
  <c r="F7" i="4"/>
  <c r="E7" i="4"/>
  <c r="D7" i="4"/>
  <c r="L53" i="13"/>
  <c r="M53" i="13" s="1"/>
  <c r="O53" i="13" s="1"/>
  <c r="K7" i="11"/>
  <c r="K5" i="11"/>
  <c r="J24" i="1"/>
  <c r="N24" i="1" s="1"/>
  <c r="D33" i="1"/>
  <c r="L25" i="1"/>
  <c r="N25" i="1"/>
  <c r="M25" i="1"/>
  <c r="N13" i="1"/>
  <c r="E13" i="4"/>
  <c r="G13" i="4"/>
  <c r="F13" i="4"/>
  <c r="D13" i="4"/>
  <c r="L4" i="13"/>
  <c r="P33" i="1"/>
  <c r="J7" i="1"/>
  <c r="G5" i="13"/>
  <c r="H5" i="13" s="1"/>
  <c r="J5" i="13" s="1"/>
  <c r="K4" i="13" s="1"/>
  <c r="D7" i="1"/>
  <c r="L47" i="13"/>
  <c r="P48" i="1"/>
  <c r="J22" i="1"/>
  <c r="N22" i="1" s="1"/>
  <c r="E38" i="10"/>
  <c r="E42" i="10" s="1"/>
  <c r="G11" i="1"/>
  <c r="F11" i="1"/>
  <c r="E11" i="1"/>
  <c r="C37" i="1"/>
  <c r="C66" i="1" s="1"/>
  <c r="L19" i="1"/>
  <c r="L21" i="1"/>
  <c r="C7" i="11"/>
  <c r="L9" i="1"/>
  <c r="K74" i="4"/>
  <c r="E74" i="4"/>
  <c r="G74" i="4"/>
  <c r="F74" i="4"/>
  <c r="D74" i="4"/>
  <c r="C74" i="4"/>
  <c r="I74" i="4"/>
  <c r="H74" i="4"/>
  <c r="J74" i="4"/>
  <c r="L14" i="1"/>
  <c r="L25" i="13"/>
  <c r="J15" i="1"/>
  <c r="G17" i="13"/>
  <c r="H17" i="13" s="1"/>
  <c r="J17" i="13" s="1"/>
  <c r="D13" i="1"/>
  <c r="M47" i="1"/>
  <c r="G8" i="11"/>
  <c r="G5" i="4"/>
  <c r="F5" i="4"/>
  <c r="E5" i="4"/>
  <c r="D5" i="4"/>
  <c r="H78" i="4" l="1"/>
  <c r="L7" i="22"/>
  <c r="M6" i="22"/>
  <c r="E80" i="4"/>
  <c r="H80" i="4"/>
  <c r="K80" i="4"/>
  <c r="D78" i="4"/>
  <c r="I80" i="4"/>
  <c r="F78" i="4"/>
  <c r="D80" i="4"/>
  <c r="J78" i="4"/>
  <c r="J80" i="4"/>
  <c r="K78" i="4"/>
  <c r="I78" i="4"/>
  <c r="E78" i="4"/>
  <c r="F80" i="4"/>
  <c r="C78" i="4"/>
  <c r="C80" i="4"/>
  <c r="L22" i="1"/>
  <c r="D49" i="13"/>
  <c r="K31" i="13"/>
  <c r="M22" i="1"/>
  <c r="H6" i="11"/>
  <c r="C61" i="13"/>
  <c r="D61" i="13" s="1"/>
  <c r="K6" i="13"/>
  <c r="H85" i="4"/>
  <c r="C85" i="4"/>
  <c r="I76" i="4"/>
  <c r="E85" i="4"/>
  <c r="H179" i="6"/>
  <c r="H241" i="6"/>
  <c r="H250" i="6"/>
  <c r="G46" i="4"/>
  <c r="G20" i="11"/>
  <c r="H57" i="6"/>
  <c r="H76" i="4"/>
  <c r="C76" i="4"/>
  <c r="F85" i="4"/>
  <c r="G85" i="4"/>
  <c r="G35" i="4"/>
  <c r="H166" i="6"/>
  <c r="D76" i="4"/>
  <c r="F46" i="4"/>
  <c r="D42" i="4"/>
  <c r="H180" i="6"/>
  <c r="D85" i="4"/>
  <c r="F25" i="4"/>
  <c r="F62" i="4"/>
  <c r="H61" i="6"/>
  <c r="I85" i="4"/>
  <c r="F36" i="11"/>
  <c r="H193" i="6"/>
  <c r="F60" i="4"/>
  <c r="G51" i="4"/>
  <c r="H213" i="6"/>
  <c r="G65" i="4"/>
  <c r="J85" i="4"/>
  <c r="H47" i="6"/>
  <c r="C13" i="8"/>
  <c r="E76" i="4"/>
  <c r="G76" i="4"/>
  <c r="J76" i="4"/>
  <c r="K76" i="4"/>
  <c r="G15" i="8"/>
  <c r="C15" i="8" s="1"/>
  <c r="C35" i="13"/>
  <c r="D35" i="13" s="1"/>
  <c r="C14" i="8"/>
  <c r="F26" i="4"/>
  <c r="F68" i="4"/>
  <c r="H139" i="6"/>
  <c r="H48" i="6"/>
  <c r="H150" i="6"/>
  <c r="E68" i="4"/>
  <c r="H56" i="6"/>
  <c r="H30" i="6"/>
  <c r="E34" i="4"/>
  <c r="F44" i="4"/>
  <c r="H176" i="6"/>
  <c r="H67" i="6"/>
  <c r="H148" i="6"/>
  <c r="H163" i="6"/>
  <c r="H233" i="6"/>
  <c r="H134" i="6"/>
  <c r="F28" i="4"/>
  <c r="H93" i="6"/>
  <c r="F52" i="4"/>
  <c r="H119" i="6"/>
  <c r="H263" i="6"/>
  <c r="H226" i="6"/>
  <c r="H273" i="6"/>
  <c r="I75" i="4"/>
  <c r="C22" i="8"/>
  <c r="G52" i="4"/>
  <c r="E62" i="4"/>
  <c r="H184" i="6"/>
  <c r="H74" i="6"/>
  <c r="K75" i="4"/>
  <c r="C36" i="8"/>
  <c r="P41" i="1"/>
  <c r="F31" i="4"/>
  <c r="H77" i="6"/>
  <c r="G40" i="4"/>
  <c r="E27" i="4"/>
  <c r="F39" i="4"/>
  <c r="D57" i="4"/>
  <c r="H90" i="6"/>
  <c r="H99" i="6"/>
  <c r="G75" i="4"/>
  <c r="E36" i="8"/>
  <c r="J75" i="4"/>
  <c r="E24" i="4"/>
  <c r="H39" i="6"/>
  <c r="E56" i="4"/>
  <c r="D50" i="4"/>
  <c r="E35" i="4"/>
  <c r="H69" i="6"/>
  <c r="G47" i="4"/>
  <c r="D59" i="4"/>
  <c r="H115" i="6"/>
  <c r="H230" i="6"/>
  <c r="H183" i="6"/>
  <c r="G66" i="4"/>
  <c r="F41" i="4"/>
  <c r="H111" i="6"/>
  <c r="H29" i="6"/>
  <c r="D61" i="4"/>
  <c r="H211" i="6"/>
  <c r="H247" i="6"/>
  <c r="D48" i="4"/>
  <c r="H197" i="6"/>
  <c r="H32" i="6"/>
  <c r="H214" i="6"/>
  <c r="H53" i="6"/>
  <c r="D65" i="4"/>
  <c r="H229" i="6"/>
  <c r="H274" i="6"/>
  <c r="G64" i="4"/>
  <c r="H294" i="6"/>
  <c r="H73" i="6"/>
  <c r="E33" i="4"/>
  <c r="H103" i="6"/>
  <c r="F43" i="4"/>
  <c r="H231" i="6"/>
  <c r="E18" i="8"/>
  <c r="D18" i="8" s="1"/>
  <c r="C11" i="8"/>
  <c r="H245" i="6"/>
  <c r="D11" i="8"/>
  <c r="E38" i="8"/>
  <c r="G43" i="4"/>
  <c r="H260" i="6"/>
  <c r="H200" i="6"/>
  <c r="F34" i="4"/>
  <c r="D30" i="4"/>
  <c r="H105" i="6"/>
  <c r="E41" i="4"/>
  <c r="H97" i="6"/>
  <c r="G22" i="4"/>
  <c r="F47" i="4"/>
  <c r="H120" i="6"/>
  <c r="H284" i="6"/>
  <c r="H170" i="6"/>
  <c r="H272" i="6"/>
  <c r="H265" i="6"/>
  <c r="H225" i="6"/>
  <c r="F75" i="4"/>
  <c r="C29" i="8"/>
  <c r="C75" i="4"/>
  <c r="H181" i="6"/>
  <c r="H49" i="6"/>
  <c r="H141" i="6"/>
  <c r="D56" i="4"/>
  <c r="D58" i="4"/>
  <c r="D34" i="4"/>
  <c r="D45" i="4"/>
  <c r="H136" i="6"/>
  <c r="D28" i="4"/>
  <c r="E51" i="4"/>
  <c r="H122" i="6"/>
  <c r="D40" i="4"/>
  <c r="H195" i="6"/>
  <c r="H276" i="6"/>
  <c r="H285" i="6"/>
  <c r="H249" i="6"/>
  <c r="H75" i="4"/>
  <c r="G34" i="4"/>
  <c r="H75" i="6"/>
  <c r="H240" i="6"/>
  <c r="G63" i="4"/>
  <c r="E44" i="4"/>
  <c r="F56" i="4"/>
  <c r="G30" i="4"/>
  <c r="D60" i="4"/>
  <c r="D46" i="4"/>
  <c r="H280" i="6"/>
  <c r="H292" i="6"/>
  <c r="H66" i="6"/>
  <c r="H289" i="6"/>
  <c r="D75" i="4"/>
  <c r="D36" i="8"/>
  <c r="E50" i="4"/>
  <c r="H100" i="6"/>
  <c r="H83" i="6"/>
  <c r="E58" i="4"/>
  <c r="H252" i="6"/>
  <c r="F35" i="4"/>
  <c r="D26" i="4"/>
  <c r="G69" i="4"/>
  <c r="F61" i="4"/>
  <c r="F65" i="4"/>
  <c r="G68" i="4"/>
  <c r="H161" i="6"/>
  <c r="H169" i="6"/>
  <c r="H114" i="6"/>
  <c r="F40" i="4"/>
  <c r="H64" i="6"/>
  <c r="H167" i="6"/>
  <c r="H216" i="6"/>
  <c r="P39" i="1"/>
  <c r="C18" i="8"/>
  <c r="E43" i="8"/>
  <c r="D21" i="11"/>
  <c r="D37" i="11" s="1"/>
  <c r="F37" i="11" s="1"/>
  <c r="D43" i="8"/>
  <c r="F20" i="11"/>
  <c r="C31" i="13"/>
  <c r="D31" i="13" s="1"/>
  <c r="P52" i="1"/>
  <c r="C4" i="8"/>
  <c r="E13" i="8"/>
  <c r="D13" i="8" s="1"/>
  <c r="E31" i="11"/>
  <c r="D4" i="8"/>
  <c r="G10" i="8"/>
  <c r="C10" i="8" s="1"/>
  <c r="E29" i="8"/>
  <c r="H20" i="11"/>
  <c r="P44" i="1"/>
  <c r="C38" i="8"/>
  <c r="D29" i="8"/>
  <c r="P34" i="1"/>
  <c r="C55" i="13"/>
  <c r="E55" i="13" s="1"/>
  <c r="D84" i="4"/>
  <c r="G21" i="8"/>
  <c r="F21" i="8" s="1"/>
  <c r="K84" i="4"/>
  <c r="J84" i="4"/>
  <c r="C84" i="4"/>
  <c r="I84" i="4"/>
  <c r="H84" i="4"/>
  <c r="C57" i="13"/>
  <c r="D57" i="13" s="1"/>
  <c r="G84" i="4"/>
  <c r="E84" i="4"/>
  <c r="C23" i="8"/>
  <c r="G9" i="8"/>
  <c r="D34" i="8" s="1"/>
  <c r="C22" i="13"/>
  <c r="D22" i="13" s="1"/>
  <c r="E29" i="4"/>
  <c r="H59" i="6"/>
  <c r="E48" i="4"/>
  <c r="G32" i="4"/>
  <c r="H242" i="6"/>
  <c r="H46" i="6"/>
  <c r="G27" i="4"/>
  <c r="G48" i="4"/>
  <c r="E32" i="4"/>
  <c r="H95" i="6"/>
  <c r="F22" i="4"/>
  <c r="H45" i="6"/>
  <c r="G25" i="4"/>
  <c r="H72" i="6"/>
  <c r="F59" i="4"/>
  <c r="F57" i="4"/>
  <c r="H258" i="6"/>
  <c r="D44" i="4"/>
  <c r="H243" i="6"/>
  <c r="H78" i="6"/>
  <c r="H262" i="6"/>
  <c r="D43" i="4"/>
  <c r="H168" i="6"/>
  <c r="D63" i="4"/>
  <c r="H278" i="6"/>
  <c r="F49" i="4"/>
  <c r="H81" i="6"/>
  <c r="H283" i="6"/>
  <c r="H102" i="6"/>
  <c r="H255" i="6"/>
  <c r="H54" i="6"/>
  <c r="H205" i="6"/>
  <c r="H86" i="6"/>
  <c r="H270" i="6"/>
  <c r="H261" i="6"/>
  <c r="H109" i="6"/>
  <c r="H60" i="6"/>
  <c r="H254" i="6"/>
  <c r="H186" i="6"/>
  <c r="H79" i="6"/>
  <c r="H220" i="6"/>
  <c r="E45" i="4"/>
  <c r="H210" i="6"/>
  <c r="D52" i="4"/>
  <c r="H140" i="6"/>
  <c r="E23" i="8"/>
  <c r="D23" i="8" s="1"/>
  <c r="F29" i="4"/>
  <c r="H228" i="6"/>
  <c r="H87" i="6"/>
  <c r="H34" i="6"/>
  <c r="G41" i="4"/>
  <c r="G58" i="4"/>
  <c r="H204" i="6"/>
  <c r="F67" i="4"/>
  <c r="G49" i="4"/>
  <c r="H156" i="6"/>
  <c r="F42" i="4"/>
  <c r="H58" i="6"/>
  <c r="D39" i="4"/>
  <c r="H135" i="6"/>
  <c r="H84" i="6"/>
  <c r="H33" i="6"/>
  <c r="E22" i="4"/>
  <c r="E60" i="4"/>
  <c r="H43" i="6"/>
  <c r="H189" i="6"/>
  <c r="H133" i="6"/>
  <c r="H35" i="6"/>
  <c r="E40" i="4"/>
  <c r="H37" i="6"/>
  <c r="D27" i="4"/>
  <c r="E61" i="4"/>
  <c r="H132" i="6"/>
  <c r="H246" i="6"/>
  <c r="H153" i="6"/>
  <c r="H160" i="6"/>
  <c r="H104" i="6"/>
  <c r="H257" i="6"/>
  <c r="H137" i="6"/>
  <c r="H238" i="6"/>
  <c r="F30" i="4"/>
  <c r="D66" i="4"/>
  <c r="H82" i="6"/>
  <c r="D23" i="4"/>
  <c r="H106" i="6"/>
  <c r="H127" i="6"/>
  <c r="H209" i="6"/>
  <c r="F24" i="4"/>
  <c r="E59" i="4"/>
  <c r="H295" i="6"/>
  <c r="H222" i="6"/>
  <c r="H215" i="6"/>
  <c r="H38" i="6"/>
  <c r="F58" i="4"/>
  <c r="D47" i="4"/>
  <c r="H191" i="6"/>
  <c r="E23" i="4"/>
  <c r="H41" i="6"/>
  <c r="H62" i="6"/>
  <c r="F63" i="4"/>
  <c r="H76" i="6"/>
  <c r="H194" i="6"/>
  <c r="H158" i="6"/>
  <c r="H42" i="6"/>
  <c r="E43" i="4"/>
  <c r="H44" i="6"/>
  <c r="D29" i="4"/>
  <c r="E63" i="4"/>
  <c r="H143" i="6"/>
  <c r="H248" i="6"/>
  <c r="H165" i="6"/>
  <c r="H172" i="6"/>
  <c r="H117" i="6"/>
  <c r="H267" i="6"/>
  <c r="H149" i="6"/>
  <c r="H253" i="6"/>
  <c r="G24" i="8"/>
  <c r="C24" i="8" s="1"/>
  <c r="H182" i="6"/>
  <c r="D67" i="4"/>
  <c r="H223" i="6"/>
  <c r="D68" i="4"/>
  <c r="D62" i="4"/>
  <c r="G33" i="4"/>
  <c r="H80" i="6"/>
  <c r="H256" i="6"/>
  <c r="H92" i="6"/>
  <c r="G45" i="4"/>
  <c r="H144" i="6"/>
  <c r="D24" i="4"/>
  <c r="G42" i="4"/>
  <c r="D64" i="4"/>
  <c r="G44" i="4"/>
  <c r="F48" i="4"/>
  <c r="H218" i="6"/>
  <c r="H51" i="6"/>
  <c r="H264" i="6"/>
  <c r="G26" i="4"/>
  <c r="H40" i="6"/>
  <c r="G61" i="4"/>
  <c r="E25" i="4"/>
  <c r="G50" i="4"/>
  <c r="H145" i="6"/>
  <c r="E47" i="4"/>
  <c r="H123" i="6"/>
  <c r="E28" i="4"/>
  <c r="H94" i="6"/>
  <c r="H174" i="6"/>
  <c r="E66" i="4"/>
  <c r="H101" i="6"/>
  <c r="H271" i="6"/>
  <c r="H202" i="6"/>
  <c r="H52" i="6"/>
  <c r="E46" i="4"/>
  <c r="H65" i="6"/>
  <c r="D31" i="4"/>
  <c r="E65" i="4"/>
  <c r="H157" i="6"/>
  <c r="H268" i="6"/>
  <c r="H178" i="6"/>
  <c r="H185" i="6"/>
  <c r="H130" i="6"/>
  <c r="H277" i="6"/>
  <c r="H162" i="6"/>
  <c r="H266" i="6"/>
  <c r="C65" i="13"/>
  <c r="E65" i="13" s="1"/>
  <c r="G17" i="8"/>
  <c r="C17" i="8" s="1"/>
  <c r="H113" i="6"/>
  <c r="F51" i="4"/>
  <c r="D49" i="4"/>
  <c r="E57" i="4"/>
  <c r="H199" i="6"/>
  <c r="H275" i="6"/>
  <c r="H287" i="6"/>
  <c r="H85" i="6"/>
  <c r="F33" i="4"/>
  <c r="D69" i="4"/>
  <c r="H118" i="6"/>
  <c r="H235" i="6"/>
  <c r="H177" i="6"/>
  <c r="H125" i="6"/>
  <c r="G31" i="4"/>
  <c r="H121" i="6"/>
  <c r="D22" i="4"/>
  <c r="H55" i="6"/>
  <c r="G39" i="4"/>
  <c r="H146" i="6"/>
  <c r="D41" i="4"/>
  <c r="G29" i="4"/>
  <c r="H68" i="6"/>
  <c r="F64" i="4"/>
  <c r="E30" i="4"/>
  <c r="G56" i="4"/>
  <c r="H147" i="6"/>
  <c r="D51" i="4"/>
  <c r="H196" i="6"/>
  <c r="E31" i="4"/>
  <c r="H96" i="6"/>
  <c r="H212" i="6"/>
  <c r="F69" i="4"/>
  <c r="H126" i="6"/>
  <c r="H282" i="6"/>
  <c r="H206" i="6"/>
  <c r="H63" i="6"/>
  <c r="E49" i="4"/>
  <c r="H91" i="6"/>
  <c r="D33" i="4"/>
  <c r="E67" i="4"/>
  <c r="H201" i="6"/>
  <c r="H286" i="6"/>
  <c r="H190" i="6"/>
  <c r="H198" i="6"/>
  <c r="H142" i="6"/>
  <c r="H298" i="6"/>
  <c r="H175" i="6"/>
  <c r="H279" i="6"/>
  <c r="C43" i="13"/>
  <c r="E43" i="13" s="1"/>
  <c r="H128" i="6"/>
  <c r="H112" i="6"/>
  <c r="G23" i="4"/>
  <c r="E26" i="4"/>
  <c r="E64" i="4"/>
  <c r="H138" i="6"/>
  <c r="H171" i="6"/>
  <c r="H131" i="6"/>
  <c r="H31" i="6"/>
  <c r="G57" i="4"/>
  <c r="H154" i="6"/>
  <c r="H107" i="6"/>
  <c r="H188" i="6"/>
  <c r="D25" i="4"/>
  <c r="H224" i="6"/>
  <c r="H124" i="6"/>
  <c r="G60" i="4"/>
  <c r="H110" i="6"/>
  <c r="H297" i="6"/>
  <c r="G28" i="4"/>
  <c r="H164" i="6"/>
  <c r="F45" i="4"/>
  <c r="G24" i="4"/>
  <c r="F66" i="4"/>
  <c r="F27" i="4"/>
  <c r="F32" i="4"/>
  <c r="D32" i="4"/>
  <c r="H70" i="6"/>
  <c r="G67" i="4"/>
  <c r="E42" i="4"/>
  <c r="G59" i="4"/>
  <c r="F50" i="4"/>
  <c r="G62" i="4"/>
  <c r="H208" i="6"/>
  <c r="E39" i="4"/>
  <c r="H159" i="6"/>
  <c r="F23" i="4"/>
  <c r="H98" i="6"/>
  <c r="H151" i="6"/>
  <c r="H291" i="6"/>
  <c r="H217" i="6"/>
  <c r="H88" i="6"/>
  <c r="E52" i="4"/>
  <c r="H116" i="6"/>
  <c r="D35" i="4"/>
  <c r="E69" i="4"/>
  <c r="H237" i="6"/>
  <c r="H288" i="6"/>
  <c r="H203" i="6"/>
  <c r="H221" i="6"/>
  <c r="H155" i="6"/>
  <c r="H36" i="6"/>
  <c r="H187" i="6"/>
  <c r="P49" i="1"/>
  <c r="E14" i="13"/>
  <c r="K79" i="4"/>
  <c r="C79" i="4"/>
  <c r="H79" i="4"/>
  <c r="G79" i="4"/>
  <c r="J79" i="4"/>
  <c r="I79" i="4"/>
  <c r="F79" i="4"/>
  <c r="E79" i="4"/>
  <c r="D79" i="4"/>
  <c r="G19" i="8"/>
  <c r="F19" i="8" s="1"/>
  <c r="D22" i="8"/>
  <c r="I83" i="4"/>
  <c r="J83" i="4"/>
  <c r="G83" i="4"/>
  <c r="F83" i="4"/>
  <c r="H83" i="4"/>
  <c r="D83" i="4"/>
  <c r="C83" i="4"/>
  <c r="K83" i="4"/>
  <c r="E83" i="4"/>
  <c r="D14" i="8"/>
  <c r="K81" i="4"/>
  <c r="H81" i="4"/>
  <c r="F81" i="4"/>
  <c r="D81" i="4"/>
  <c r="E81" i="4"/>
  <c r="J81" i="4"/>
  <c r="C81" i="4"/>
  <c r="G81" i="4"/>
  <c r="I81" i="4"/>
  <c r="D8" i="8"/>
  <c r="M4" i="13"/>
  <c r="O4" i="13" s="1"/>
  <c r="C4" i="13"/>
  <c r="N17" i="1"/>
  <c r="M17" i="1"/>
  <c r="L17" i="1"/>
  <c r="D47" i="8"/>
  <c r="E47" i="8"/>
  <c r="F22" i="8"/>
  <c r="C47" i="8"/>
  <c r="E30" i="8"/>
  <c r="D30" i="8"/>
  <c r="C30" i="8"/>
  <c r="F5" i="8"/>
  <c r="D5" i="8"/>
  <c r="D31" i="8"/>
  <c r="E31" i="8"/>
  <c r="C31" i="8"/>
  <c r="F6" i="8"/>
  <c r="C5" i="8"/>
  <c r="G16" i="1"/>
  <c r="F16" i="1"/>
  <c r="C42" i="1"/>
  <c r="C71" i="1" s="1"/>
  <c r="E16" i="1"/>
  <c r="K38" i="1"/>
  <c r="J38" i="1"/>
  <c r="J67" i="1" s="1"/>
  <c r="M12" i="1"/>
  <c r="L12" i="1"/>
  <c r="N12" i="1"/>
  <c r="K44" i="1"/>
  <c r="J44" i="1"/>
  <c r="J73" i="1" s="1"/>
  <c r="G14" i="11"/>
  <c r="F14" i="11"/>
  <c r="H14" i="11"/>
  <c r="D30" i="11"/>
  <c r="E43" i="10"/>
  <c r="D5" i="11"/>
  <c r="G5" i="11"/>
  <c r="F5" i="11"/>
  <c r="H5" i="11" s="1"/>
  <c r="J49" i="1"/>
  <c r="J78" i="1" s="1"/>
  <c r="K49" i="1"/>
  <c r="M23" i="1"/>
  <c r="N23" i="1"/>
  <c r="L23" i="1"/>
  <c r="D7" i="8"/>
  <c r="M11" i="1"/>
  <c r="L11" i="1"/>
  <c r="N11" i="1"/>
  <c r="D16" i="10"/>
  <c r="G17" i="10"/>
  <c r="L24" i="1"/>
  <c r="M25" i="13"/>
  <c r="O25" i="13" s="1"/>
  <c r="C25" i="13"/>
  <c r="J37" i="1"/>
  <c r="J66" i="1" s="1"/>
  <c r="K53" i="1"/>
  <c r="J53" i="1"/>
  <c r="J82" i="1" s="1"/>
  <c r="N27" i="1"/>
  <c r="M27" i="1"/>
  <c r="L27" i="1"/>
  <c r="M24" i="1"/>
  <c r="E8" i="1"/>
  <c r="G8" i="1"/>
  <c r="F8" i="1"/>
  <c r="C34" i="1"/>
  <c r="C63" i="1" s="1"/>
  <c r="J52" i="1"/>
  <c r="J81" i="1" s="1"/>
  <c r="K52" i="1"/>
  <c r="M26" i="1"/>
  <c r="L26" i="1"/>
  <c r="N26" i="1"/>
  <c r="E20" i="13"/>
  <c r="C53" i="13"/>
  <c r="D53" i="13" s="1"/>
  <c r="G20" i="8"/>
  <c r="D20" i="8" s="1"/>
  <c r="M16" i="1"/>
  <c r="L16" i="1"/>
  <c r="N16" i="1"/>
  <c r="F17" i="11"/>
  <c r="D33" i="11"/>
  <c r="G17" i="11"/>
  <c r="H17" i="11"/>
  <c r="C6" i="8"/>
  <c r="D33" i="8"/>
  <c r="C33" i="8"/>
  <c r="E33" i="8"/>
  <c r="F8" i="8"/>
  <c r="C8" i="8"/>
  <c r="D16" i="8"/>
  <c r="K16" i="13"/>
  <c r="E16" i="13" s="1"/>
  <c r="J48" i="1"/>
  <c r="J77" i="1" s="1"/>
  <c r="K48" i="1"/>
  <c r="F23" i="8"/>
  <c r="C48" i="8"/>
  <c r="E48" i="8"/>
  <c r="D48" i="8"/>
  <c r="D7" i="11"/>
  <c r="G7" i="11"/>
  <c r="F7" i="11"/>
  <c r="H7" i="11" s="1"/>
  <c r="M47" i="13"/>
  <c r="O47" i="13" s="1"/>
  <c r="C47" i="13"/>
  <c r="D47" i="13" s="1"/>
  <c r="J43" i="1"/>
  <c r="J72" i="1" s="1"/>
  <c r="K43" i="1"/>
  <c r="G18" i="1"/>
  <c r="F18" i="1"/>
  <c r="E18" i="1"/>
  <c r="C44" i="1"/>
  <c r="C73" i="1" s="1"/>
  <c r="E9" i="13"/>
  <c r="D6" i="8"/>
  <c r="E11" i="13"/>
  <c r="G15" i="1"/>
  <c r="F15" i="1"/>
  <c r="E15" i="1"/>
  <c r="C41" i="1"/>
  <c r="C70" i="1" s="1"/>
  <c r="E32" i="8"/>
  <c r="D32" i="8"/>
  <c r="C32" i="8"/>
  <c r="F7" i="8"/>
  <c r="G13" i="1"/>
  <c r="E13" i="1"/>
  <c r="F13" i="1"/>
  <c r="C39" i="1"/>
  <c r="C68" i="1" s="1"/>
  <c r="F20" i="1"/>
  <c r="E20" i="1"/>
  <c r="G20" i="1"/>
  <c r="C46" i="1"/>
  <c r="C75" i="1" s="1"/>
  <c r="L15" i="1"/>
  <c r="N15" i="1"/>
  <c r="M15" i="1"/>
  <c r="E49" i="13"/>
  <c r="J54" i="1"/>
  <c r="J83" i="1" s="1"/>
  <c r="K54" i="1"/>
  <c r="M28" i="1"/>
  <c r="L28" i="1"/>
  <c r="N28" i="1"/>
  <c r="J33" i="1"/>
  <c r="J62" i="1" s="1"/>
  <c r="J85" i="1" s="1"/>
  <c r="J56" i="1" s="1"/>
  <c r="K33" i="1"/>
  <c r="K56" i="1" s="1"/>
  <c r="N7" i="1"/>
  <c r="M7" i="1"/>
  <c r="L7" i="1"/>
  <c r="D39" i="13"/>
  <c r="E39" i="13"/>
  <c r="E9" i="1"/>
  <c r="G9" i="1"/>
  <c r="F9" i="1"/>
  <c r="C35" i="1"/>
  <c r="C64" i="1" s="1"/>
  <c r="F16" i="8"/>
  <c r="E41" i="8"/>
  <c r="C41" i="8"/>
  <c r="D41" i="8"/>
  <c r="K34" i="1"/>
  <c r="J34" i="1"/>
  <c r="J63" i="1" s="1"/>
  <c r="L8" i="1"/>
  <c r="M8" i="1"/>
  <c r="N8" i="1"/>
  <c r="J50" i="1"/>
  <c r="J79" i="1" s="1"/>
  <c r="K50" i="1"/>
  <c r="C16" i="8"/>
  <c r="M6" i="13"/>
  <c r="O6" i="13" s="1"/>
  <c r="C6" i="13"/>
  <c r="D6" i="13" s="1"/>
  <c r="N18" i="1"/>
  <c r="M18" i="1"/>
  <c r="L18" i="1"/>
  <c r="C27" i="13"/>
  <c r="G12" i="8"/>
  <c r="D12" i="8" s="1"/>
  <c r="P42" i="1"/>
  <c r="J41" i="1"/>
  <c r="J70" i="1" s="1"/>
  <c r="K41" i="1"/>
  <c r="C7" i="8"/>
  <c r="E7" i="1"/>
  <c r="G7" i="1"/>
  <c r="F7" i="1"/>
  <c r="C33" i="1"/>
  <c r="C62" i="1" s="1"/>
  <c r="M29" i="13"/>
  <c r="O29" i="13" s="1"/>
  <c r="C29" i="13"/>
  <c r="D39" i="8"/>
  <c r="E39" i="8"/>
  <c r="C39" i="8"/>
  <c r="F14" i="8"/>
  <c r="D16" i="13" l="1"/>
  <c r="L8" i="22"/>
  <c r="M7" i="22"/>
  <c r="E61" i="13"/>
  <c r="D25" i="13"/>
  <c r="D29" i="13"/>
  <c r="D4" i="13"/>
  <c r="E31" i="13"/>
  <c r="F15" i="8"/>
  <c r="E40" i="8"/>
  <c r="D40" i="8"/>
  <c r="D46" i="8"/>
  <c r="D55" i="13"/>
  <c r="E35" i="13"/>
  <c r="D15" i="8"/>
  <c r="C34" i="8"/>
  <c r="C40" i="8"/>
  <c r="D21" i="8"/>
  <c r="E37" i="11"/>
  <c r="H21" i="11"/>
  <c r="E57" i="13"/>
  <c r="D35" i="8"/>
  <c r="D65" i="13"/>
  <c r="F10" i="8"/>
  <c r="E35" i="8"/>
  <c r="D18" i="11"/>
  <c r="F18" i="11" s="1"/>
  <c r="D10" i="8"/>
  <c r="E46" i="8"/>
  <c r="F9" i="8"/>
  <c r="G21" i="11"/>
  <c r="C21" i="8"/>
  <c r="C46" i="8"/>
  <c r="F21" i="11"/>
  <c r="E25" i="13"/>
  <c r="D44" i="8"/>
  <c r="C35" i="8"/>
  <c r="E34" i="8"/>
  <c r="D9" i="8"/>
  <c r="C49" i="8"/>
  <c r="E49" i="8"/>
  <c r="E3" i="6"/>
  <c r="C9" i="8"/>
  <c r="C19" i="8"/>
  <c r="D43" i="13"/>
  <c r="C44" i="8"/>
  <c r="E22" i="13"/>
  <c r="D24" i="8"/>
  <c r="D17" i="8"/>
  <c r="C42" i="8"/>
  <c r="E4" i="13"/>
  <c r="F17" i="8"/>
  <c r="D42" i="8"/>
  <c r="F24" i="8"/>
  <c r="E42" i="8"/>
  <c r="D49" i="8"/>
  <c r="E29" i="13"/>
  <c r="E6" i="13"/>
  <c r="E44" i="8"/>
  <c r="D19" i="8"/>
  <c r="M56" i="1"/>
  <c r="J2" i="1"/>
  <c r="C16" i="10"/>
  <c r="D17" i="10"/>
  <c r="F30" i="11"/>
  <c r="E30" i="11"/>
  <c r="C45" i="8"/>
  <c r="E45" i="8"/>
  <c r="F20" i="8"/>
  <c r="D45" i="8"/>
  <c r="C20" i="8"/>
  <c r="E33" i="11"/>
  <c r="F33" i="11"/>
  <c r="E47" i="13"/>
  <c r="C77" i="1"/>
  <c r="D27" i="13"/>
  <c r="E27" i="13"/>
  <c r="E53" i="13"/>
  <c r="E37" i="8"/>
  <c r="D37" i="8"/>
  <c r="F12" i="8"/>
  <c r="C37" i="8"/>
  <c r="C12" i="8"/>
  <c r="L9" i="22" l="1"/>
  <c r="M8" i="22"/>
  <c r="D13" i="11"/>
  <c r="G13" i="11" s="1"/>
  <c r="D34" i="11"/>
  <c r="F34" i="11" s="1"/>
  <c r="D22" i="11"/>
  <c r="G22" i="11" s="1"/>
  <c r="D16" i="11"/>
  <c r="H16" i="11" s="1"/>
  <c r="G18" i="11"/>
  <c r="H18" i="11"/>
  <c r="C17" i="10"/>
  <c r="B16" i="10"/>
  <c r="D48" i="1"/>
  <c r="C48" i="1"/>
  <c r="E2" i="1"/>
  <c r="L10" i="22" l="1"/>
  <c r="M9" i="22"/>
  <c r="E34" i="11"/>
  <c r="D29" i="11"/>
  <c r="E29" i="11" s="1"/>
  <c r="F13" i="11"/>
  <c r="H13" i="11"/>
  <c r="H22" i="11"/>
  <c r="F22" i="11"/>
  <c r="F16" i="11"/>
  <c r="D38" i="11"/>
  <c r="F38" i="11" s="1"/>
  <c r="D32" i="11"/>
  <c r="E32" i="11" s="1"/>
  <c r="G16" i="11"/>
  <c r="I2" i="1"/>
  <c r="J57" i="1"/>
  <c r="F2" i="1" s="1"/>
  <c r="K2" i="1" s="1"/>
  <c r="L2" i="1" s="1"/>
  <c r="D27" i="14"/>
  <c r="D31" i="14" s="1"/>
  <c r="C94" i="4"/>
  <c r="E48" i="1"/>
  <c r="L11" i="22" l="1"/>
  <c r="M10" i="22"/>
  <c r="F29" i="11"/>
  <c r="E38" i="11"/>
  <c r="F32" i="11"/>
  <c r="C111" i="4"/>
  <c r="C99" i="4"/>
  <c r="F99" i="4" s="1"/>
  <c r="I99" i="4" s="1"/>
  <c r="C106" i="4"/>
  <c r="F106" i="4" s="1"/>
  <c r="I106" i="4" s="1"/>
  <c r="C113" i="4"/>
  <c r="F113" i="4" s="1"/>
  <c r="I113" i="4" s="1"/>
  <c r="C101" i="4"/>
  <c r="F101" i="4" s="1"/>
  <c r="I101" i="4" s="1"/>
  <c r="C107" i="4"/>
  <c r="F107" i="4" s="1"/>
  <c r="I107" i="4" s="1"/>
  <c r="C114" i="4"/>
  <c r="F114" i="4" s="1"/>
  <c r="I114" i="4" s="1"/>
  <c r="C104" i="4"/>
  <c r="F104" i="4" s="1"/>
  <c r="I104" i="4" s="1"/>
  <c r="C110" i="4"/>
  <c r="F110" i="4" s="1"/>
  <c r="I110" i="4" s="1"/>
  <c r="C97" i="4"/>
  <c r="F97" i="4" s="1"/>
  <c r="I97" i="4" s="1"/>
  <c r="C100" i="4"/>
  <c r="F100" i="4" s="1"/>
  <c r="I100" i="4" s="1"/>
  <c r="C103" i="4"/>
  <c r="F103" i="4" s="1"/>
  <c r="I103" i="4" s="1"/>
  <c r="C112" i="4"/>
  <c r="F112" i="4" s="1"/>
  <c r="I112" i="4" s="1"/>
  <c r="C102" i="4"/>
  <c r="F102" i="4" s="1"/>
  <c r="I102" i="4" s="1"/>
  <c r="C98" i="4"/>
  <c r="F98" i="4" s="1"/>
  <c r="I98" i="4" s="1"/>
  <c r="C108" i="4"/>
  <c r="F108" i="4" s="1"/>
  <c r="I108" i="4" s="1"/>
  <c r="C95" i="4"/>
  <c r="F94" i="4" s="1"/>
  <c r="I94" i="4" s="1"/>
  <c r="C96" i="4"/>
  <c r="F96" i="4" s="1"/>
  <c r="I96" i="4" s="1"/>
  <c r="F111" i="4"/>
  <c r="I111" i="4" s="1"/>
  <c r="C109" i="4"/>
  <c r="F109" i="4" s="1"/>
  <c r="I109" i="4" s="1"/>
  <c r="C105" i="4"/>
  <c r="F105" i="4" s="1"/>
  <c r="I105" i="4" s="1"/>
  <c r="D33" i="14"/>
  <c r="D32" i="14"/>
  <c r="D2" i="1"/>
  <c r="M57" i="1"/>
  <c r="C2" i="1" s="1"/>
  <c r="L12" i="22" l="1"/>
  <c r="M11" i="22"/>
  <c r="F95" i="4"/>
  <c r="I95" i="4" s="1"/>
  <c r="C2" i="12"/>
  <c r="D25" i="8" s="1"/>
  <c r="H42" i="10"/>
  <c r="E2" i="12"/>
  <c r="C25" i="8" s="1"/>
  <c r="C42" i="10"/>
  <c r="L13" i="22" l="1"/>
  <c r="M12" i="22"/>
  <c r="L14" i="22" l="1"/>
  <c r="M13" i="22"/>
  <c r="L15" i="22" l="1"/>
  <c r="M14" i="22"/>
  <c r="L16" i="22" l="1"/>
  <c r="M15" i="22"/>
  <c r="L17" i="22" l="1"/>
  <c r="M16" i="22"/>
  <c r="L18" i="22" l="1"/>
  <c r="M17" i="22"/>
  <c r="L19" i="22" l="1"/>
  <c r="M18" i="22"/>
  <c r="L20" i="22" l="1"/>
  <c r="M19" i="22"/>
  <c r="L21" i="22" l="1"/>
  <c r="M20" i="22"/>
  <c r="L22" i="22" l="1"/>
  <c r="M21" i="22"/>
  <c r="L23" i="22" l="1"/>
  <c r="M22" i="22"/>
  <c r="L24" i="22" l="1"/>
  <c r="M23" i="22"/>
  <c r="L25" i="22" l="1"/>
  <c r="M25" i="22" s="1"/>
  <c r="M24"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6" authorId="0" shapeId="0" xr:uid="{00000000-0006-0000-0000-000001000000}">
      <text>
        <r>
          <rPr>
            <sz val="10"/>
            <color rgb="FF000000"/>
            <rFont val="Arial"/>
          </rPr>
          <t>This pulls your production/hour from User Buildings sheet.  This is identical to E4-E17 on that sheet.</t>
        </r>
      </text>
    </comment>
    <comment ref="D6" authorId="0" shapeId="0" xr:uid="{00000000-0006-0000-0000-000002000000}">
      <text>
        <r>
          <rPr>
            <sz val="10"/>
            <color rgb="FF000000"/>
            <rFont val="Arial"/>
          </rPr>
          <t>This pulls the data from the Calc sheet, which pulls the data from the Factory Statics and User Buildings sheet to find out exactly how much of each resource you need if you were to run your factories at 100% capacity.</t>
        </r>
      </text>
    </comment>
    <comment ref="E6" authorId="0" shapeId="0" xr:uid="{00000000-0006-0000-0000-000003000000}">
      <text>
        <r>
          <rPr>
            <sz val="10"/>
            <color rgb="FF000000"/>
            <rFont val="Arial"/>
          </rPr>
          <t>100% means your mines are supplying exactly what your factories require.  Higher means that your mines are producing less than ideal, lower is more than ideal.  BUYALL means that you are producing no resources of that type.</t>
        </r>
      </text>
    </comment>
    <comment ref="F6" authorId="0" shapeId="0" xr:uid="{00000000-0006-0000-0000-000004000000}">
      <text>
        <r>
          <rPr>
            <sz val="10"/>
            <color rgb="FF000000"/>
            <rFont val="Arial"/>
          </rPr>
          <t>100% means your mines are supplying exactly what your factories require.  Higher means that your mines are producing less than ideal, lower is more than ideal.  BUYALL means that you are producing no resources of that type.</t>
        </r>
      </text>
    </comment>
    <comment ref="G6" authorId="0" shapeId="0" xr:uid="{00000000-0006-0000-0000-000005000000}">
      <text>
        <r>
          <rPr>
            <sz val="10"/>
            <color rgb="FF000000"/>
            <rFont val="Arial"/>
          </rPr>
          <t xml:space="preserve">Necessary warehouse level for 24 hours of production.  This is either reflective of the w/h level you need to start 24 hours of production, or to hold 24 hours of production, whichever is greater. </t>
        </r>
      </text>
    </comment>
    <comment ref="J6" authorId="0" shapeId="0" xr:uid="{00000000-0006-0000-0000-000006000000}">
      <text>
        <r>
          <rPr>
            <sz val="10"/>
            <color rgb="FF000000"/>
            <rFont val="Arial"/>
          </rPr>
          <t>This pulls from the Calc sheet to determine how much your factories are producing per hour, assuming you are running them.</t>
        </r>
      </text>
    </comment>
    <comment ref="C32" authorId="0" shapeId="0" xr:uid="{00000000-0006-0000-0000-000007000000}">
      <text>
        <r>
          <rPr>
            <sz val="10"/>
            <color rgb="FF000000"/>
            <rFont val="Arial"/>
          </rPr>
          <t>This is the hourly production adjusted for factory usage.  Negative numbers mean you need to spend that amount to keep the factories running constantly.</t>
        </r>
      </text>
    </comment>
    <comment ref="D32" authorId="0" shapeId="0" xr:uid="{00000000-0006-0000-0000-000008000000}">
      <text>
        <r>
          <rPr>
            <sz val="10"/>
            <color rgb="FF000000"/>
            <rFont val="Arial"/>
          </rPr>
          <t>This shows how much you would get if you were to sell an hour's worth to the current highest bid. Updated every 15 minutes, pulled from Markets tab, which pulls from official page.</t>
        </r>
      </text>
    </comment>
    <comment ref="E32" authorId="0" shapeId="0" xr:uid="{00000000-0006-0000-0000-000009000000}">
      <text>
        <r>
          <rPr>
            <sz val="10"/>
            <color rgb="FF000000"/>
            <rFont val="Arial"/>
          </rPr>
          <t>This tells you the unit price per resource according to the current bids.</t>
        </r>
      </text>
    </comment>
    <comment ref="M32" authorId="0" shapeId="0" xr:uid="{00000000-0006-0000-0000-00000A000000}">
      <text>
        <r>
          <rPr>
            <sz val="10"/>
            <color rgb="FF000000"/>
            <rFont val="Arial"/>
          </rPr>
          <t>Ratio of income to cost.  The higher the better.  Less than 1 means you're losing money.</t>
        </r>
      </text>
    </comment>
    <comment ref="N32" authorId="0" shapeId="0" xr:uid="{00000000-0006-0000-0000-00000B000000}">
      <text>
        <r>
          <rPr>
            <sz val="10"/>
            <color rgb="FF000000"/>
            <rFont val="Arial"/>
          </rPr>
          <t xml:space="preserve">Cost subtracted from individual value. </t>
        </r>
      </text>
    </comment>
    <comment ref="P32" authorId="0" shapeId="0" xr:uid="{00000000-0006-0000-0000-00000C000000}">
      <text>
        <r>
          <rPr>
            <sz val="10"/>
            <color rgb="FF000000"/>
            <rFont val="Arial"/>
          </rPr>
          <t>This is how much profit you're making from each factory per hour.</t>
        </r>
      </text>
    </comment>
    <comment ref="E47" authorId="0" shapeId="0" xr:uid="{00000000-0006-0000-0000-00000D000000}">
      <text>
        <r>
          <rPr>
            <sz val="10"/>
            <color rgb="FF000000"/>
            <rFont val="Arial"/>
          </rPr>
          <t>Total value of one day of mine production at 100%.  First value is assuming no factories are running, second is with factories running.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Jan Kai Marek</author>
    <author/>
  </authors>
  <commentList>
    <comment ref="C2" authorId="0" shapeId="0" xr:uid="{758C37C9-590E-4076-A120-128DEC0CDF3E}">
      <text>
        <r>
          <rPr>
            <sz val="9"/>
            <color indexed="81"/>
            <rFont val="Tahoma"/>
            <charset val="1"/>
          </rPr>
          <t>0 = updates off
1 = updates on</t>
        </r>
      </text>
    </comment>
    <comment ref="E4" authorId="1" shapeId="0" xr:uid="{00000000-0006-0000-0100-000001000000}">
      <text>
        <r>
          <rPr>
            <sz val="10"/>
            <color rgb="FF000000"/>
            <rFont val="Arial"/>
          </rPr>
          <t>How many mines of each type you have.</t>
        </r>
      </text>
    </comment>
    <comment ref="G4" authorId="1" shapeId="0" xr:uid="{00000000-0006-0000-0100-000002000000}">
      <text>
        <r>
          <rPr>
            <sz val="10"/>
            <color rgb="FF000000"/>
            <rFont val="Arial"/>
          </rPr>
          <t>This calculates totals based on how often you repair your mines.</t>
        </r>
      </text>
    </comment>
    <comment ref="H4" authorId="1" shapeId="0" xr:uid="{00000000-0006-0000-0100-000003000000}">
      <text>
        <r>
          <rPr>
            <sz val="10"/>
            <color rgb="FF000000"/>
            <rFont val="Arial"/>
          </rPr>
          <t>In the mine overview tab in the app, look at each resource and type in the larger number for m3/hr.  The smaller number is adjusted for condition, and is currently not calculated in my sheet.</t>
        </r>
      </text>
    </comment>
    <comment ref="I4" authorId="1" shapeId="0" xr:uid="{00000000-0006-0000-0100-000004000000}">
      <text>
        <r>
          <rPr>
            <sz val="10"/>
            <color rgb="FF000000"/>
            <rFont val="Arial"/>
          </rPr>
          <t>In the mine overview tab in the app, look at each resource and type in the larger number for m3/hr.  The smaller number is adjusted for condition, and is currently not calculated in my sheet.</t>
        </r>
      </text>
    </comment>
    <comment ref="L4" authorId="1" shapeId="0" xr:uid="{00000000-0006-0000-0100-000005000000}">
      <text>
        <r>
          <rPr>
            <sz val="10"/>
            <color rgb="FF000000"/>
            <rFont val="Arial"/>
          </rPr>
          <t xml:space="preserve">This is used for calculation.  It's listed as 0 if you say you aren't using that factory in the K column.  That way the supply chain tab will not calculate that factory's use or gain in the totals. </t>
        </r>
      </text>
    </comment>
    <comment ref="P4" authorId="1" shapeId="0" xr:uid="{00000000-0006-0000-0100-000006000000}">
      <text>
        <r>
          <rPr>
            <sz val="10"/>
            <color rgb="FF000000"/>
            <rFont val="Arial"/>
          </rPr>
          <t xml:space="preserve">If you are not running the factory, input "No" without the quotes.  If you are "Yes" without the quotes.
</t>
        </r>
      </text>
    </comment>
    <comment ref="B23" authorId="1" shapeId="0" xr:uid="{00000000-0006-0000-0100-000007000000}">
      <text>
        <r>
          <rPr>
            <sz val="10"/>
            <color rgb="FF000000"/>
            <rFont val="Arial"/>
          </rPr>
          <t>Select "Repair all mines (experts)" and record that cost.</t>
        </r>
      </text>
    </comment>
    <comment ref="C23" authorId="1" shapeId="0" xr:uid="{00000000-0006-0000-0100-000008000000}">
      <text>
        <r>
          <rPr>
            <sz val="10"/>
            <color rgb="FF000000"/>
            <rFont val="Arial"/>
          </rPr>
          <t>Auto filled based on number of mines.  How much it would cost to purchase maintenance kits to repair all mines.</t>
        </r>
      </text>
    </comment>
    <comment ref="D23" authorId="1" shapeId="0" xr:uid="{00000000-0006-0000-0100-000009000000}">
      <text>
        <r>
          <rPr>
            <sz val="10"/>
            <color rgb="FF000000"/>
            <rFont val="Arial"/>
          </rPr>
          <t>This is exactly 1/3 of expert cost.  This is how much you would spend if you were to repair all mines individually.  Note that this number can actually be smaller if you repair your more expensive mines with maintenance kits.</t>
        </r>
      </text>
    </comment>
    <comment ref="E23" authorId="1" shapeId="0" xr:uid="{00000000-0006-0000-0100-00000A000000}">
      <text>
        <r>
          <rPr>
            <sz val="10"/>
            <color rgb="FF000000"/>
            <rFont val="Arial"/>
          </rPr>
          <t>How many times per day you're repairing mines.  Input a fraction for less than one day.  .5 for every other day. .33 for every three days. .25 for every four days, and so on.</t>
        </r>
      </text>
    </comment>
    <comment ref="F23" authorId="1" shapeId="0" xr:uid="{00000000-0006-0000-0100-00000B000000}">
      <text>
        <r>
          <rPr>
            <sz val="10"/>
            <color rgb="FF000000"/>
            <rFont val="Arial"/>
          </rPr>
          <t>How many times per day you're repairing mines.  Input a fraction for less than one day.  .5 for every other day. .33 for every three days. .25 for every four days, and so on.</t>
        </r>
      </text>
    </comment>
    <comment ref="D24" authorId="1" shapeId="0" xr:uid="{00000000-0006-0000-0100-00000C000000}">
      <text>
        <r>
          <rPr>
            <sz val="10"/>
            <color rgb="FF000000"/>
            <rFont val="Arial"/>
          </rPr>
          <t>This number is actually slightly over-stated.  When individually repairing mines, using a MK when the expert cost is higher than MK cost will result in a lower overall cost.</t>
        </r>
      </text>
    </comment>
    <comment ref="B25" authorId="1" shapeId="0" xr:uid="{00000000-0006-0000-0100-00000D000000}">
      <text>
        <r>
          <rPr>
            <sz val="10"/>
            <color rgb="FF000000"/>
            <rFont val="Arial"/>
          </rPr>
          <t>Type in "Yes" in this row under the maintenance type that you are using.  Type in "No" in the other ones.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4" authorId="0" shapeId="0" xr:uid="{00000000-0006-0000-0300-000001000000}">
      <text>
        <r>
          <rPr>
            <sz val="10"/>
            <color rgb="FF000000"/>
            <rFont val="Arial"/>
          </rPr>
          <t>How much in cash value a mine produces hourly at 100% quality.</t>
        </r>
      </text>
    </comment>
    <comment ref="D4" authorId="0" shapeId="0" xr:uid="{00000000-0006-0000-0300-000002000000}">
      <text>
        <r>
          <rPr>
            <sz val="10"/>
            <color rgb="FF000000"/>
            <rFont val="Arial"/>
          </rPr>
          <t xml:space="preserve">ROI, or Return of Investment at whichever quality is indicated by the header.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00000000-0006-0000-0500-000001000000}">
      <text>
        <r>
          <rPr>
            <sz val="10"/>
            <color rgb="FF000000"/>
            <rFont val="Arial"/>
          </rPr>
          <t>Enter the amount of mines to tech in the cell to the right</t>
        </r>
      </text>
    </comment>
    <comment ref="G2" authorId="0" shapeId="0" xr:uid="{00000000-0006-0000-0500-000002000000}">
      <text>
        <r>
          <rPr>
            <sz val="10"/>
            <color rgb="FF000000"/>
            <rFont val="Arial"/>
          </rPr>
          <t>Not including TU4.</t>
        </r>
      </text>
    </comment>
    <comment ref="H2" authorId="0" shapeId="0" xr:uid="{00000000-0006-0000-0500-000003000000}">
      <text>
        <r>
          <rPr>
            <sz val="10"/>
            <color rgb="FF000000"/>
            <rFont val="Arial"/>
          </rPr>
          <t>Cash value of the combo subtracted by the best value non-tu4 combo divided by the number of tu4 in the combo.  This represents how much a tu4 is worth in savings.</t>
        </r>
      </text>
    </comment>
    <comment ref="J2" authorId="0" shapeId="0" xr:uid="{00000000-0006-0000-0500-000004000000}">
      <text>
        <r>
          <rPr>
            <sz val="10"/>
            <color rgb="FF000000"/>
            <rFont val="Arial"/>
          </rPr>
          <t>Enter your TU stock at hand in the cells below.</t>
        </r>
      </text>
    </comment>
    <comment ref="E3" authorId="0" shapeId="0" xr:uid="{00000000-0006-0000-0500-000005000000}">
      <text>
        <r>
          <rPr>
            <sz val="10"/>
            <color rgb="FF000000"/>
            <rFont val="Arial"/>
          </rPr>
          <t>Based on how the difference between the minimum cost without TU4 and the best cost with TU4, accounting for number of TU4.</t>
        </r>
      </text>
    </comment>
    <comment ref="N4" authorId="0" shapeId="0" xr:uid="{00000000-0006-0000-0500-000006000000}">
      <text>
        <r>
          <rPr>
            <sz val="10"/>
            <color rgb="FF000000"/>
            <rFont val="Arial"/>
          </rPr>
          <t>Number is how many mines you can tech with that specific combination.  Green highlight match the number you need to tech.</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00000000-0006-0000-0700-000001000000}">
      <text>
        <r>
          <rPr>
            <sz val="10"/>
            <color rgb="FF000000"/>
            <rFont val="Arial"/>
          </rPr>
          <t>How many days until the money you put into the factory will be paid back.</t>
        </r>
      </text>
    </comment>
    <comment ref="D2" authorId="0" shapeId="0" xr:uid="{00000000-0006-0000-0700-000002000000}">
      <text>
        <r>
          <rPr>
            <sz val="10"/>
            <color rgb="FF000000"/>
            <rFont val="Arial"/>
          </rPr>
          <t>How many times you'd have to upgrade to get a total increase of 100mn/hr.</t>
        </r>
      </text>
    </comment>
    <comment ref="E2" authorId="0" shapeId="0" xr:uid="{00000000-0006-0000-0700-000003000000}">
      <text>
        <r>
          <rPr>
            <sz val="10"/>
            <color rgb="FF000000"/>
            <rFont val="Arial"/>
          </rPr>
          <t>A balanced approach, giving both equal weight.  The number is an average of the two and means nothing except to compare with other factories' averages.</t>
        </r>
      </text>
    </comment>
    <comment ref="F2" authorId="0" shapeId="0" xr:uid="{00000000-0006-0000-0700-000004000000}">
      <text>
        <r>
          <rPr>
            <sz val="10"/>
            <color rgb="FF000000"/>
            <rFont val="Arial"/>
          </rPr>
          <t>How much increase in resource value/hr you'll get with each upgrade.</t>
        </r>
      </text>
    </comment>
    <comment ref="G2" authorId="0" shapeId="0" xr:uid="{00000000-0006-0000-0700-000005000000}">
      <text>
        <r>
          <rPr>
            <sz val="10"/>
            <color rgb="FF000000"/>
            <rFont val="Arial"/>
          </rPr>
          <t>How much increase in resource value/hr you'll get with each upgrade.</t>
        </r>
      </text>
    </comment>
    <comment ref="H2" authorId="0" shapeId="0" xr:uid="{00000000-0006-0000-0700-000006000000}">
      <text>
        <r>
          <rPr>
            <sz val="10"/>
            <color rgb="FF000000"/>
            <rFont val="Arial"/>
          </rPr>
          <t>How much it will cost to buy all of the resources required for upgrade, plus the cash required for upgrade.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E2" authorId="0" shapeId="0" xr:uid="{00000000-0006-0000-0900-000001000000}">
      <text>
        <r>
          <rPr>
            <sz val="10"/>
            <color rgb="FF000000"/>
            <rFont val="Arial"/>
          </rPr>
          <t>How many of each resource you need to upgrade to this hq.</t>
        </r>
      </text>
    </comment>
    <comment ref="C37" authorId="0" shapeId="0" xr:uid="{00000000-0006-0000-0900-000002000000}">
      <text>
        <r>
          <rPr>
            <sz val="10"/>
            <color rgb="FF000000"/>
            <rFont val="Arial"/>
          </rPr>
          <t>Enter the amount of each resource you have added to the HQ expansion</t>
        </r>
      </text>
    </comment>
    <comment ref="H37" authorId="0" shapeId="0" xr:uid="{00000000-0006-0000-0900-000003000000}">
      <text>
        <r>
          <rPr>
            <sz val="10"/>
            <color rgb="FF000000"/>
            <rFont val="Arial"/>
          </rPr>
          <t>Enter the amount of each resource you have added to the HQ expansion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K12" authorId="0" shapeId="0" xr:uid="{00000000-0006-0000-0A00-000001000000}">
      <text>
        <r>
          <rPr>
            <sz val="10"/>
            <color rgb="FF000000"/>
            <rFont val="Arial"/>
          </rPr>
          <t>Must be a multiple of Quantity Reqd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C24" authorId="0" shapeId="0" xr:uid="{00000000-0006-0000-0D00-000001000000}">
      <text>
        <r>
          <rPr>
            <sz val="10"/>
            <color rgb="FF000000"/>
            <rFont val="Arial"/>
          </rPr>
          <t xml:space="preserve">Includes current market bids.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EF853D-3246-4B44-830C-D073C7B2AC0A}" name="Dotaz – ID-List" description="Připojení k dotazu produktu ID-List v sešitě" type="100" refreshedVersion="8" minRefreshableVersion="5">
    <extLst>
      <ext xmlns:x15="http://schemas.microsoft.com/office/spreadsheetml/2010/11/main" uri="{DE250136-89BD-433C-8126-D09CA5730AF9}">
        <x15:connection id="24cedce6-69e5-47c3-898c-15bb23f7f32d"/>
      </ext>
    </extLst>
  </connection>
  <connection id="2" xr16:uid="{53B95918-5526-452C-BD64-4A6DF9BB90F8}" name="Dotaz – Item production base data" description="Připojení k dotazu produktu Item production base data v sešitě" type="100" refreshedVersion="8" minRefreshableVersion="5">
    <extLst>
      <ext xmlns:x15="http://schemas.microsoft.com/office/spreadsheetml/2010/11/main" uri="{DE250136-89BD-433C-8126-D09CA5730AF9}">
        <x15:connection id="536ef404-96de-4ee6-bdbd-b1836a06c59f"/>
      </ext>
    </extLst>
  </connection>
  <connection id="3" xr16:uid="{62B726D0-774C-46BE-9389-B713F0CAD4C0}" name="Dotaz – Market rates" description="Připojení k dotazu produktu Market rates v sešitě" type="100" refreshedVersion="8" minRefreshableVersion="5">
    <extLst>
      <ext xmlns:x15="http://schemas.microsoft.com/office/spreadsheetml/2010/11/main" uri="{DE250136-89BD-433C-8126-D09CA5730AF9}">
        <x15:connection id="f6124aa7-4d34-473b-a699-2621829bc044"/>
      </ext>
    </extLst>
  </connection>
  <connection id="4" xr16:uid="{7893B2B1-16C0-4919-AD06-283E49F273AE}" name="Dotaz – Mission list" description="Připojení k dotazu produktu Mission list v sešitě" type="100" refreshedVersion="8" minRefreshableVersion="5">
    <extLst>
      <ext xmlns:x15="http://schemas.microsoft.com/office/spreadsheetml/2010/11/main" uri="{DE250136-89BD-433C-8126-D09CA5730AF9}">
        <x15:connection id="fc851bb3-0081-4275-8b81-18e579ae970b"/>
      </ext>
    </extLst>
  </connection>
  <connection id="5" xr16:uid="{1EEE06A2-DD55-4C07-BA66-D6D38EC9F859}" name="Dotaz – Your factories" description="Připojení k dotazu produktu Your factories v sešitě" type="100" refreshedVersion="8" minRefreshableVersion="5">
    <extLst>
      <ext xmlns:x15="http://schemas.microsoft.com/office/spreadsheetml/2010/11/main" uri="{DE250136-89BD-433C-8126-D09CA5730AF9}">
        <x15:connection id="3c98a026-b7de-445a-bf65-0a519bebcd0c"/>
      </ext>
    </extLst>
  </connection>
  <connection id="6" xr16:uid="{0B596E4C-7B24-4922-91AD-7BE046E799E8}" name="Dotaz – Your mines" description="Připojení k dotazu produktu Your mines v sešitě" type="100" refreshedVersion="8" minRefreshableVersion="5">
    <extLst>
      <ext xmlns:x15="http://schemas.microsoft.com/office/spreadsheetml/2010/11/main" uri="{DE250136-89BD-433C-8126-D09CA5730AF9}">
        <x15:connection id="06aa4a45-fef0-479f-bc22-8b1c4ae4a6c4"/>
      </ext>
    </extLst>
  </connection>
  <connection id="7" xr16:uid="{07867262-0542-4CA5-A414-548AFA9E5D0A}" name="Dotaz – Your specialbuildings" description="Připojení k dotazu produktu Your specialbuildings v sešitě" type="100" refreshedVersion="8" minRefreshableVersion="5">
    <extLst>
      <ext xmlns:x15="http://schemas.microsoft.com/office/spreadsheetml/2010/11/main" uri="{DE250136-89BD-433C-8126-D09CA5730AF9}">
        <x15:connection id="2413a795-afb5-4999-aa23-680d327a74b8"/>
      </ext>
    </extLst>
  </connection>
  <connection id="8" xr16:uid="{2811BBBA-977A-46E7-95E2-F546FB14C813}" name="Dotaz – Your warehouses incl credits" description="Připojení k dotazu produktu Your warehouses incl credits v sešitě" type="100" refreshedVersion="8" minRefreshableVersion="5" background="1" saveData="1">
    <extLst>
      <ext xmlns:x15="http://schemas.microsoft.com/office/spreadsheetml/2010/11/main" uri="{DE250136-89BD-433C-8126-D09CA5730AF9}">
        <x15:connection id="35cc9973-fa08-4c7a-b670-5fbbad322ac1"/>
      </ext>
    </extLst>
  </connection>
  <connection id="9" xr16:uid="{C49D4D52-6A62-4DD3-8BBC-5503506D2042}" keepAlive="1" name="ModelConnection_ExternalData_1" description="Datový Model" type="5" refreshedVersion="8" minRefreshableVersion="5" saveData="1">
    <dbPr connection="Data Model Connection" command="Your factories" commandType="3"/>
    <extLst>
      <ext xmlns:x15="http://schemas.microsoft.com/office/spreadsheetml/2010/11/main" uri="{DE250136-89BD-433C-8126-D09CA5730AF9}">
        <x15:connection id="" model="1"/>
      </ext>
    </extLst>
  </connection>
  <connection id="10" xr16:uid="{87A0D132-B2AE-4024-BACB-60103EFA3ABE}" keepAlive="1" name="ModelConnection_ExternalData_2" description="Datový Model" type="5" refreshedVersion="8" minRefreshableVersion="5" saveData="1">
    <dbPr connection="Data Model Connection" command="Your warehouses incl credits" commandType="3"/>
    <extLst>
      <ext xmlns:x15="http://schemas.microsoft.com/office/spreadsheetml/2010/11/main" uri="{DE250136-89BD-433C-8126-D09CA5730AF9}">
        <x15:connection id="" model="1"/>
      </ext>
    </extLst>
  </connection>
  <connection id="11" xr16:uid="{271F8127-763F-4D4B-B57E-D599FC67BF4F}" keepAlive="1" name="ModelConnection_ExternalData_3" description="Datový Model" type="5" refreshedVersion="8" minRefreshableVersion="5" saveData="1">
    <dbPr connection="Data Model Connection" command="Your specialbuildings" commandType="3"/>
    <extLst>
      <ext xmlns:x15="http://schemas.microsoft.com/office/spreadsheetml/2010/11/main" uri="{DE250136-89BD-433C-8126-D09CA5730AF9}">
        <x15:connection id="" model="1"/>
      </ext>
    </extLst>
  </connection>
  <connection id="12" xr16:uid="{32DA57BA-43D3-4456-A057-A0A9EA516ABF}" keepAlive="1" name="ModelConnection_ExternalData_4" description="Datový Model" type="5" refreshedVersion="8" minRefreshableVersion="5" saveData="1">
    <dbPr connection="Data Model Connection" command="ID-List" commandType="3"/>
    <extLst>
      <ext xmlns:x15="http://schemas.microsoft.com/office/spreadsheetml/2010/11/main" uri="{DE250136-89BD-433C-8126-D09CA5730AF9}">
        <x15:connection id="" model="1"/>
      </ext>
    </extLst>
  </connection>
  <connection id="13" xr16:uid="{13E284E9-D51B-41AF-8650-D7B7277EF9B4}" keepAlive="1" name="ModelConnection_ExternalData_5" description="Datový Model" type="5" refreshedVersion="8" minRefreshableVersion="5" saveData="1">
    <dbPr connection="Data Model Connection" command="Mission list" commandType="3"/>
    <extLst>
      <ext xmlns:x15="http://schemas.microsoft.com/office/spreadsheetml/2010/11/main" uri="{DE250136-89BD-433C-8126-D09CA5730AF9}">
        <x15:connection id="" model="1"/>
      </ext>
    </extLst>
  </connection>
  <connection id="14" xr16:uid="{8F750AFC-0D4E-4E52-9933-BA77560AB186}" keepAlive="1" name="ModelConnection_ExternalData_6" description="Datový Model" type="5" refreshedVersion="8" minRefreshableVersion="5" saveData="1">
    <dbPr connection="Data Model Connection" command="Item production base data" commandType="3"/>
    <extLst>
      <ext xmlns:x15="http://schemas.microsoft.com/office/spreadsheetml/2010/11/main" uri="{DE250136-89BD-433C-8126-D09CA5730AF9}">
        <x15:connection id="" model="1"/>
      </ext>
    </extLst>
  </connection>
  <connection id="15" xr16:uid="{7FF4A3AB-0E39-4712-B36D-0DB598C3134F}" keepAlive="1" name="ModelConnection_ExternalData_7" description="Datový Model" type="5" refreshedVersion="8" minRefreshableVersion="5" saveData="1">
    <dbPr connection="Data Model Connection" command="Your mines" commandType="3"/>
    <extLst>
      <ext xmlns:x15="http://schemas.microsoft.com/office/spreadsheetml/2010/11/main" uri="{DE250136-89BD-433C-8126-D09CA5730AF9}">
        <x15:connection id="" model="1"/>
      </ext>
    </extLst>
  </connection>
  <connection id="16" xr16:uid="{C4698280-BF46-4684-8A29-A7B92EB1F54A}" keepAlive="1" name="ModelConnection_ExternalData_8" description="Datový Model" type="5" refreshedVersion="8" minRefreshableVersion="5" saveData="1">
    <dbPr connection="Data Model Connection" command="Market rates" commandType="3"/>
    <extLst>
      <ext xmlns:x15="http://schemas.microsoft.com/office/spreadsheetml/2010/11/main" uri="{DE250136-89BD-433C-8126-D09CA5730AF9}">
        <x15:connection id="" model="1"/>
      </ext>
    </extLst>
  </connection>
  <connection id="17" xr16:uid="{524842CA-C2D6-4FBA-998C-7FECBF4F1139}" keepAlive="1" name="ThisWorkbookDataModel" description="Datový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<sst xmlns="http://schemas.openxmlformats.org/spreadsheetml/2006/main" count="4801" uniqueCount="1584">
  <si>
    <t>Profit Totals</t>
  </si>
  <si>
    <t>Daily All</t>
  </si>
  <si>
    <t>Daily Mine</t>
  </si>
  <si>
    <t>Daily Factory</t>
  </si>
  <si>
    <t>Hourly All</t>
  </si>
  <si>
    <t>Hourly Mine</t>
  </si>
  <si>
    <t>Hourly Factory</t>
  </si>
  <si>
    <t>Minute All</t>
  </si>
  <si>
    <t>Second All</t>
  </si>
  <si>
    <t>Adj For Use</t>
  </si>
  <si>
    <t>Biggest shortages - Production</t>
  </si>
  <si>
    <t>Resource</t>
  </si>
  <si>
    <t>Avg production/hour</t>
  </si>
  <si>
    <t>Required/hour</t>
  </si>
  <si>
    <t>Ratio @100% maint</t>
  </si>
  <si>
    <t>Daily Purchase Req</t>
  </si>
  <si>
    <t>WH LV</t>
  </si>
  <si>
    <t>Product</t>
  </si>
  <si>
    <t>Produce_Hr</t>
  </si>
  <si>
    <t>Req_Hr</t>
  </si>
  <si>
    <t>Ratio @100% Use</t>
  </si>
  <si>
    <t>Clay</t>
  </si>
  <si>
    <t>Limestone</t>
  </si>
  <si>
    <t>Gravel</t>
  </si>
  <si>
    <t>Coal</t>
  </si>
  <si>
    <t>Iron Ore</t>
  </si>
  <si>
    <t>Crude Oil</t>
  </si>
  <si>
    <t>Quartz Sand</t>
  </si>
  <si>
    <t>Chalcopyrite</t>
  </si>
  <si>
    <t>Bauxite</t>
  </si>
  <si>
    <t>Lithium Ore</t>
  </si>
  <si>
    <t>Ilmenite</t>
  </si>
  <si>
    <t>Silver Ore</t>
  </si>
  <si>
    <t>Gold Ore</t>
  </si>
  <si>
    <t>Rough Diamonds</t>
  </si>
  <si>
    <t>Trucks</t>
  </si>
  <si>
    <t>Profit centers</t>
  </si>
  <si>
    <t>Value at hand</t>
  </si>
  <si>
    <t>Adj Value/hr</t>
  </si>
  <si>
    <t>Value/hr</t>
  </si>
  <si>
    <t>Individ VL</t>
  </si>
  <si>
    <t>Profit Ratio</t>
  </si>
  <si>
    <t>Actual Profit</t>
  </si>
  <si>
    <t>Profit/hr</t>
  </si>
  <si>
    <t>Bricks</t>
  </si>
  <si>
    <t>Concrete</t>
  </si>
  <si>
    <t>Fertilizer</t>
  </si>
  <si>
    <t>Steel</t>
  </si>
  <si>
    <t>Fossil fuel</t>
  </si>
  <si>
    <t>Glass</t>
  </si>
  <si>
    <t>Copper</t>
  </si>
  <si>
    <t>Insecticides</t>
  </si>
  <si>
    <t>Aluminium</t>
  </si>
  <si>
    <t>Plastics</t>
  </si>
  <si>
    <t>Lithium</t>
  </si>
  <si>
    <t>Batteries</t>
  </si>
  <si>
    <t>Weapons</t>
  </si>
  <si>
    <t>Silicon</t>
  </si>
  <si>
    <t>Total</t>
  </si>
  <si>
    <t>Adj Value/hr (+TC)</t>
  </si>
  <si>
    <t>Value/day</t>
  </si>
  <si>
    <t>Electronics</t>
  </si>
  <si>
    <t>All Mines</t>
  </si>
  <si>
    <t>Titanium</t>
  </si>
  <si>
    <t>Medical technology</t>
  </si>
  <si>
    <t>Silver</t>
  </si>
  <si>
    <t>Gold</t>
  </si>
  <si>
    <t>Jewellery</t>
  </si>
  <si>
    <t>Scan drones</t>
  </si>
  <si>
    <t>Average VL</t>
  </si>
  <si>
    <t>Adj Value/day</t>
  </si>
  <si>
    <t>All Factories</t>
  </si>
  <si>
    <t>Total All</t>
  </si>
  <si>
    <t>Transport costs</t>
  </si>
  <si>
    <t>Transport cost/hr</t>
  </si>
  <si>
    <t>Fill the blue highlighted areas with your current stats.</t>
  </si>
  <si>
    <t>Warehouse level is optional.  To leave this out of calculations, put it all to zero.</t>
  </si>
  <si>
    <t>API Toggle:</t>
  </si>
  <si>
    <t>API Credits Left:</t>
  </si>
  <si>
    <t>API Key:</t>
  </si>
  <si>
    <t>Mines</t>
  </si>
  <si>
    <t>fill from mine overview</t>
  </si>
  <si>
    <t>Factories</t>
  </si>
  <si>
    <t>Buildings</t>
  </si>
  <si>
    <t>HQ</t>
  </si>
  <si>
    <t>Warehouse</t>
  </si>
  <si>
    <t>Mine name</t>
  </si>
  <si>
    <t>Number:</t>
  </si>
  <si>
    <t>Manual</t>
  </si>
  <si>
    <t>API</t>
  </si>
  <si>
    <t>Average Produce</t>
  </si>
  <si>
    <t>Max Production</t>
  </si>
  <si>
    <t>Max from API</t>
  </si>
  <si>
    <t>Name</t>
  </si>
  <si>
    <t>Use Lvl</t>
  </si>
  <si>
    <t>Actual Lvl</t>
  </si>
  <si>
    <t>Manual Lvl</t>
  </si>
  <si>
    <t>API Lvl</t>
  </si>
  <si>
    <t>Using?</t>
  </si>
  <si>
    <t>Lvl</t>
  </si>
  <si>
    <t>Level</t>
  </si>
  <si>
    <t>Clay pit</t>
  </si>
  <si>
    <t>Brick factory</t>
  </si>
  <si>
    <t>Yes</t>
  </si>
  <si>
    <t>Tech center</t>
  </si>
  <si>
    <t>Coal mine</t>
  </si>
  <si>
    <t>Concrete factory</t>
  </si>
  <si>
    <t>Casino</t>
  </si>
  <si>
    <t>Copper mine</t>
  </si>
  <si>
    <t>Fertilizer factory</t>
  </si>
  <si>
    <t>Museum</t>
  </si>
  <si>
    <t>Rough diamonds</t>
  </si>
  <si>
    <t>Diamond mine</t>
  </si>
  <si>
    <t>Ironworks</t>
  </si>
  <si>
    <t>Training camp</t>
  </si>
  <si>
    <t>Gravel pit</t>
  </si>
  <si>
    <t>Oil refinery</t>
  </si>
  <si>
    <t>Recycling plant</t>
  </si>
  <si>
    <t>Crude oil</t>
  </si>
  <si>
    <t>Ilmenite mine</t>
  </si>
  <si>
    <t>Glazier's workshop</t>
  </si>
  <si>
    <t>Law firm</t>
  </si>
  <si>
    <t>Gold ore</t>
  </si>
  <si>
    <t>Iron ore</t>
  </si>
  <si>
    <t>Iron ore mine</t>
  </si>
  <si>
    <t>Copper refinery</t>
  </si>
  <si>
    <t>Mafia HQ</t>
  </si>
  <si>
    <t>Lithium ore</t>
  </si>
  <si>
    <t>Lithium ore mine</t>
  </si>
  <si>
    <t>Insecticide factory</t>
  </si>
  <si>
    <t>Hospital</t>
  </si>
  <si>
    <t>Quartz sand</t>
  </si>
  <si>
    <t>Sand mine</t>
  </si>
  <si>
    <t>Aluminium factory</t>
  </si>
  <si>
    <t>Drone research</t>
  </si>
  <si>
    <t>Silver ore</t>
  </si>
  <si>
    <t>Silver mine</t>
  </si>
  <si>
    <t>Plastic factory</t>
  </si>
  <si>
    <t>Service center</t>
  </si>
  <si>
    <t>Bauxite mine</t>
  </si>
  <si>
    <t>Lithium refinery</t>
  </si>
  <si>
    <t>HR Department</t>
  </si>
  <si>
    <t>Oil derrick</t>
  </si>
  <si>
    <t>Battery factory</t>
  </si>
  <si>
    <t>Haulage firm</t>
  </si>
  <si>
    <t>Gold mine</t>
  </si>
  <si>
    <t>Arms factory</t>
  </si>
  <si>
    <t>Fire Station</t>
  </si>
  <si>
    <t>Limestone quarry</t>
  </si>
  <si>
    <t>Silicon refinery</t>
  </si>
  <si>
    <t>No</t>
  </si>
  <si>
    <t>Seismology Centre</t>
  </si>
  <si>
    <t>Electronics factory</t>
  </si>
  <si>
    <t>TOTAL</t>
  </si>
  <si>
    <t>Titanium refinery</t>
  </si>
  <si>
    <t>Medical technology Inc.</t>
  </si>
  <si>
    <t>Maintenance</t>
  </si>
  <si>
    <t>Silver refinery</t>
  </si>
  <si>
    <t>Expert Cost</t>
  </si>
  <si>
    <t>MK Cost</t>
  </si>
  <si>
    <t>Individual</t>
  </si>
  <si>
    <t>Per Day times.</t>
  </si>
  <si>
    <t>Gold refinery</t>
  </si>
  <si>
    <t>Goldsmith</t>
  </si>
  <si>
    <t>How many times</t>
  </si>
  <si>
    <t>Drone shipyard</t>
  </si>
  <si>
    <t>per day.</t>
  </si>
  <si>
    <t>Truck plant</t>
  </si>
  <si>
    <t>Use a fraction if less</t>
  </si>
  <si>
    <t>than once per day</t>
  </si>
  <si>
    <t>i.e. .5 for every other</t>
  </si>
  <si>
    <t>List of likely inputs</t>
  </si>
  <si>
    <t>2 = 2x/day</t>
  </si>
  <si>
    <t>1 = 1/day</t>
  </si>
  <si>
    <t>.5 = every other day</t>
  </si>
  <si>
    <t>.33 = every third d</t>
  </si>
  <si>
    <t>.25 = every fourth d</t>
  </si>
  <si>
    <t>.2 = every fifth day</t>
  </si>
  <si>
    <t>Proudly serving the Resources Game community since 2015</t>
  </si>
  <si>
    <t>Boy what a time it has been. I've been basically inactive since early 2017. I lost my mines sometime mid 2018. Rest in peace.</t>
  </si>
  <si>
    <t xml:space="preserve">As of September 2019, I'm still happy to provide support for this spreadsheet. Feel free to reach out with comments or concerns. </t>
  </si>
  <si>
    <t>Likewise with the accompanying game guide. It's so cool to see the game community still active and I wish I hadn't lost my mines.</t>
  </si>
  <si>
    <t>You guys are a great community and I'm so happy to have been able to provide this resource (pun intended).</t>
  </si>
  <si>
    <t>For all current and future versions of this sheet, unless otherwise noted, you can update by making a new copy of the sheet,</t>
  </si>
  <si>
    <t xml:space="preserve">then copying your entire UserBuildings tab from your old sheet and replacing the data on the new sheet. </t>
  </si>
  <si>
    <t>25 Nov: It is important for those of you who will be using the API to read the API instructions to avoid excessive use of your api data.</t>
  </si>
  <si>
    <t xml:space="preserve">Added API support for entire User Buildings tab.  </t>
  </si>
  <si>
    <t xml:space="preserve">DO NOT copy and paste your User Buildings tab from a previous version, this update invovles heavy User Buildings tab updates. </t>
  </si>
  <si>
    <t>For now, API settings (On/Off switch and API Key input) are on the API Raw page.  However, I will move it to the UserBuildings page if enough people express support for that idea.</t>
  </si>
  <si>
    <t>Below you will find helpful instructions, urls, and credits.</t>
  </si>
  <si>
    <t>This sheet is 100% free for personal use.</t>
  </si>
  <si>
    <t>I kindly ask that you do not redistribute this sheet, but feel free to direct people to this one.</t>
  </si>
  <si>
    <t>If you have suggestions for improvement, I welcome your feedback.</t>
  </si>
  <si>
    <t>Acknowledgements:</t>
  </si>
  <si>
    <t>Individual value, Profit Ratio column, Actual Profit column, Adj Value columns, and "All" lines on the Supply chain tab were created by Ghukek.</t>
  </si>
  <si>
    <t>Factory ROI, Mine ROI, Mine Accident, TU5.05 Cost, Headquarters, and Recycling/Units tabs created by Ghukek.</t>
  </si>
  <si>
    <t>All other portions of this sheet were copied from a sheet created by Koen Rijnsent, IGN cq27.</t>
  </si>
  <si>
    <t xml:space="preserve">This sheet is related to the Android game "Resources Game," and I claim no ownership of or afiliation with the game. </t>
  </si>
  <si>
    <t>Special mention to user "Apoc" for contributions to the "Profit over time" table in the Factory ROI page</t>
  </si>
  <si>
    <t>Special mention to user "Plan-B" for helping setup the sheet to auto-update the Markets tab.</t>
  </si>
  <si>
    <t>Special mention to user "Fraggle Rock1" for reverse-engineering the tech center scan accuracy formula.</t>
  </si>
  <si>
    <t>Special mention to user "Redeye Inc" for designing the "HQ Progress Tracker" and "Recycling Calculator" tables along with the recycling table in the static tab.</t>
  </si>
  <si>
    <t>Special mention to users "Redeye Inc" and "mkb1" for their joint contributions to the TU5.05 calculator table in columns J-N of the TU sheet.</t>
  </si>
  <si>
    <t>Special mention to user "Ar0nius" for writing the "how often should I repair my mines" table in the Mine ROI tab.</t>
  </si>
  <si>
    <t>Thanks to user Defenestration for minor bug report.</t>
  </si>
  <si>
    <t>Thanks to user [HU3] LSV CORP. for PT-BR translation.</t>
  </si>
  <si>
    <t>Thanks to user Numbers Inc for reporting a minor bug in the data pull.</t>
  </si>
  <si>
    <t>Thanks to user Defenestration for suggesting a slight change to the API toggle system to reduce the likelihood that it's accidentally left on.</t>
  </si>
  <si>
    <t>Special thanks to user Defenestration for building the system behind the HQ ROI API integration.</t>
  </si>
  <si>
    <t>Special thanks to Ownage Inc for pestering me to update the sheet with Fire Station and Seismology Centre</t>
  </si>
  <si>
    <t xml:space="preserve">Update 2.5.2 brought to you by Silverskin GmbH, feel free to drop him a donation for his efforts  </t>
  </si>
  <si>
    <t>To make a copy of this sheet.</t>
  </si>
  <si>
    <t>If on desktop (ideal) go to "file," "make a copy."</t>
  </si>
  <si>
    <t>If on mobile, click the three verticle dots in the google sheets app. "Share &amp; Export," "Make a Copy."</t>
  </si>
  <si>
    <t>Auto Updating Markets:</t>
  </si>
  <si>
    <t>To make sure your sheet auto-updates more often than once an hour, follow these instructions. (Thanks to user Plan-B)</t>
  </si>
  <si>
    <t>Once sheets is open go to tools / script editor.</t>
  </si>
  <si>
    <t>In the new page that opens, go to Resources / Current project triggers</t>
  </si>
  <si>
    <t>Add new trigger with settings: Get data, Time-Driven, Minutes Timer, Every 15 minutes. [Or whatever time you chose.]</t>
  </si>
  <si>
    <t>Click save and accept access prompt.</t>
  </si>
  <si>
    <t>Then go to file / save and save the whole script.</t>
  </si>
  <si>
    <t>These instructions apply to the desktop browser version.</t>
  </si>
  <si>
    <t>Number Formatting:</t>
  </si>
  <si>
    <t xml:space="preserve">If you use the x.xxx.xxx,xx format (that is the European number format) rather than the American format. </t>
  </si>
  <si>
    <t>You can just use the x,xxx,xxx.xx if you want, but the following is instructions to change to your preferred format.</t>
  </si>
  <si>
    <t>First, go to "file" "spreadsheet settings" and change the "locale" to whatever country you're from.</t>
  </si>
  <si>
    <t>All numbers and formulas will automatically convert.  Except for the base market pull formula.</t>
  </si>
  <si>
    <t>This is because the script that runs that is separate from the spreadsheet, and will continue pushing the American formula.</t>
  </si>
  <si>
    <t>Go to "tools" "script editor."</t>
  </si>
  <si>
    <t xml:space="preserve">  (---------V---------)</t>
  </si>
  <si>
    <t>Line 4 will read =  var cellFunction1 = '=IMPORTXML("http://www.resources-game.ch/exchange/kurseliste.xml?' + queryString + '","//RESOURCES_RATES/ITEM")';</t>
  </si>
  <si>
    <t>Change the comma between [queryString + "] and ["//RES] to a semicolon.  (change , to ;) (Make sure it's ; not :)  The (---------V---------) is pointing directly to it for your convenience.</t>
  </si>
  <si>
    <t>Save and run the script.</t>
  </si>
  <si>
    <t>API Instructions:</t>
  </si>
  <si>
    <t>The sheet automatically updates hourly I believe, I'm currently testing.  To prevent unnecessary API Credit waste,</t>
  </si>
  <si>
    <t>make sure to keep User Buildings tab C2 at 0 when not at use.</t>
  </si>
  <si>
    <t>To minimise credit usage, copy the yellow cells and right click on the corresponding blue cells and select "Paste Special" -&gt; "Paste Values Only".</t>
  </si>
  <si>
    <t>This will allow you to retain data after you turn off the API data.</t>
  </si>
  <si>
    <t>If you want to remove a specific feature from the API Raw page in order to preserve credits:</t>
  </si>
  <si>
    <t>Go the the API Raw sheet, which is hidden by default.</t>
  </si>
  <si>
    <t>Find the name of the table you wish to remove.</t>
  </si>
  <si>
    <t>Edit the cell two blocks below the bold title by removing the equals (=) sign from the page.</t>
  </si>
  <si>
    <t>To restore, just put the equals (=) sign back.</t>
  </si>
  <si>
    <t>Translations:</t>
  </si>
  <si>
    <t>All Readme translation tabs are hidden by default. View them by "View" -&gt; "Hidden Sheets" on desktop and by bringing up the four horizontal bar menu in the bottom left corner on mobile.</t>
  </si>
  <si>
    <t xml:space="preserve">PT-BR: Readme Translation and Translation table: Credit: [HU3] LSV CORP. </t>
  </si>
  <si>
    <t>Haulage Firm ROI:</t>
  </si>
  <si>
    <t>For the ROI on haulage firm, I estimate approximately your daily profit as your bm turnaround.  This means that 1% of your daily profit is your savings per haulage level.</t>
  </si>
  <si>
    <t>This will be higher if you use the market a lot and lower if you make a point to be self sufficient.</t>
  </si>
  <si>
    <t>Use your discretion to read the estimation and draw your own conclusions.</t>
  </si>
  <si>
    <t>If you are experiencing problems with the sheet, submit a support ticket by going to share settings.</t>
  </si>
  <si>
    <t>Add legowiebe@gmail.com with comment permissions.</t>
  </si>
  <si>
    <t>In the notes section, explain your issue.</t>
  </si>
  <si>
    <t>My Current Project:</t>
  </si>
  <si>
    <t>I'm designing and 3D printing miniature warships and planes for wargaming.</t>
  </si>
  <si>
    <t>Website:</t>
  </si>
  <si>
    <t>https://www.ghukek.com/</t>
  </si>
  <si>
    <t xml:space="preserve">Instagram: </t>
  </si>
  <si>
    <t xml:space="preserve">Facebook: </t>
  </si>
  <si>
    <t>Shapeways:</t>
  </si>
  <si>
    <t>CGTrader:</t>
  </si>
  <si>
    <t>Current boxes in the game</t>
  </si>
  <si>
    <t>Top 20 miners</t>
  </si>
  <si>
    <t>In-game data</t>
  </si>
  <si>
    <t>Game guide</t>
  </si>
  <si>
    <t>Loan record spreadsheet</t>
  </si>
  <si>
    <t>Player Fraggle Rock1's original spreadsheet for scan accuracy.</t>
  </si>
  <si>
    <t>Sheet descriptions.</t>
  </si>
  <si>
    <t xml:space="preserve">Supply Chain: </t>
  </si>
  <si>
    <t>This cumulates all of your production into neat totals.</t>
  </si>
  <si>
    <t>It also shows your production shortages.</t>
  </si>
  <si>
    <t>Adj value is based on how much of that resource you will need to feed into factories</t>
  </si>
  <si>
    <t>User Buildings:</t>
  </si>
  <si>
    <t>This is where you input your data.</t>
  </si>
  <si>
    <t xml:space="preserve">The blue cells are user input.  </t>
  </si>
  <si>
    <t>The orange cells are auto-filled if you use the API functionality.  The sheet will default to them if in use, otherwise it will use the manual entry data. See the API Instructions above for details.</t>
  </si>
  <si>
    <t xml:space="preserve">"Using?" Column in factories is a "Yes" or "No" answer.  It allows you to see your profit totals if you chose not to run certain factories. </t>
  </si>
  <si>
    <t>Maintenance cost section.  In the second row, chose which type you use.</t>
  </si>
  <si>
    <t>Factory ROI</t>
  </si>
  <si>
    <t>This is where factory upgrade prices are calculated.</t>
  </si>
  <si>
    <t>Days to ROI is how many days until the increase in production will pay off the cost of the upgrade.</t>
  </si>
  <si>
    <t>Multiplier is how many times you'd have to upgrade the factory to increase hourly profits by 100 million.</t>
  </si>
  <si>
    <t>Average is a compound of ROI and Multiplier.  Ultimately the general consensus is that ROI is most important.</t>
  </si>
  <si>
    <t>Produce Increase and Daily Increase: This is how much one upgrade of this factory type will increase your hourly and daily profits.</t>
  </si>
  <si>
    <t>Total Credit Upgrade: How much it would cost to buy all of the resources to upgrade the factory including the cash cost.</t>
  </si>
  <si>
    <t>Mine ROI</t>
  </si>
  <si>
    <t xml:space="preserve">Hourly Production @ #  This is the hourly production at a certain quality level. </t>
  </si>
  <si>
    <t>ROI @ (First cell group) How long the mine will take to pay back the cost of the mine in number of days.</t>
  </si>
  <si>
    <t>Base # (Second cell group)  How long a fully tech upgraded mine will take to pay the cost of the tech upgrade.</t>
  </si>
  <si>
    <t>Base # (Third cell group) How long a fully teched mine will take to pay off both the build cost and tech upgrade cost.</t>
  </si>
  <si>
    <t>Base # (Fourth cell group) How long a fully teched mine will take to pay off tech upgrade cost when it is under your HQ.</t>
  </si>
  <si>
    <t>[Blue cell]  Insert a number into this cell between 1 and 100.  This will give you the respective information for that quality level.</t>
  </si>
  <si>
    <t>TU5.05 Cost</t>
  </si>
  <si>
    <t>List of all known tech upgrade combos that create the max boost of 5.05.</t>
  </si>
  <si>
    <t>The cost associated with each combo is shown.</t>
  </si>
  <si>
    <t>The cheapest combo that doesn't use Tech Upgrade 4 is displayed at the top.  This is used in Mine ROI tab.</t>
  </si>
  <si>
    <t>Headquarters</t>
  </si>
  <si>
    <t>All of the costs associated with headquarter upgrades totaled up.</t>
  </si>
  <si>
    <t>HQ ROI is not a very useful tool, as it requires a lot of user input and maintenance.</t>
  </si>
  <si>
    <t xml:space="preserve">Most HQ's will have an extremely high ROI. </t>
  </si>
  <si>
    <t>Follow the instructions below the HQ ROI tool.</t>
  </si>
  <si>
    <t>Recycling/Units</t>
  </si>
  <si>
    <t>Shows profit margines for combat units and recycling.</t>
  </si>
  <si>
    <t>Recycling profit has two tables.  First shows at level 10, second shows at your current level.</t>
  </si>
  <si>
    <t>SpecialBuildings</t>
  </si>
  <si>
    <t>Calculates the cost of a special building in four perspectives.</t>
  </si>
  <si>
    <t>Two values are shown for each type in the top table.  They are identical, except one abbreviates the total.</t>
  </si>
  <si>
    <t>Cost Next shows the total cost for the next upgrade.</t>
  </si>
  <si>
    <t>Cost So Far shows how much you've spent, based on current market values.</t>
  </si>
  <si>
    <t>Cost to 10 shows how much it will cost to get it from 0 to 10.</t>
  </si>
  <si>
    <t>Cost Left shows how much more you will need to spend to reach 10.</t>
  </si>
  <si>
    <t>Res (1,2,3) and Cost (1,2,3) The first is how many of the respective resource is required, cost is how much that will cost total.</t>
  </si>
  <si>
    <t>The system simplifies it instead of listing each building's resource types.</t>
  </si>
  <si>
    <t>GD ROI</t>
  </si>
  <si>
    <t>Calculates the profitability of Giant Diamonds. This is hidden by default to reduce confusion.</t>
  </si>
  <si>
    <t>Fill the first column of blue cells with your warehouse level for the resource type in the corresponding "f" column cell.</t>
  </si>
  <si>
    <t>Fill the second column of blue cells with the warehouse level for the production resource of the corresponding "b" column factory.</t>
  </si>
  <si>
    <t>The profit total is the profit for a five day instant production.</t>
  </si>
  <si>
    <t>The profit total w/ wh is the profit after accounting for necessary warehouse costs.</t>
  </si>
  <si>
    <t>The total need column is the amount you need of the corresponding resource to start a 5 day production.</t>
  </si>
  <si>
    <t>The WH LV is what warehouse level you'll need for the corresponding product.</t>
  </si>
  <si>
    <t>User Calcs</t>
  </si>
  <si>
    <t>This has three useful calculators.  User input into the blue cells.</t>
  </si>
  <si>
    <t>Markets</t>
  </si>
  <si>
    <t>This pulls data for current market value.  This sheet is hidden by default.</t>
  </si>
  <si>
    <t>Calc</t>
  </si>
  <si>
    <t>This calculates various production values and costs based on static info combined with the info from the User Buildings tab.  This is hidden by default</t>
  </si>
  <si>
    <t>Static</t>
  </si>
  <si>
    <t>This is where all of the static game info goes.  This is also hidden by default.</t>
  </si>
  <si>
    <t>These three sheets, (Market, Calc, Static) are the primary core of this spreadsheet.</t>
  </si>
  <si>
    <t>All of the other sheets ultimately refer to these sheets for their calculations.</t>
  </si>
  <si>
    <t>Changelog:</t>
  </si>
  <si>
    <t>V.</t>
  </si>
  <si>
    <t>Date.</t>
  </si>
  <si>
    <t>Notes.</t>
  </si>
  <si>
    <t>2.5.2</t>
  </si>
  <si>
    <t>29 Feb 20:</t>
  </si>
  <si>
    <t>Fixed TblAPISpecial to include Fire Station and Seismology Center so API query will include them in UserBuildings tab.</t>
  </si>
  <si>
    <t>Re-arranged HQ10 resource order to match in-game resource order. Previously had been shuffled.</t>
  </si>
  <si>
    <t>Fixed API HQ Tracker in Headquarters tab to pull the resource names from API data.</t>
  </si>
  <si>
    <t>2.5.1</t>
  </si>
  <si>
    <t>26 Sep 19:</t>
  </si>
  <si>
    <t>Minor changes to Readme.</t>
  </si>
  <si>
    <t>2.5.0</t>
  </si>
  <si>
    <t>13 Sep 18:</t>
  </si>
  <si>
    <t>Added Fire Station and Seismology Centre.</t>
  </si>
  <si>
    <t>2.4.1</t>
  </si>
  <si>
    <t>16 Jan 17:</t>
  </si>
  <si>
    <t>Minor change to Haulage ROI calculations.  Now says "No" if ROI is at or below zero.</t>
  </si>
  <si>
    <t>2.4.0</t>
  </si>
  <si>
    <t>15 Jan 17:</t>
  </si>
  <si>
    <t>Added User Defenestration's system to pull API data to calculate the ROI on upgrading the headquarters.</t>
  </si>
  <si>
    <t>Reorganized Headquarters tab.  HQ progress tracker moved to below the HQ ROI.</t>
  </si>
  <si>
    <t>Added API Mine Detail tab hidden by default as an extension to the API Raw tab.</t>
  </si>
  <si>
    <t>Sqweezed cells together in User Buildings tab to facilitate scrolling.</t>
  </si>
  <si>
    <t>2.3.1</t>
  </si>
  <si>
    <t>14 Jan 17:</t>
  </si>
  <si>
    <t>2.3.0</t>
  </si>
  <si>
    <t>13 Jan 17:</t>
  </si>
  <si>
    <t>Added estimated ROI for haulage firm based on daily income.</t>
  </si>
  <si>
    <t>Added explanation in Readme.</t>
  </si>
  <si>
    <t>2.2.4</t>
  </si>
  <si>
    <t>6 Jan 17:</t>
  </si>
  <si>
    <t>Merged cells in user buildings tab to fit API key.</t>
  </si>
  <si>
    <t>2.2.3</t>
  </si>
  <si>
    <t>27 Dec 16:</t>
  </si>
  <si>
    <t>Minor bug fix where the sheet doesn't search the full markets tab caused by the addition of trucks.  Credit: Numbers Inc</t>
  </si>
  <si>
    <t>2.2.2</t>
  </si>
  <si>
    <t>2 Dec 16:</t>
  </si>
  <si>
    <t>Removed all user input from API Raw sheet.</t>
  </si>
  <si>
    <t>API Raw sheet hidden by default.</t>
  </si>
  <si>
    <t>Added API toggle, API Credits left, and API Key to UserBuildings tab.</t>
  </si>
  <si>
    <t>Added API HQ progress tracker in Headquarters tab.</t>
  </si>
  <si>
    <t>Added API data pull for HQ.</t>
  </si>
  <si>
    <t>Added titles to API Raw tables.</t>
  </si>
  <si>
    <t>Added further instructions to API section of Readme.</t>
  </si>
  <si>
    <t>2.2.1</t>
  </si>
  <si>
    <t xml:space="preserve">28 Nov 16: </t>
  </si>
  <si>
    <t>Added more detailed instructions for API use.</t>
  </si>
  <si>
    <t>Reformatted Readme for better readability.</t>
  </si>
  <si>
    <t>2.2.0</t>
  </si>
  <si>
    <t xml:space="preserve">25 Nov 16: </t>
  </si>
  <si>
    <t>It is important for those of you who will be using the API to read the API instructions to avoid excessive use of your api data.</t>
  </si>
  <si>
    <t>Minor bug fix where mines and factories didn't all show up.</t>
  </si>
  <si>
    <t>2.1.0</t>
  </si>
  <si>
    <t xml:space="preserve">24 Nov 16:  </t>
  </si>
  <si>
    <t>Happy Thanksgiving! Minor fix on Mine ROI tab where the conditional ROI (default at 35 was fritzed up).</t>
  </si>
  <si>
    <t>Minor addition to Mine ROI tab to account for scan costs.  This assumes an average of 4 scans per mine to account for precise placement.</t>
  </si>
  <si>
    <t>BEGIN:  Major edit to finally bother to incorporate the new API.  I'm going into this blind, and we might not see any results, but I'm giving it a shot.</t>
  </si>
  <si>
    <t>2.0.1</t>
  </si>
  <si>
    <t xml:space="preserve">12 Sep 16:  </t>
  </si>
  <si>
    <t>HUGE BUG FIX. Change the cell E48 in the Supply Chain tab to read "=D48*24" instead of "=C48*24" Sheet is grossly underestimating your profits</t>
  </si>
  <si>
    <t>by counting the value of resources put into factories twice.  Credit to Ar0nius for the catch.</t>
  </si>
  <si>
    <t>Also change add "+C77" to the end of D48.</t>
  </si>
  <si>
    <t xml:space="preserve">2.0.0 </t>
  </si>
  <si>
    <t xml:space="preserve">7 Aug 16: </t>
  </si>
  <si>
    <t>Added transport cost functionality.</t>
  </si>
  <si>
    <t>Added Transport Costs to Supply Chain tab.</t>
  </si>
  <si>
    <t>Added Haulage Firm, Truck Plant and Truck warehouse to appropriate tables in UserBuildings.</t>
  </si>
  <si>
    <t>Added Transport costs and Truck Plant to Factory ROI.</t>
  </si>
  <si>
    <t>Added Transport Cost column to Recycling table in Recycling/Units tab.</t>
  </si>
  <si>
    <t>Begun Changelog in README tab.</t>
  </si>
  <si>
    <t xml:space="preserve">1.4.0 </t>
  </si>
  <si>
    <t xml:space="preserve">2 Feb 16: </t>
  </si>
  <si>
    <t>Added TU5.05 efficiency calculator to show you how many mines you can tech with your current number of tech upgrades for each combination.</t>
  </si>
  <si>
    <t>Reorganized cost remaining calculator in Headquarters tab.</t>
  </si>
  <si>
    <t>Added Recycling calculator in Recycling/Units tab.</t>
  </si>
  <si>
    <t xml:space="preserve">1.3.0 </t>
  </si>
  <si>
    <t xml:space="preserve">6 Feb 16: </t>
  </si>
  <si>
    <t>Added average production column in UserBuildings tab.</t>
  </si>
  <si>
    <t>Changed max production column to average production in Supply Chain tab.</t>
  </si>
  <si>
    <t>Added cost remaining calculator to Headquarters tab.</t>
  </si>
  <si>
    <t xml:space="preserve">1.2.0 </t>
  </si>
  <si>
    <t xml:space="preserve">16 Jan 16: </t>
  </si>
  <si>
    <t>Added Warehouse level table to UserBuildings tab.</t>
  </si>
  <si>
    <t>Updated GD ROI tab to pull WH data from UserBuildings tab.</t>
  </si>
  <si>
    <t>Added WH upgrade cost to Factory ROI tab.</t>
  </si>
  <si>
    <t>Added instructions for x,xxx.xx to x.xxx,xx conversion in Readme.</t>
  </si>
  <si>
    <t xml:space="preserve">1.1.1 </t>
  </si>
  <si>
    <t xml:space="preserve">5 Jan 16: </t>
  </si>
  <si>
    <t>Added WH LV tab in Supply Chain to show necessary WH level to store daily production.</t>
  </si>
  <si>
    <t>Updated README.</t>
  </si>
  <si>
    <t xml:space="preserve">1.1.0 </t>
  </si>
  <si>
    <t xml:space="preserve">24 Dec 15: </t>
  </si>
  <si>
    <t>Added Maintenance intervals table to UserBuildings tab.</t>
  </si>
  <si>
    <t>Added a TU4 relative cost column to TU5.05.</t>
  </si>
  <si>
    <t>Added GD ROI tab to calculate Giant Diamond ROI tab.</t>
  </si>
  <si>
    <t>Added scan calculator.</t>
  </si>
  <si>
    <t xml:space="preserve">1.0.0 </t>
  </si>
  <si>
    <t xml:space="preserve">13 Dec 15: </t>
  </si>
  <si>
    <t>Change "URLS and Credits" to "README".</t>
  </si>
  <si>
    <t>Added sheet instructions to README.</t>
  </si>
  <si>
    <t>Added 5 minute market auto-update function.</t>
  </si>
  <si>
    <t>Removed non-functional Maintenance Cost calculator from User_Calcs.</t>
  </si>
  <si>
    <t>Added "SpecialBuildings" tab.</t>
  </si>
  <si>
    <t>Completed "Recycling/Units" tab.</t>
  </si>
  <si>
    <t>Added Headquarters ROI table to Headquarters tab.</t>
  </si>
  <si>
    <t>Reorganized Factory ROI tab.</t>
  </si>
  <si>
    <t>Graphical updates to all tabs.</t>
  </si>
  <si>
    <t>Added HQ Level to UserBuildings tab.</t>
  </si>
  <si>
    <t>Combined Value/hr and Adj Value/hr tables by removing unecessary columns in Supply Chain.</t>
  </si>
  <si>
    <t>Added combined totals to the top of Supply Chain tab.</t>
  </si>
  <si>
    <t>Added variable quality level ROI to Mine ROI sheet.</t>
  </si>
  <si>
    <t xml:space="preserve">0.6.0 </t>
  </si>
  <si>
    <t xml:space="preserve">4 Dec 15: </t>
  </si>
  <si>
    <t>Added "Headquarters" tab.</t>
  </si>
  <si>
    <t>Removed "Mine Accident" tab, moving the calculator to the User_Calcs tab.</t>
  </si>
  <si>
    <t>Changed "URLs" tab to "URLs and Credits".  Moved special mentions from Supply Chain.</t>
  </si>
  <si>
    <t xml:space="preserve">0.5.1 </t>
  </si>
  <si>
    <t xml:space="preserve">29 Nov 15: </t>
  </si>
  <si>
    <t>Added "Multiplier" and "Average" columns to Factory ROI to show number of upgrades per $10m/hr profit increase.</t>
  </si>
  <si>
    <t>Added profit over time table to Factory ROI page.</t>
  </si>
  <si>
    <t xml:space="preserve">0.5.0 </t>
  </si>
  <si>
    <t xml:space="preserve">27 Nov 15: </t>
  </si>
  <si>
    <t>Added "TU5.05 Cost" tab.</t>
  </si>
  <si>
    <t>Added tables in Mine ROI tab to calculate Mine ROI including Tech Upgrade costs.</t>
  </si>
  <si>
    <t>0.4.1</t>
  </si>
  <si>
    <t>20 Nov 15:</t>
  </si>
  <si>
    <t>Added "Using?" column in the factory table in the UserBuildings tab.</t>
  </si>
  <si>
    <t>0.4.0</t>
  </si>
  <si>
    <t xml:space="preserve">19 Nov 15: </t>
  </si>
  <si>
    <t>Added "Mine ROI" tab.</t>
  </si>
  <si>
    <t>Added "Recycling/Units" tab.</t>
  </si>
  <si>
    <t>0.3.0</t>
  </si>
  <si>
    <t>18 Nov 15:</t>
  </si>
  <si>
    <t>Added easy view Factory ROI column to the right of the detailed table.</t>
  </si>
  <si>
    <t>Added "Mine Accident" tab with mine accident calculator.</t>
  </si>
  <si>
    <t>0.2.3</t>
  </si>
  <si>
    <t>17 Nov 15:</t>
  </si>
  <si>
    <t>Added Adj value at hand table for raw goods and updated daily profit totals.</t>
  </si>
  <si>
    <t>Bug fixes in Factory ROI tab.</t>
  </si>
  <si>
    <t>0.2.2</t>
  </si>
  <si>
    <t xml:space="preserve">16 Nov 15: </t>
  </si>
  <si>
    <t>Added link to game guide in URLs tab.</t>
  </si>
  <si>
    <t>0.2.1</t>
  </si>
  <si>
    <t>15 Nov 15:</t>
  </si>
  <si>
    <t>Factory ROI tab complete, first version.</t>
  </si>
  <si>
    <t>Added credits section to bottom of Supply Chain page.</t>
  </si>
  <si>
    <t>Promised upcoming Readme tab.</t>
  </si>
  <si>
    <t>Added "Actual Profit" column to factory profit table.</t>
  </si>
  <si>
    <t>0.2.0</t>
  </si>
  <si>
    <t xml:space="preserve">14 Nov 15: </t>
  </si>
  <si>
    <t>Added "Factory ROI" tab.</t>
  </si>
  <si>
    <t>0.1.4</t>
  </si>
  <si>
    <t>10 Nov 15:</t>
  </si>
  <si>
    <t>Added todo: "factory upgrade profitability".</t>
  </si>
  <si>
    <t>0.1.3</t>
  </si>
  <si>
    <t>9 Nov 15:</t>
  </si>
  <si>
    <t>Added first todo: "insert profitability of defense units".</t>
  </si>
  <si>
    <t>0.1.2</t>
  </si>
  <si>
    <t xml:space="preserve">6 Nov 15: </t>
  </si>
  <si>
    <t>Renamed "Value" columns to "Value/hr".</t>
  </si>
  <si>
    <t>Renamed "Profit" column to "Profit Ratio".</t>
  </si>
  <si>
    <t>Added totals to the bottom of the profit charts on Supply Chain.</t>
  </si>
  <si>
    <t xml:space="preserve">0.1.1 </t>
  </si>
  <si>
    <t>3 Nov 15:</t>
  </si>
  <si>
    <t>Fixed bug where bricks was not showing proper market value in "Flat BM Value" column.</t>
  </si>
  <si>
    <t>0.1.0</t>
  </si>
  <si>
    <t>2 Nov 15:</t>
  </si>
  <si>
    <t>Added "Flat BM Value" on Supply Chain tab.</t>
  </si>
  <si>
    <t>Added "Profit" column for factory produce.</t>
  </si>
  <si>
    <t>0.0.1</t>
  </si>
  <si>
    <t xml:space="preserve">19 Sep 15: </t>
  </si>
  <si>
    <t>Copied sheet for personal use from User: cq27</t>
  </si>
  <si>
    <t>User Input Column</t>
  </si>
  <si>
    <t>Assuming constant 100% condition.  Not factoring in maintenance costs.   #=Days until mine pays itself off.</t>
  </si>
  <si>
    <t>Scan Cost:</t>
  </si>
  <si>
    <t>ROI @ XX%</t>
  </si>
  <si>
    <t>Hrly Prod @ XX%</t>
  </si>
  <si>
    <t>Scan costs assume avg of 4 scans.</t>
  </si>
  <si>
    <t>Mine type</t>
  </si>
  <si>
    <t>Hrly Production @ 100%</t>
  </si>
  <si>
    <t>ROI @ 50%</t>
  </si>
  <si>
    <t>ROI @ 75</t>
  </si>
  <si>
    <t>ROI @ 100%</t>
  </si>
  <si>
    <t>Derrick</t>
  </si>
  <si>
    <t>Assuming lowest cost 0-TU4 combo. Not including original mine cost</t>
  </si>
  <si>
    <t>Hrly Prod @ 505%</t>
  </si>
  <si>
    <t>Base 50</t>
  </si>
  <si>
    <t>Base 75</t>
  </si>
  <si>
    <t>Base 100</t>
  </si>
  <si>
    <t>Total including mine cost.</t>
  </si>
  <si>
    <t>Total With HQ</t>
  </si>
  <si>
    <t>Hrly Prod w/ HQ</t>
  </si>
  <si>
    <t xml:space="preserve">To help plan mines under HQ.  Note that a 70% lithium is better than a 30% diamond. </t>
  </si>
  <si>
    <t>How Often Should I Repair My Mines?</t>
  </si>
  <si>
    <t>Repair on Day</t>
  </si>
  <si>
    <t>Extrapolated</t>
  </si>
  <si>
    <t>with MKs</t>
  </si>
  <si>
    <t>Days</t>
  </si>
  <si>
    <t>Mine Production ($Bil/hr)</t>
  </si>
  <si>
    <t>Cost to Repair All</t>
  </si>
  <si>
    <t>Cost to Repair</t>
  </si>
  <si>
    <t>Cumulative Lost Production Opportunity Cost</t>
  </si>
  <si>
    <t>Minimize this Total Loss ($Bil/day)</t>
  </si>
  <si>
    <t>Mine Condition</t>
  </si>
  <si>
    <t>½</t>
  </si>
  <si>
    <t>Mines Demolish</t>
  </si>
  <si>
    <t>Oops</t>
  </si>
  <si>
    <t>Instructions: If you typically Repair-All with MK's, no input is needed here. Just have your 'Yes' selected on the UserBuildings Tab.</t>
  </si>
  <si>
    <t>If you Repair-All with Experts, make note of the time of day when you repair. Come back again the next day to see what your Repair-All cost is exactly 24 hours later.</t>
  </si>
  <si>
    <t>Enter that into blue square D95 (in $Billions). Then the smallest number in column J recommends that you repair every that many days.</t>
  </si>
  <si>
    <t>Everybody's situation is different: defensive units assigned to mines, some mines under HQs, some mines tech-upped, varying Qualities% and Conditions% and mine types etc..</t>
  </si>
  <si>
    <t>For these reasons, your Repair-All costs extrapolated in column D are not going to be exact, but is a good approximation to give you an idea how often to repair.</t>
  </si>
  <si>
    <t>Credit to Prios for good data collection on the subject: https://docs.google.com/document/d/14phY26MymjwK3MVbdroc454GWwDnKSioYa1DctN8aEs/edit</t>
  </si>
  <si>
    <t>TRADUÇÕES DE ITENS NA LINHA 201 EM DIANTE</t>
  </si>
  <si>
    <t>Para todas as versões atuais e futuras desta folha, a menos que indicado de outra forma, você pode atualizar fazendo uma nova cópia da folha,</t>
  </si>
  <si>
    <t>Em seguida, copiar toda a guia UserBuildings de sua folha antiga e substituir os dados na nova planilha.</t>
  </si>
  <si>
    <t>25 Nov # 2: Correção de bugs menores onde minas e fábricas não aparecem.</t>
  </si>
  <si>
    <t>25 Nov: É importante para aqueles de vocês que usarão a API para ler as instruções da API para evitar o uso excessivo de seus dados api.</t>
  </si>
  <si>
    <t>Suporte API adicionado para a guia Completa de Edifícios de Usuário.</t>
  </si>
  <si>
    <t>NÃO copie e cole o separador User Buildings de uma versão anterior, esta actualização invovles pesadas actualizações guia tabelas edifícios.</t>
  </si>
  <si>
    <t>Por enquanto, as configurações de API (chave liga / desliga e entrada de chave de API) estão na página API Raw. No entanto, vou movê-lo para a página UserBuildings se suficientes pessoas expressam suporte para essa idéia.</t>
  </si>
  <si>
    <t>24 Nov: Feliz Dia de Ação de Graças! Correção menor na guia Mine ROI onde o ROI condicional (padrão em 35 foi fritzed para cima).</t>
  </si>
  <si>
    <t>Pequena modificação na guia Mine ROI para contabilizar os custos de digitalização. Isso pressupõe uma média de 4 varreduras por mina para explicar a colocação precisa.</t>
  </si>
  <si>
    <t>Novo: grandes melhorias para finalmente se preocupar em incorporar a nova API. Estou indo as cegas, e não podemos ver nenhum resultado, mas estou tentando.</t>
  </si>
  <si>
    <t>12 Set: ENORME BUG FIX. Altere a célula E48 na guia Cadeia de Fornecimento para ler "= D48 * 24" em vez de "= C48 * 24" Folha está subestimando grosseiramente seus lucros</t>
  </si>
  <si>
    <t>Contando o valor dos recursos colocados em fábricas duas vezes. Crédito a Arn0io pela ajuda.</t>
  </si>
  <si>
    <t>Altere também adicionar "+ C77" ao final de D48.</t>
  </si>
  <si>
    <t>UPDATED: Adicionado custos de transporte para a cadeia de abastecimento. O ROI da fábrica, Reciclagem / Unidades, Edifícios Especiais e QG não contabilizam os custos de transporte.</t>
  </si>
  <si>
    <t>Adicionado caminhão fábrica, fábrica roi, caminhão lucros, adicionado caminhões para cadeia de abastecimento.</t>
  </si>
  <si>
    <t>CONTACTE-ME PARA RELATAR BUGS, informações de contato está abaixo.</t>
  </si>
  <si>
    <t>Também sinta-se livre para sugerir recursos, especialmente os relacionados com a nova atualização que eu possa ter perdido.</t>
  </si>
  <si>
    <t>29 de julho: Correção de bugs. Você pode copiar a célula diretamente individual</t>
  </si>
  <si>
    <t>Crédito: Lumens Inc.</t>
  </si>
  <si>
    <t>Também observou um problema com a aba de edifícios especiais. Não consigo corrigir agora porque estou no celular. Será atualizado mais tarde.</t>
  </si>
  <si>
    <t>01 Ago: Correção de bugs. Todas as pesquisas de mercado agora corrigidas, e futuras provadas para evitar bugs adicionais com a pesquisa.</t>
  </si>
  <si>
    <t>EXTREME Correção de bugs. Os lucros diários eram excessivamente exagerados. FIXO</t>
  </si>
  <si>
    <t>16 Ago: Correções de bugs. Reciclagem / guia Unidades e guias de Edifícios Especiais. Reciclagem calculadora manual fixo.</t>
  </si>
  <si>
    <t>  </t>
  </si>
  <si>
    <t>Empresa de reboque em falta na aba de edifícios especiais, trabalhos em curso. Crédito: Sebaberg</t>
  </si>
  <si>
    <t>Abaixo você encontrará instruções úteis, URLs e créditos.</t>
  </si>
  <si>
    <t>trabalho em progresso</t>
  </si>
  <si>
    <t>Esta folha é 100% livre para uso pessoal.</t>
  </si>
  <si>
    <t>Eu gentilmente peço que você não redistribua esta tabela, mas sinta-se livre para direcionar as pessoas para esta.</t>
  </si>
  <si>
    <t>Se você tiver sugestões de melhoria, agradeço seus comentários.</t>
  </si>
  <si>
    <t>Embora esta folha seja livre de usar, ela representa muitas horas de trabalho.</t>
  </si>
  <si>
    <t>Portanto, eu gostaria que você considerasse o benefício que ele forneceu a você.</t>
  </si>
  <si>
    <t>Se você se quiser retribuir, uma contribuição em jogo é bem vinda em dinheiro.</t>
  </si>
  <si>
    <t>Minha conta no jogo é Ghukek Inc.</t>
  </si>
  <si>
    <t>O valor individual, a coluna Razão de lucro, a coluna Lucro real, as colunas Valor de ajuste e todas as linhas na guia Cadeia de fornecimento foram criadas pelo Ghukek.</t>
  </si>
  <si>
    <t>ROI da Fábrica, ROI da Mina, Acidente com Minas, TU5.05 Custo, Sede e Reciclagem / Unidades criadas por Ghukek.</t>
  </si>
  <si>
    <t>Todas as outras partes desta folha foram copiadas de uma folha criada por Koen Rijnsent, IGN cq27.</t>
  </si>
  <si>
    <t>Esta folha está relacionada com o jogo Android "Jogo de Recursos", e eu não reivindico nenhuma propriedade ou filiação com o jogo.</t>
  </si>
  <si>
    <t>Menção especial ao usuário "Apoc" para contribuições para a tabela "Lucro ao longo do tempo" na página ROI da fábrica</t>
  </si>
  <si>
    <t>Menção especial ao usuário "Plan-B" para ajudar a configurar a folha para atualizar automaticamente a guia Mercados.</t>
  </si>
  <si>
    <t>Menção especial ao usuário "Fraggle Rock1" para engenharia reversa da fórmula de precisão de digitalização do centro técnico.</t>
  </si>
  <si>
    <t>Menção especial ao usuário "Redeye Inc" para projetar as tabelas "HQ Progress Tracker" e "Calculadora de Reciclagem" junto com a tabela de reciclagem na aba estática.</t>
  </si>
  <si>
    <t>Menção especial aos usuários "Redeye Inc" e "mkb1" por suas contribuições conjuntas para a tabela calculadora TU5.05 nas colunas J-N da folha TU.</t>
  </si>
  <si>
    <t>Menção especial ao usuário "Ar0nius" para escrever a tabela "Quantas vezes devo reparar minhas minas" na guia Mine ROI.</t>
  </si>
  <si>
    <t>Graças ao usuário Defenestration para relatório de bugs menores.</t>
  </si>
  <si>
    <t>Para fazer uma cópia desta folha.</t>
  </si>
  <si>
    <t>Se na área de trabalho (ideal) vá para "arquivo", "fazer uma cópia."</t>
  </si>
  <si>
    <t>Se estiver no celular, clique nos três pontos verticais no aplicativo folhas do google. "Compartilhar e exportar", "Fazer uma cópia".</t>
  </si>
  <si>
    <t>Para se certificar de que a sua folha se actualiza automaticamente mais de uma vez por hora, siga estas instruções. (Obrigado ao usuário Plan-B)</t>
  </si>
  <si>
    <t>Depois que as folhas estiverem abertas, acesse o editor de ferramentas / script.</t>
  </si>
  <si>
    <t>Na nova página que é aberta, vá para Recursos / Acionadores de projeto atuais</t>
  </si>
  <si>
    <t>Adicionar novo gatilho com configurações: Obter dados, Time-Driven, Minutos Timer, a cada 15 minutos. [Ou o tempo que você escolheu.]</t>
  </si>
  <si>
    <t>Clique em salvar e aceitar o prompt de acesso.</t>
  </si>
  <si>
    <t>Em seguida, vá para arquivo / salvar e salvar o script inteiro.</t>
  </si>
  <si>
    <t>Estas instruções aplicam-se à versão do browser do ambiente de trabalho.</t>
  </si>
  <si>
    <t>Se você usar o formato x.xxx.xxx, xx (que é o formato de número europeu) em vez do formato americano.</t>
  </si>
  <si>
    <t> </t>
  </si>
  <si>
    <t>Você pode apenas usar o x, xxx, xxx.xx se você quiser, mas o seguinte é instruções para mudar para o seu formato preferido.</t>
  </si>
  <si>
    <t>Primeiro, vá para "arquivo" "configurações de planilha" e altere o "locale" para qualquer país de onde você é.</t>
  </si>
  <si>
    <t>Todos os números e fórmulas serão convertidos automaticamente. Exceto para a fórmula de puxar mercado base.</t>
  </si>
  <si>
    <t>Isso ocorre porque o script que é executado é separado da planilha, e continuará empurrando a fórmula americana.</t>
  </si>
  <si>
    <t>Vá para "ferramentas" "editor de script". (--------- V ---------)</t>
  </si>
  <si>
    <t>A linha 4 irá ler = var cellFunction1 = '= IMPORTXML ( "http://www.resources-game.ch/exchange/kurseliste.xml?' + QueryString + '", "// RESOURCES_RATES / ITEM")';</t>
  </si>
  <si>
    <t>Altere a vírgula entre [queryString + "] e [" // RES] para um ponto-e-vírgula. (Mudar, para;) (Certifique-se que é; não :) O (--------- V ---------) está apontando diretamente para ele para sua conveniência.</t>
  </si>
  <si>
    <t>Salve e execute o script.</t>
  </si>
  <si>
    <t>Instruções da API:</t>
  </si>
  <si>
    <t>A folha atualiza automaticamente de hora em hora eu acredito, eu estou atualmente testando. Para evitar desperdício de crédito API desnecessário, certifique-se de seguir as instruções na folha API Raw, mantendo B3 em 0 quando você não estiver usando a folha.</t>
  </si>
  <si>
    <t>Vou atualizar em poucos dias com números reais para quantas vezes as atualizações de auto folha.</t>
  </si>
  <si>
    <t>Se você estiver tendo problemas com a folha, envie um ticket de suporte indo para compartilhar configurações.</t>
  </si>
  <si>
    <t>Adicione legowiebe@gmail.com com permissões de comentário.</t>
  </si>
  <si>
    <t>Na seção de notas, explique o problema.</t>
  </si>
  <si>
    <t>Caixas atuais no jogo</t>
  </si>
  <si>
    <t>Top 20 mineiros</t>
  </si>
  <si>
    <t>Dados no jogo</t>
  </si>
  <si>
    <t>Guia de jogo</t>
  </si>
  <si>
    <t>Folha de cálculo do registro de empréstimo</t>
  </si>
  <si>
    <t>Player Fraggle Folha de cálculo original do Rock1 para precisão de digitalização.</t>
  </si>
  <si>
    <t>Descrições da folha.</t>
  </si>
  <si>
    <t>(Supply Chain) Cadeia de Fornecimento:  Isso acumula toda a sua produção em totais ordenados.</t>
  </si>
  <si>
    <t>Ele também mostra sua escassez de produção.</t>
  </si>
  <si>
    <t>O valor de ajuste é baseado em quanto desse recurso você precisará alimentar em fábricas</t>
  </si>
  <si>
    <t>(User Buildings) Edifícios do Usuário: Aqui é onde você insere seus dados.</t>
  </si>
  <si>
    <t>As células azuis são entrada do usuário.</t>
  </si>
  <si>
    <t>- Usando? Coluna em fábricas é um "Sim" ou "Não" resposta. Ele permite que você veja seus lucros totais se você optar por não executar certas fábricas.</t>
  </si>
  <si>
    <t>Seção de custos de manutenção. Na segunda linha, escolha o tipo que você usa.</t>
  </si>
  <si>
    <t>Factory ROI: Aqui é onde os preços de atualização de fábrica são calculados.</t>
  </si>
  <si>
    <t>Dias para ROI é quantos dias até o aumento da produção vai pagar o custo da atualização.</t>
  </si>
  <si>
    <t>Multiplicador é quantas vezes você tem que atualizar a fábrica para aumentar os lucros por hora em 100 milhões.</t>
  </si>
  <si>
    <t>Média é um composto de ROI e Multiplicador. Em última análise, o consenso geral é que o ROI é o mais importante.</t>
  </si>
  <si>
    <t>Aumento do produto e aumento diário: Isto é quanto uma atualização deste tipo da fábrica aumentará seus lucros de hora em hora e diários.</t>
  </si>
  <si>
    <t>Total Credit Upgrade: Quanto custaria comprar todos os recursos para atualizar a fábrica, incluindo o custo de caixa.</t>
  </si>
  <si>
    <t>Mina ROI: Produção por Hora @ # Esta é a produção por hora a um certo nível de qualidade.</t>
  </si>
  <si>
    <t>ROI @ (Primeiro grupo de células) Quanto tempo a mina vai demorar para pagar o custo da mina em número de dias.</t>
  </si>
  <si>
    <t>Base # (Segundo grupo de células) Quanto tempo uma mina totalmente atualizada tecnicamente vai demorar para pagar o custo da atualização tecnológica.</t>
  </si>
  <si>
    <t>Base # (terceiro grupo de células) Quanto tempo uma mina totalmente teched vai demorar para pagar tanto o custo de construção e custo de atualização tecnológica.</t>
  </si>
  <si>
    <t>Base # (quarto grupo de células) Quanto tempo uma mina totalmente teched vai demorar para pagar o custo de atualização de tecnologia quando está sob a sua sede.</t>
  </si>
  <si>
    <t>[Célula azul] Insira um número nessa célula entre 1 e 100. Isso lhe dará as respectivas informações para esse nível de qualidade.</t>
  </si>
  <si>
    <t>TU5.05: Custo Lista de todos os combos de atualização tecnológica conhecidos que criam o aumento máximo de 5,05.</t>
  </si>
  <si>
    <t>O custo associado a cada combinação é mostrado.</t>
  </si>
  <si>
    <t>A combinação mais barata que não usa o Tech Upgrade 4 é exibida na parte superior. Isso é usado na guia Mine ROI.</t>
  </si>
  <si>
    <t>(Headquarters) Sede: Todos os custos associados às atualizações da sede totalizaram.</t>
  </si>
  <si>
    <t>O ROI do QG não é uma ferramenta muito útil, pois requer muita entrada e manutenção do usuário.</t>
  </si>
  <si>
    <t>A maioria dos QGs terá um ROI extremamente elevado.</t>
  </si>
  <si>
    <t>Siga as instruções abaixo da ferramenta ROI do QG.</t>
  </si>
  <si>
    <t>(Recycling/Units) Reciclagem / Unidades: Mostra margens de lucro para unidades de combate e reciclagem.</t>
  </si>
  <si>
    <t>Reciclagem lucro tem duas tabelas. Primeiro mostra no nível 10, segundo mostra em seu nível atual.</t>
  </si>
  <si>
    <t>(SpecialBuildings) Contruções especiais: Calcula o custo de um edifício especial em quatro perspectivas.</t>
  </si>
  <si>
    <t>Dois valores são mostrados para cada tipo na tabela superior. Eles são idênticos, exceto um abreviado o total.</t>
  </si>
  <si>
    <t>O custo seguinte mostra o custo total da próxima atualização.</t>
  </si>
  <si>
    <t>O custo até agora mostra o quanto você gastou, com base nos valores de mercado atuais.</t>
  </si>
  <si>
    <t>Custo para 10 mostra o quanto vai custar para obtê-lo de 0 a 10.</t>
  </si>
  <si>
    <t>Custo à esquerda mostra quanto mais você precisará gastar para chegar a 10.</t>
  </si>
  <si>
    <t>Res (1,2,3) e Custo (1,2,3) O primeiro é quantos do respectivo recurso é necessário, o custo é o quanto isso vai custar total.</t>
  </si>
  <si>
    <t>O sistema simplifica-o em vez de listar os tipos de recursos de cada edifício.</t>
  </si>
  <si>
    <t>GD ROI Diamantes Gigantes ROI: Calcula a rentabilidade dos Diamantes Gigantes. Isso é oculto por padrão para reduzir a confusão.</t>
  </si>
  <si>
    <t>Preencha a primeira coluna de células azuis com seu nível de depósito para o tipo de recurso na célula de coluna "f" correspondente.</t>
  </si>
  <si>
    <t>Preencha a segunda coluna de células azuis com o nível de depósito para o recurso de produção da fábrica de coluna "b" correspondente.</t>
  </si>
  <si>
    <t>O lucro total é o lucro para uma produção instantânea de cinco dias.</t>
  </si>
  <si>
    <t>O lucro total w / wh é o lucro após a contabilização dos custos necessários do armazém.</t>
  </si>
  <si>
    <t>A coluna de necessidade total é a quantidade que você precisa do recurso correspondente para iniciar uma produção de 5 dias.</t>
  </si>
  <si>
    <t>O WH LV é o nível de armazém que você precisa para o produto correspondente.</t>
  </si>
  <si>
    <t>(User Calcs) Cálculo do usúario: Esta tem três calculadoras úteis. Entrada do usuário nas células azuis.</t>
  </si>
  <si>
    <t>(Markets) Mercados: Isto puxa os dados para o valor de mercado atual. Esta folha está oculta por predefinição.</t>
  </si>
  <si>
    <t>Calc: Calcula vários valores de produção e custos com base na informação estática combinada com a informação da aba User Buildings. Isso está oculto por padrão</t>
  </si>
  <si>
    <t>(Estatic)Estático: Aqui é onde toda a informação estática do jogo vai. Isso também é oculto por padrão.</t>
  </si>
  <si>
    <t>Estas três folhas, (Market, Calc, Static) são o núcleo principal desta planilha.</t>
  </si>
  <si>
    <t>Todas as outras folhas, em última análise, referem-se a estas folhas para os seus cálculos.</t>
  </si>
  <si>
    <t>TRADUÇÕES:</t>
  </si>
  <si>
    <t>-&gt;</t>
  </si>
  <si>
    <t>Argila</t>
  </si>
  <si>
    <t>Tijolos</t>
  </si>
  <si>
    <t>Calcário</t>
  </si>
  <si>
    <t>Concreto</t>
  </si>
  <si>
    <t>Cascalho</t>
  </si>
  <si>
    <t>Fertilizante</t>
  </si>
  <si>
    <t>Carvão</t>
  </si>
  <si>
    <t>Aço</t>
  </si>
  <si>
    <t>Minério de ferro</t>
  </si>
  <si>
    <t>Combustível fóssil</t>
  </si>
  <si>
    <t>Óleo cru</t>
  </si>
  <si>
    <t>Vidro</t>
  </si>
  <si>
    <t>Areia de Quartzo</t>
  </si>
  <si>
    <t>Cobre</t>
  </si>
  <si>
    <t>Calcopirita</t>
  </si>
  <si>
    <t>Inseticidas</t>
  </si>
  <si>
    <t>Bauxita</t>
  </si>
  <si>
    <t>Alumínio</t>
  </si>
  <si>
    <t>Minério de lítio</t>
  </si>
  <si>
    <t>Plásticos</t>
  </si>
  <si>
    <t>Lítio</t>
  </si>
  <si>
    <t>Minério de prata</t>
  </si>
  <si>
    <t>Baterias</t>
  </si>
  <si>
    <t>Minério de ouro</t>
  </si>
  <si>
    <t>Armas</t>
  </si>
  <si>
    <t>Diamantes bruto</t>
  </si>
  <si>
    <t>Silício</t>
  </si>
  <si>
    <t>Eletrônicos</t>
  </si>
  <si>
    <t>Titânio</t>
  </si>
  <si>
    <t>Tecnologia médica</t>
  </si>
  <si>
    <t>Prata</t>
  </si>
  <si>
    <t>Ouro</t>
  </si>
  <si>
    <t>Jóias</t>
  </si>
  <si>
    <t>caminhões</t>
  </si>
  <si>
    <t>Mines to Tech</t>
  </si>
  <si>
    <t>Tech upgrade 1</t>
  </si>
  <si>
    <t>Tech upgrade 2</t>
  </si>
  <si>
    <t>Tech upgrade 3</t>
  </si>
  <si>
    <t>Tech upgrade 4</t>
  </si>
  <si>
    <t>Result</t>
  </si>
  <si>
    <t>Cost</t>
  </si>
  <si>
    <t>TU4 Relative Cost</t>
  </si>
  <si>
    <t>Upgrades in stock</t>
  </si>
  <si>
    <t>Techupgrade 1</t>
  </si>
  <si>
    <t>Techupgrade 2</t>
  </si>
  <si>
    <t>Techupgrade 3</t>
  </si>
  <si>
    <t>Techupgrade 4</t>
  </si>
  <si>
    <t>OK</t>
  </si>
  <si>
    <t>Keep B3 at 0 when not in use to avoid unnecessary API queries.</t>
  </si>
  <si>
    <t>Number of Days:</t>
  </si>
  <si>
    <t>Query ID:</t>
  </si>
  <si>
    <t>Output Type ID:</t>
  </si>
  <si>
    <t>Language ID:</t>
  </si>
  <si>
    <t>en</t>
  </si>
  <si>
    <t>resapi/?q=</t>
  </si>
  <si>
    <t>[Query ID]</t>
  </si>
  <si>
    <t>&amp;f=</t>
  </si>
  <si>
    <t>&amp;k=</t>
  </si>
  <si>
    <t>[API Key]</t>
  </si>
  <si>
    <t>&amp;l=</t>
  </si>
  <si>
    <t>[Language ID]</t>
  </si>
  <si>
    <t>&amp;d=</t>
  </si>
  <si>
    <t>[Number of Days]</t>
  </si>
  <si>
    <t>API Credits</t>
  </si>
  <si>
    <t>Warehouses</t>
  </si>
  <si>
    <t>Special Buildings</t>
  </si>
  <si>
    <t>Days to ROI</t>
  </si>
  <si>
    <t>ROI w/ TC</t>
  </si>
  <si>
    <t>Total Credit TC</t>
  </si>
  <si>
    <t>Daily Increase</t>
  </si>
  <si>
    <t>Produce Increase</t>
  </si>
  <si>
    <t>Total Credit Upgrade</t>
  </si>
  <si>
    <t>Resource 1</t>
  </si>
  <si>
    <t>WH</t>
  </si>
  <si>
    <t>Cash</t>
  </si>
  <si>
    <t>Resource 2</t>
  </si>
  <si>
    <t>Resource 3</t>
  </si>
  <si>
    <t>Brick Factory</t>
  </si>
  <si>
    <t>-</t>
  </si>
  <si>
    <t>Concrete Factory</t>
  </si>
  <si>
    <t>Fertilizer Factory</t>
  </si>
  <si>
    <t>Oil Refinery</t>
  </si>
  <si>
    <t>Glazier's Worshop</t>
  </si>
  <si>
    <t>Copper Refinery</t>
  </si>
  <si>
    <t>Insecticide Factory</t>
  </si>
  <si>
    <t>Aluminium Factory</t>
  </si>
  <si>
    <t>Plastic Factory</t>
  </si>
  <si>
    <t>Lithium Refinery</t>
  </si>
  <si>
    <t>Battery Factory</t>
  </si>
  <si>
    <t>Arms Factory</t>
  </si>
  <si>
    <t>Silicon Refinery</t>
  </si>
  <si>
    <t>Electronics Factory</t>
  </si>
  <si>
    <t>Titanium Refinery</t>
  </si>
  <si>
    <t>Medical Tech</t>
  </si>
  <si>
    <t>Silver Refinery</t>
  </si>
  <si>
    <t>Gold Refinery</t>
  </si>
  <si>
    <t>Drone Shipyard</t>
  </si>
  <si>
    <t>Approximately 1% of daily profit.</t>
  </si>
  <si>
    <t>See specialbuildings tab for details.  See readme for explanation.</t>
  </si>
  <si>
    <t>Profit over time</t>
  </si>
  <si>
    <t>Mine Detail</t>
  </si>
  <si>
    <t>ON</t>
  </si>
  <si>
    <t>HQ Level</t>
  </si>
  <si>
    <t>Total Cost w/TC</t>
  </si>
  <si>
    <t>Total Cost</t>
  </si>
  <si>
    <t>Amount</t>
  </si>
  <si>
    <t>Resource 4</t>
  </si>
  <si>
    <t>Fossil Fuel</t>
  </si>
  <si>
    <t>HQ ROI</t>
  </si>
  <si>
    <t>HQ ROI Days</t>
  </si>
  <si>
    <t>Daily Profit Increase</t>
  </si>
  <si>
    <t>Profit Increase</t>
  </si>
  <si>
    <t>Total Profit</t>
  </si>
  <si>
    <t>Total Profit/Day</t>
  </si>
  <si>
    <t>Total New Profit</t>
  </si>
  <si>
    <t>Total Mines (Optnl)</t>
  </si>
  <si>
    <t>Averages</t>
  </si>
  <si>
    <t>Mine Type</t>
  </si>
  <si>
    <t>API Max Prod</t>
  </si>
  <si>
    <t>Manual Max Prod</t>
  </si>
  <si>
    <t>Profit/Hr</t>
  </si>
  <si>
    <t>Upgrade Profit/Hr</t>
  </si>
  <si>
    <t>Upg Produce</t>
  </si>
  <si>
    <t>Profit/Day</t>
  </si>
  <si>
    <t>For manual entry, manual calculation is required.</t>
  </si>
  <si>
    <t>HQ Progress Tracker</t>
  </si>
  <si>
    <t>API HQ Progress Tracker</t>
  </si>
  <si>
    <t>Amt added</t>
  </si>
  <si>
    <t>Amt left</t>
  </si>
  <si>
    <t>Remaing cost</t>
  </si>
  <si>
    <t>Days Left</t>
  </si>
  <si>
    <t>Total Cost Left</t>
  </si>
  <si>
    <t xml:space="preserve"> </t>
  </si>
  <si>
    <t>Units</t>
  </si>
  <si>
    <t>Cost TC</t>
  </si>
  <si>
    <t>Value</t>
  </si>
  <si>
    <t>Profit</t>
  </si>
  <si>
    <t>Profit ratio</t>
  </si>
  <si>
    <t>Profit/Hr w/Prod</t>
  </si>
  <si>
    <t>Weapons/Steel</t>
  </si>
  <si>
    <t>Precious Metal</t>
  </si>
  <si>
    <t>Attack dogs</t>
  </si>
  <si>
    <t>Elite force</t>
  </si>
  <si>
    <t>Gangster</t>
  </si>
  <si>
    <t>Private army</t>
  </si>
  <si>
    <t>Security Staff</t>
  </si>
  <si>
    <t>Watch dogs</t>
  </si>
  <si>
    <t>Accounting for recycle values of the products.  Assuming level 10 recycle center.</t>
  </si>
  <si>
    <t>Recycling Calculator</t>
  </si>
  <si>
    <t>Recycling</t>
  </si>
  <si>
    <t>Value BM</t>
  </si>
  <si>
    <t>Produce BM</t>
  </si>
  <si>
    <t>Value BM (TC)</t>
  </si>
  <si>
    <t>Profit ratio (TC)</t>
  </si>
  <si>
    <t>Quantity Reqd</t>
  </si>
  <si>
    <t>Quantity Recycling</t>
  </si>
  <si>
    <t>Cost with TC</t>
  </si>
  <si>
    <t>Cost without TC</t>
  </si>
  <si>
    <t>Copper coins</t>
  </si>
  <si>
    <t>Scrap metal</t>
  </si>
  <si>
    <t>Drone wreckage</t>
  </si>
  <si>
    <t>Resouce 1</t>
  </si>
  <si>
    <t>Amount Each</t>
  </si>
  <si>
    <t>Amount Selected</t>
  </si>
  <si>
    <t>Electronic scrap</t>
  </si>
  <si>
    <t>Fossils</t>
  </si>
  <si>
    <t>Maintenance kit</t>
  </si>
  <si>
    <t>Old tires</t>
  </si>
  <si>
    <t>Plastic scrap</t>
  </si>
  <si>
    <t>Total Received</t>
  </si>
  <si>
    <t>Roman coins</t>
  </si>
  <si>
    <t>Profit/Loss</t>
  </si>
  <si>
    <t>Margin %</t>
  </si>
  <si>
    <t>Used oil</t>
  </si>
  <si>
    <t>Waste glass</t>
  </si>
  <si>
    <t>At your current level.</t>
  </si>
  <si>
    <t>Haulage ROI:</t>
  </si>
  <si>
    <t>ROI W/ TC</t>
  </si>
  <si>
    <t>Special Building</t>
  </si>
  <si>
    <t>Cost Next</t>
  </si>
  <si>
    <t>Cost So Far</t>
  </si>
  <si>
    <t>Cost to 10</t>
  </si>
  <si>
    <t>Cost Left</t>
  </si>
  <si>
    <t>Haulage Firm</t>
  </si>
  <si>
    <t>Cash Next</t>
  </si>
  <si>
    <t>Res 1 Next</t>
  </si>
  <si>
    <t>Cash 1 Next</t>
  </si>
  <si>
    <t>Res 2 Next</t>
  </si>
  <si>
    <t>Cash 2 Next</t>
  </si>
  <si>
    <t>Res 3 Next</t>
  </si>
  <si>
    <t>Cash 3 Next</t>
  </si>
  <si>
    <t>Cash So Far</t>
  </si>
  <si>
    <t>Res 1 So Far</t>
  </si>
  <si>
    <t>Cash 1 So Far</t>
  </si>
  <si>
    <t>Res 2 So Far</t>
  </si>
  <si>
    <t>Cash 2 So Far</t>
  </si>
  <si>
    <t>Res 3 So Far</t>
  </si>
  <si>
    <t>Cash 3 So Far</t>
  </si>
  <si>
    <t>Cash to 10</t>
  </si>
  <si>
    <t>Res 1 to 10</t>
  </si>
  <si>
    <t>Cash 1 to 10</t>
  </si>
  <si>
    <t>Res 2 to 10</t>
  </si>
  <si>
    <t>Cash 2 to 10</t>
  </si>
  <si>
    <t>Res 3 to 10</t>
  </si>
  <si>
    <t>Cash 3 to 10</t>
  </si>
  <si>
    <t>Cash left</t>
  </si>
  <si>
    <t>Res 1 left</t>
  </si>
  <si>
    <t>Cash 1 left</t>
  </si>
  <si>
    <t>Res 2 left</t>
  </si>
  <si>
    <t>Cash 2 left</t>
  </si>
  <si>
    <t>Res 3 left</t>
  </si>
  <si>
    <t>Cash 3 left</t>
  </si>
  <si>
    <t>This is for players using Giant Diamonds to instant produce factories .</t>
  </si>
  <si>
    <t>Will add warehouses to user buildings tab making this sheet easier if enough people like the sheet.  See readme for instructions.</t>
  </si>
  <si>
    <t>Profit Total</t>
  </si>
  <si>
    <t>Profit Total w/ WH</t>
  </si>
  <si>
    <t>ROI</t>
  </si>
  <si>
    <t>Type</t>
  </si>
  <si>
    <t>Total Need</t>
  </si>
  <si>
    <t>Current</t>
  </si>
  <si>
    <t>Warehouse Cost</t>
  </si>
  <si>
    <t>Output Quantity</t>
  </si>
  <si>
    <t>Mine building costs</t>
  </si>
  <si>
    <t>Formula for Mine Cost: [Base Cost] * (1 + [Total # of Mines]/50)</t>
  </si>
  <si>
    <t>So if you have 50 Mines, your next Clay Mine will cost 2,000,000 instead of 1,000,000, if you have 75 it will cost 2,500,000 and so on.</t>
  </si>
  <si>
    <t>Total # mines</t>
  </si>
  <si>
    <t>Costs for 1 mine</t>
  </si>
  <si>
    <t>Warehouse costs</t>
  </si>
  <si>
    <t>Formula for calculating the cost of a specific warehouse level: ([Level]-1)^2*1,250,000</t>
  </si>
  <si>
    <t>And the capacity for a given Level: [Level]^2*5,000</t>
  </si>
  <si>
    <t>Example: Warehouse Level 10 will cost (10-1)^2*1,250,000=101,250,000 and have a capacity of 10^2*5,000=500,000</t>
  </si>
  <si>
    <t>Current level</t>
  </si>
  <si>
    <t>Current storage</t>
  </si>
  <si>
    <t>pieces/m3</t>
  </si>
  <si>
    <t>Costs so far</t>
  </si>
  <si>
    <t>Next level costs</t>
  </si>
  <si>
    <t>Next level storage</t>
  </si>
  <si>
    <t>Mine accident approximate cost calculator.</t>
  </si>
  <si>
    <t>Based on current stats.</t>
  </si>
  <si>
    <t>Hypothetical use.</t>
  </si>
  <si>
    <t>Approximate days of resources.</t>
  </si>
  <si>
    <t>Approximate BNs in resources</t>
  </si>
  <si>
    <t>Approximate billions of cash.</t>
  </si>
  <si>
    <t>Law firm level.</t>
  </si>
  <si>
    <t>Mine count</t>
  </si>
  <si>
    <t>Approx resources</t>
  </si>
  <si>
    <t>Approx cash</t>
  </si>
  <si>
    <t>Environmental fee.</t>
  </si>
  <si>
    <t>Reduction factor for lawyers</t>
  </si>
  <si>
    <t>Total value</t>
  </si>
  <si>
    <t>Mine accident minimum</t>
  </si>
  <si>
    <t>Mine accident maximum</t>
  </si>
  <si>
    <t>Scan calculator</t>
  </si>
  <si>
    <t>Formula for calculating scan accuracy.</t>
  </si>
  <si>
    <t>Actual Quality = TechCenterLimit + 5 * (ExpectedQuality - TechCenterLimit)</t>
  </si>
  <si>
    <t>TechCenterLimit = 9 * (Tech Center Level + 1)</t>
  </si>
  <si>
    <t>ExpectedQuality = TechCenterLimit + (ActualQuality - TechCenterLimit)/5</t>
  </si>
  <si>
    <t>Expected quality</t>
  </si>
  <si>
    <t>Tech center level</t>
  </si>
  <si>
    <t>Tech center limit</t>
  </si>
  <si>
    <t>Actual quality</t>
  </si>
  <si>
    <t>Desired Actual Quality</t>
  </si>
  <si>
    <t>Target Expected Quality</t>
  </si>
  <si>
    <t>The warehouse is where you have an overview of all your resources, products and loot in a list. Following details are shown:</t>
  </si>
  <si>
    <t>Type of resource</t>
  </si>
  <si>
    <t>Production rate</t>
  </si>
  <si>
    <t>Warehouse level</t>
  </si>
  <si>
    <t>Amount stored</t>
  </si>
  <si>
    <t>Capacity visualization</t>
  </si>
  <si>
    <t>Time until full</t>
  </si>
  <si>
    <t>By clicking on the corresponding goods, you will get further information and options like:</t>
  </si>
  <si>
    <t>Pricing tend of the goods</t>
  </si>
  <si>
    <t>Warehouse upgrades</t>
  </si>
  <si>
    <t>Recycling of loot, assuming you own the special building "Recycling plant".</t>
  </si>
  <si>
    <t>Cost (this level)</t>
  </si>
  <si>
    <t>Total Cost (all levels below included)</t>
  </si>
  <si>
    <t>Skip to ContentSkip to Wiki NavigationSkip to Site Navigation</t>
  </si>
  <si>
    <t xml:space="preserve"> Wikia</t>
  </si>
  <si>
    <t xml:space="preserve">   </t>
  </si>
  <si>
    <t>Sign in</t>
  </si>
  <si>
    <t>Resources-game Wikia</t>
  </si>
  <si>
    <t>On the Wiki</t>
  </si>
  <si>
    <t>Wiki Activity</t>
  </si>
  <si>
    <t>Random page</t>
  </si>
  <si>
    <t>Videos</t>
  </si>
  <si>
    <t>Photos</t>
  </si>
  <si>
    <t>Forum</t>
  </si>
  <si>
    <t>Wiki Content</t>
  </si>
  <si>
    <t>Community</t>
  </si>
  <si>
    <t xml:space="preserve"> Contribute  Watchlist</t>
  </si>
  <si>
    <t>Recent changes</t>
  </si>
  <si>
    <t>Commodity Dependency Tables</t>
  </si>
  <si>
    <t>12PAGES ON</t>
  </si>
  <si>
    <t>THIS WIKI Edit    Comments0</t>
  </si>
  <si>
    <t>Produces</t>
  </si>
  <si>
    <t>Recycled From</t>
  </si>
  <si>
    <t>Upgrades</t>
  </si>
  <si>
    <t>HQ Level 4</t>
  </si>
  <si>
    <t>HQ Level 2</t>
  </si>
  <si>
    <t>Used Oil</t>
  </si>
  <si>
    <t>HQ Level 8</t>
  </si>
  <si>
    <t>Titainium</t>
  </si>
  <si>
    <t>HQ Level 6</t>
  </si>
  <si>
    <t>HQ Level 3</t>
  </si>
  <si>
    <t>Insesticides</t>
  </si>
  <si>
    <t>Glazier Workshop</t>
  </si>
  <si>
    <t>Aluminum Factory</t>
  </si>
  <si>
    <t>(Bauxite)</t>
  </si>
  <si>
    <t>Scrap Metal</t>
  </si>
  <si>
    <t>Law Firm</t>
  </si>
  <si>
    <t>(Aluminium)</t>
  </si>
  <si>
    <t>(Plastics)</t>
  </si>
  <si>
    <t>(Lithium)</t>
  </si>
  <si>
    <t>Scan Drones</t>
  </si>
  <si>
    <t>HQ Level 7</t>
  </si>
  <si>
    <t>(Clay)</t>
  </si>
  <si>
    <t>Training Camp</t>
  </si>
  <si>
    <t>(Gravel)</t>
  </si>
  <si>
    <t>(Limestone)</t>
  </si>
  <si>
    <t>(Chalcopyrite)</t>
  </si>
  <si>
    <t>Electronics Scrap</t>
  </si>
  <si>
    <t>HQ Level 5</t>
  </si>
  <si>
    <t>(Copper)</t>
  </si>
  <si>
    <t>(Silicon)</t>
  </si>
  <si>
    <t>Medical Technology</t>
  </si>
  <si>
    <t>Elite Force</t>
  </si>
  <si>
    <t>Private Army</t>
  </si>
  <si>
    <t>Maintenance Kit</t>
  </si>
  <si>
    <t>HQ Level 9</t>
  </si>
  <si>
    <t>(Crude Oil)</t>
  </si>
  <si>
    <t>(Fossil Fuel)</t>
  </si>
  <si>
    <t>(Quartz Sand)</t>
  </si>
  <si>
    <t>Waste Glass</t>
  </si>
  <si>
    <t>HQ Level 10</t>
  </si>
  <si>
    <t>(Gold Ore)</t>
  </si>
  <si>
    <t>(Gold)</t>
  </si>
  <si>
    <t>(Rough Diamonds)</t>
  </si>
  <si>
    <t>(Silver)</t>
  </si>
  <si>
    <t>(Lithium Ore)</t>
  </si>
  <si>
    <t>(Electronics)</t>
  </si>
  <si>
    <t>(Titanium)</t>
  </si>
  <si>
    <t>Plastics Factory</t>
  </si>
  <si>
    <t>Old Tires</t>
  </si>
  <si>
    <t>Plastic Scrap</t>
  </si>
  <si>
    <t>(Batteries)</t>
  </si>
  <si>
    <t>(Silver Ore)</t>
  </si>
  <si>
    <t>(Coal)</t>
  </si>
  <si>
    <t>(Iron Ore)</t>
  </si>
  <si>
    <t>Attack Dogs</t>
  </si>
  <si>
    <t>Watch Dogs</t>
  </si>
  <si>
    <t>(Ilmenite)</t>
  </si>
  <si>
    <t>(Aluminum)</t>
  </si>
  <si>
    <t>(Steel)</t>
  </si>
  <si>
    <t>Loot</t>
  </si>
  <si>
    <t>Recycled Into</t>
  </si>
  <si>
    <t>Copper Coins</t>
  </si>
  <si>
    <t>Tech Upgrade 1</t>
  </si>
  <si>
    <t>Drone Wreckage</t>
  </si>
  <si>
    <t>Drone Research</t>
  </si>
  <si>
    <t>Electronic Scrap</t>
  </si>
  <si>
    <t>Tech Center</t>
  </si>
  <si>
    <t>Giant Diamonds</t>
  </si>
  <si>
    <t>Recycling Plant</t>
  </si>
  <si>
    <t>Aluminum</t>
  </si>
  <si>
    <t>Roman Coins</t>
  </si>
  <si>
    <t>Tech Upgrade 2</t>
  </si>
  <si>
    <t>Tech Upgrade 3</t>
  </si>
  <si>
    <t>Tech Upgrade 4</t>
  </si>
  <si>
    <t>Unit</t>
  </si>
  <si>
    <t>(Fossils)</t>
  </si>
  <si>
    <t>(Weapons)</t>
  </si>
  <si>
    <t>(Jewellery)</t>
  </si>
  <si>
    <t>Categories:</t>
  </si>
  <si>
    <t>Add category</t>
  </si>
  <si>
    <t>Showing 0 most recent</t>
  </si>
  <si>
    <t>0 comments</t>
  </si>
  <si>
    <t>82.95.104.207 Anonymous User</t>
  </si>
  <si>
    <t>Log in?</t>
  </si>
  <si>
    <t>Recent Wiki Activity</t>
  </si>
  <si>
    <t>edited by Plan13</t>
  </si>
  <si>
    <t>Building Dependency Tables</t>
  </si>
  <si>
    <t>Resource, Product, Loot Dependencies</t>
  </si>
  <si>
    <t>edited by A Wikia contributor</t>
  </si>
  <si>
    <t>See more &gt;</t>
  </si>
  <si>
    <t>Around Wikia's networkRandom Wiki</t>
  </si>
  <si>
    <t>GAMES</t>
  </si>
  <si>
    <t>About  Help  Community Central  Careers  Advertise  API  Contact Wikia  Terms of Use  Privacy Policy  Sitemap  Content is available under CC-BY-SA.</t>
  </si>
  <si>
    <t>Pilot the Batmobile and uncover the secret of The Arkham KnightVideo GamesEntertainmentLifestyle</t>
  </si>
  <si>
    <t>This auto-updates.  It is current to about 15 minutes.</t>
  </si>
  <si>
    <t>ARRAYFORMULA(split(B4,";",true))</t>
  </si>
  <si>
    <t>Item</t>
  </si>
  <si>
    <t>ItemEN</t>
  </si>
  <si>
    <t>Kurs</t>
  </si>
  <si>
    <t>SMKurs</t>
  </si>
  <si>
    <t>Unix_timestamp</t>
  </si>
  <si>
    <t>Kurs+</t>
  </si>
  <si>
    <t>SMRate</t>
  </si>
  <si>
    <t>115;Altglas;Waste glass;49;43210;1484532961</t>
  </si>
  <si>
    <t>70;Altmetall;Scrap metal;176;23851;1484532961</t>
  </si>
  <si>
    <t>74;Altöl;Used oil;50;10300;1484532961</t>
  </si>
  <si>
    <t>32;Aluminium;Aluminium;3517;72015;1484532961</t>
  </si>
  <si>
    <t>93;Batterien;Batteries;258288;0;1484532961</t>
  </si>
  <si>
    <t>12;Bauxit;Bauxite;369;5280;1484532961</t>
  </si>
  <si>
    <t>7;Beton;Concrete;3290;5203;1484532961</t>
  </si>
  <si>
    <t>120;Drohnenwrack;Drone wreckage;599988;6830009;1484532961</t>
  </si>
  <si>
    <t>22;Düngemittel;Fertilizer;4640;0;1484532961</t>
  </si>
  <si>
    <t>13;Eisenerz;Iron ore;264;4610;1484532961</t>
  </si>
  <si>
    <t>66;Elektronik;Electronics;47281;0;1484532961</t>
  </si>
  <si>
    <t>78;Elektronikschrott;Electronic scrap;35481;110300;1484532961</t>
  </si>
  <si>
    <t>99;Elitetruppe;Elite force;1215336;39308000;1484532961</t>
  </si>
  <si>
    <t>38;Foss. Brennstoffe;Fossil fuel;2020;52111;1484532961</t>
  </si>
  <si>
    <t>41;Fossilien;Fossils;1260;1680;1484532961</t>
  </si>
  <si>
    <t>103;Gangster;Gangster;1350730;8554630;1484532961</t>
  </si>
  <si>
    <t>60;Glas;Glass;8712;61120;1484532961</t>
  </si>
  <si>
    <t>79;Gold;Gold;56533;89355;1484532961</t>
  </si>
  <si>
    <t>14;Golderz;Gold ore;1944;0;1484532961</t>
  </si>
  <si>
    <t>49;Ilmenit;Ilmenite;442;465;1484532961</t>
  </si>
  <si>
    <t>28;Insektizide;Insecticides;9724;9725;1484532961</t>
  </si>
  <si>
    <t>20;Kalkstein;Limestone;434;860;1484532961</t>
  </si>
  <si>
    <t>102;Kampfhunde;Attack dogs;170310;1134135;1484532961</t>
  </si>
  <si>
    <t>3;Kies;Gravel;278;295;1484532961</t>
  </si>
  <si>
    <t>8;Kohle;Coal;206;3551;1484532961</t>
  </si>
  <si>
    <t>58;Kunststoffe;Plastics;3052;3070;1484532961</t>
  </si>
  <si>
    <t>77;Kunststoffschrott;Plastic scrap;337;9165;1484532961</t>
  </si>
  <si>
    <t>36;Kupfer;Copper;67145;67200;1484532961</t>
  </si>
  <si>
    <t>26;Kupferkies;Chalcopyrite;1908;2155;1484532961</t>
  </si>
  <si>
    <t>55;Kupfermünzen;Copper coins;1646;27480;1484532961</t>
  </si>
  <si>
    <t>124;Lastwagen;Trucks;117486;309710;1484532961</t>
  </si>
  <si>
    <t>2;Lehm;Clay;187;500;1484532961</t>
  </si>
  <si>
    <t>92;Lithium;Lithium;1244;68255;1484532961</t>
  </si>
  <si>
    <t>90;Lithiumerz;Lithium ore;61;1590;1484532961</t>
  </si>
  <si>
    <t>75;Medizintechnik;Medical technology;218080;218035;1484532961</t>
  </si>
  <si>
    <t>104;Privatarmee;Private army;12151430;26500500;1484532961</t>
  </si>
  <si>
    <t>53;Quarzsand;Quartz sand;128;170;1484532961</t>
  </si>
  <si>
    <t>42;Riesendiamant;Giant diamond;95104543;0;1484532961</t>
  </si>
  <si>
    <t>81;Rohdiamanten;Rough diamonds;1377;3701;1484532961</t>
  </si>
  <si>
    <t>10;Rohöl;Crude oil;1427;4250;1484532961</t>
  </si>
  <si>
    <t>40;Römische Münzen;Roman coins;2172;40500;1484532961</t>
  </si>
  <si>
    <t>117;Scandrohnen;Scan drones;56233420;0;1484532961</t>
  </si>
  <si>
    <t>84;Schmuck;Jewellery;2541201;0;1484532961</t>
  </si>
  <si>
    <t>35;Silber;Silver;1670;1900;1484532961</t>
  </si>
  <si>
    <t>15;Silbererz;Silver ore;2616;0;1484532961</t>
  </si>
  <si>
    <t>67;Silizium;Silicon;82552;87162;1484532961</t>
  </si>
  <si>
    <t>30;Stahl;Steel;3716;83255;1484532961</t>
  </si>
  <si>
    <t>44;Tech-Upgrade 1;Tech upgrade 1;1597313;109000015;1484532961</t>
  </si>
  <si>
    <t>45;Tech-Upgrade 2;Tech upgrade 2;3193800;196500020;1484532961</t>
  </si>
  <si>
    <t>46;Tech-Upgrade 3;Tech upgrade 3;7236106;314762595;1484532961</t>
  </si>
  <si>
    <t>48;Tech-Upgrade 4;Tech upgrade 4;10224513;0;1484532961</t>
  </si>
  <si>
    <t>51;Titan;Titanium;4115;8845;1484532961</t>
  </si>
  <si>
    <t>96;Wachhunde;Watch dogs;17091;200000;1484532961</t>
  </si>
  <si>
    <t>98;Wachpersonal;Security staff;135390;3016515;1484532961</t>
  </si>
  <si>
    <t>87;Waffen;Weapons;10269;617335;1484532961</t>
  </si>
  <si>
    <t>43;Wartungskit;Maintenance kit;1103868;6798026;1484532961</t>
  </si>
  <si>
    <t>24;Ziegel;Bricks;1300;4270;1484532961</t>
  </si>
  <si>
    <t>Factory Resources Needed</t>
  </si>
  <si>
    <t>Intermediate products - required</t>
  </si>
  <si>
    <t>Factory</t>
  </si>
  <si>
    <t>Output</t>
  </si>
  <si>
    <t>Production_Q_hour</t>
  </si>
  <si>
    <t>Quantity_hour</t>
  </si>
  <si>
    <t>NameEN</t>
  </si>
  <si>
    <t>Factory Basics</t>
  </si>
  <si>
    <t>Factory Input</t>
  </si>
  <si>
    <t>Factory Upgrade Base</t>
  </si>
  <si>
    <t>Mine Basics</t>
  </si>
  <si>
    <t>OutputQ</t>
  </si>
  <si>
    <t>L1_hourly_prod</t>
  </si>
  <si>
    <t>Quantity</t>
  </si>
  <si>
    <t>FromLevel</t>
  </si>
  <si>
    <t>Maximum Performance</t>
  </si>
  <si>
    <t>Deposit Density</t>
  </si>
  <si>
    <t>Base Cost</t>
  </si>
  <si>
    <t>MaintenanceCost1</t>
  </si>
  <si>
    <t>MaintenanceCost2</t>
  </si>
  <si>
    <t>ItemID</t>
  </si>
  <si>
    <t>NameDE</t>
  </si>
  <si>
    <t>Base Cash</t>
  </si>
  <si>
    <t>Res 1</t>
  </si>
  <si>
    <t>Base Res 1</t>
  </si>
  <si>
    <t>Res 2</t>
  </si>
  <si>
    <t>Base Res 2</t>
  </si>
  <si>
    <t>Res 3</t>
  </si>
  <si>
    <t>Base Res 3</t>
  </si>
  <si>
    <t>Alte Reifen</t>
  </si>
  <si>
    <t>Altglas</t>
  </si>
  <si>
    <t>Base Bricks</t>
  </si>
  <si>
    <t>Altmetall</t>
  </si>
  <si>
    <t>Base Clay</t>
  </si>
  <si>
    <t>Altöl</t>
  </si>
  <si>
    <t>Base Limestone</t>
  </si>
  <si>
    <t>Base Credit</t>
  </si>
  <si>
    <t>Batterien</t>
  </si>
  <si>
    <t>Bauxit</t>
  </si>
  <si>
    <t>Base Concrete</t>
  </si>
  <si>
    <t>Beton</t>
  </si>
  <si>
    <t>Drohnenwrack</t>
  </si>
  <si>
    <t>Düngemittel</t>
  </si>
  <si>
    <t>Eisenerz</t>
  </si>
  <si>
    <t>Elektronik</t>
  </si>
  <si>
    <t>Elektronikschrott</t>
  </si>
  <si>
    <t>Security staff</t>
  </si>
  <si>
    <t>Elitetruppe</t>
  </si>
  <si>
    <t>Foss. Brennstoffe</t>
  </si>
  <si>
    <t>Fossilien</t>
  </si>
  <si>
    <t>Recycled Products</t>
  </si>
  <si>
    <t>Glas</t>
  </si>
  <si>
    <t>Per</t>
  </si>
  <si>
    <t>Res1</t>
  </si>
  <si>
    <t>Res1 Amt</t>
  </si>
  <si>
    <t>Res2</t>
  </si>
  <si>
    <t>Res2 Amt</t>
  </si>
  <si>
    <t>Res3</t>
  </si>
  <si>
    <t>Res3 Amt</t>
  </si>
  <si>
    <t>Res4</t>
  </si>
  <si>
    <t>Res4 Amt</t>
  </si>
  <si>
    <t>Glazier's Workshop</t>
  </si>
  <si>
    <t>Golderz</t>
  </si>
  <si>
    <t>Ilmenit</t>
  </si>
  <si>
    <t>Insektizide</t>
  </si>
  <si>
    <t>Kalkstein</t>
  </si>
  <si>
    <t>Kampfhunde</t>
  </si>
  <si>
    <t>Kies</t>
  </si>
  <si>
    <t>Kohle</t>
  </si>
  <si>
    <t>Kunststoffe</t>
  </si>
  <si>
    <t>Kunststoffschrott</t>
  </si>
  <si>
    <t>Kupfer</t>
  </si>
  <si>
    <t>Kupferkies</t>
  </si>
  <si>
    <t>Kupfermünzen</t>
  </si>
  <si>
    <t>Lehm</t>
  </si>
  <si>
    <t>Lithiumerz</t>
  </si>
  <si>
    <t>Medizintechnik</t>
  </si>
  <si>
    <t>Privatarmee</t>
  </si>
  <si>
    <t>Quarzsand</t>
  </si>
  <si>
    <t>Riesendiamant</t>
  </si>
  <si>
    <t>Giant diamond</t>
  </si>
  <si>
    <t>Rohdiamanten</t>
  </si>
  <si>
    <t>Rohöl</t>
  </si>
  <si>
    <t>Römische Münzen</t>
  </si>
  <si>
    <t>Scandrohne</t>
  </si>
  <si>
    <t>Schmuck</t>
  </si>
  <si>
    <t>Silber</t>
  </si>
  <si>
    <t>Silbererz</t>
  </si>
  <si>
    <t>Silizium</t>
  </si>
  <si>
    <t>Stahl</t>
  </si>
  <si>
    <t>Base Steel</t>
  </si>
  <si>
    <t>Titan</t>
  </si>
  <si>
    <t>Base Glass</t>
  </si>
  <si>
    <t>Wachhunde</t>
  </si>
  <si>
    <t>Wachpersonal</t>
  </si>
  <si>
    <t>Base Aluminium</t>
  </si>
  <si>
    <t>Waffen</t>
  </si>
  <si>
    <t>Wartungskit</t>
  </si>
  <si>
    <t>Ziegel</t>
  </si>
  <si>
    <t>Base Plastic</t>
  </si>
  <si>
    <t>Base Silver</t>
  </si>
  <si>
    <t>Base Electronics</t>
  </si>
  <si>
    <t>d2f7070074a24ff4c55a55a0c0ab3faa699c437a4d87b</t>
  </si>
  <si>
    <t>factoryID</t>
  </si>
  <si>
    <t>6</t>
  </si>
  <si>
    <t>name</t>
  </si>
  <si>
    <t>lvl</t>
  </si>
  <si>
    <t>13</t>
  </si>
  <si>
    <t>strike</t>
  </si>
  <si>
    <t>no</t>
  </si>
  <si>
    <t/>
  </si>
  <si>
    <t>23</t>
  </si>
  <si>
    <t>5</t>
  </si>
  <si>
    <t>25</t>
  </si>
  <si>
    <t>45</t>
  </si>
  <si>
    <t>29</t>
  </si>
  <si>
    <t>1</t>
  </si>
  <si>
    <t>31</t>
  </si>
  <si>
    <t>3</t>
  </si>
  <si>
    <t>33</t>
  </si>
  <si>
    <t>37</t>
  </si>
  <si>
    <t>39</t>
  </si>
  <si>
    <t>61</t>
  </si>
  <si>
    <t>63</t>
  </si>
  <si>
    <t>91</t>
  </si>
  <si>
    <t>95</t>
  </si>
  <si>
    <t>14</t>
  </si>
  <si>
    <t>47</t>
  </si>
  <si>
    <t>itemID</t>
  </si>
  <si>
    <t>itemname</t>
  </si>
  <si>
    <t>level</t>
  </si>
  <si>
    <t>amount</t>
  </si>
  <si>
    <t>credits</t>
  </si>
  <si>
    <t>90268970344</t>
  </si>
  <si>
    <t>2</t>
  </si>
  <si>
    <t>30</t>
  </si>
  <si>
    <t>10</t>
  </si>
  <si>
    <t>7</t>
  </si>
  <si>
    <t>9</t>
  </si>
  <si>
    <t>8</t>
  </si>
  <si>
    <t>12</t>
  </si>
  <si>
    <t>20</t>
  </si>
  <si>
    <t>15</t>
  </si>
  <si>
    <t>22</t>
  </si>
  <si>
    <t>4</t>
  </si>
  <si>
    <t>24</t>
  </si>
  <si>
    <t>26</t>
  </si>
  <si>
    <t>28</t>
  </si>
  <si>
    <t>32</t>
  </si>
  <si>
    <t>36</t>
  </si>
  <si>
    <t>38</t>
  </si>
  <si>
    <t>40</t>
  </si>
  <si>
    <t>32384</t>
  </si>
  <si>
    <t>41</t>
  </si>
  <si>
    <t>154965</t>
  </si>
  <si>
    <t>42</t>
  </si>
  <si>
    <t>Giant Diamond</t>
  </si>
  <si>
    <t>44</t>
  </si>
  <si>
    <t>65</t>
  </si>
  <si>
    <t>49</t>
  </si>
  <si>
    <t>53</t>
  </si>
  <si>
    <t>55</t>
  </si>
  <si>
    <t>55954</t>
  </si>
  <si>
    <t>57</t>
  </si>
  <si>
    <t>54650</t>
  </si>
  <si>
    <t>58</t>
  </si>
  <si>
    <t>60</t>
  </si>
  <si>
    <t>81</t>
  </si>
  <si>
    <t>4266</t>
  </si>
  <si>
    <t>90</t>
  </si>
  <si>
    <t>92</t>
  </si>
  <si>
    <t>93</t>
  </si>
  <si>
    <t>96</t>
  </si>
  <si>
    <t>1135</t>
  </si>
  <si>
    <t>160</t>
  </si>
  <si>
    <t>Guest Workers</t>
  </si>
  <si>
    <t>0</t>
  </si>
  <si>
    <t>64622</t>
  </si>
  <si>
    <t>317038</t>
  </si>
  <si>
    <t>216299</t>
  </si>
  <si>
    <t>294499</t>
  </si>
  <si>
    <t>110</t>
  </si>
  <si>
    <t>94043</t>
  </si>
  <si>
    <t>800</t>
  </si>
  <si>
    <t>741425</t>
  </si>
  <si>
    <t>71149</t>
  </si>
  <si>
    <t>41536</t>
  </si>
  <si>
    <t>150705</t>
  </si>
  <si>
    <t>72371</t>
  </si>
  <si>
    <t>12863</t>
  </si>
  <si>
    <t>1687</t>
  </si>
  <si>
    <t>9276</t>
  </si>
  <si>
    <t>962</t>
  </si>
  <si>
    <t>43902</t>
  </si>
  <si>
    <t>279676</t>
  </si>
  <si>
    <t>51576</t>
  </si>
  <si>
    <t>31559</t>
  </si>
  <si>
    <t>756</t>
  </si>
  <si>
    <t>166</t>
  </si>
  <si>
    <t>3110</t>
  </si>
  <si>
    <t>specbID</t>
  </si>
  <si>
    <t>iconURL</t>
  </si>
  <si>
    <t>https://api.resources-game.ch/resimg/res1.png</t>
  </si>
  <si>
    <t>https://api.resources-game.ch/resimg/res2.png</t>
  </si>
  <si>
    <t>https://api.resources-game.ch/resimg/res3.png</t>
  </si>
  <si>
    <t>Clay Pit</t>
  </si>
  <si>
    <t>Gravel Pit</t>
  </si>
  <si>
    <t>https://api.resources-game.ch/resimg/res6.png</t>
  </si>
  <si>
    <t>https://api.resources-game.ch/resimg/res7.png</t>
  </si>
  <si>
    <t>https://api.resources-game.ch/resimg/res8.png</t>
  </si>
  <si>
    <t>Coal Mine</t>
  </si>
  <si>
    <t>https://api.resources-game.ch/resimg/res10.png</t>
  </si>
  <si>
    <t>Oil Derrick</t>
  </si>
  <si>
    <t>https://api.resources-game.ch/resimg/res12.png</t>
  </si>
  <si>
    <t>https://api.resources-game.ch/resimg/res13.png</t>
  </si>
  <si>
    <t>https://api.resources-game.ch/resimg/res14.png</t>
  </si>
  <si>
    <t>https://api.resources-game.ch/resimg/res15.png</t>
  </si>
  <si>
    <t>Bauxite Mine</t>
  </si>
  <si>
    <t>Iron Ore Mine</t>
  </si>
  <si>
    <t>Gold Mine</t>
  </si>
  <si>
    <t>Silver Mine</t>
  </si>
  <si>
    <t>https://api.resources-game.ch/resimg/res20.png</t>
  </si>
  <si>
    <t>Limestone Quarry</t>
  </si>
  <si>
    <t>https://api.resources-game.ch/resimg/res22.png</t>
  </si>
  <si>
    <t>https://api.resources-game.ch/resimg/res23.png</t>
  </si>
  <si>
    <t>https://api.resources-game.ch/resimg/res24.png</t>
  </si>
  <si>
    <t>https://api.resources-game.ch/resimg/res25.png</t>
  </si>
  <si>
    <t>https://api.resources-game.ch/resimg/res26.png</t>
  </si>
  <si>
    <t>Copper Mine</t>
  </si>
  <si>
    <t>https://api.resources-game.ch/resimg/res28.png</t>
  </si>
  <si>
    <t>https://api.resources-game.ch/resimg/res29.png</t>
  </si>
  <si>
    <t>https://api.resources-game.ch/resimg/res30.png</t>
  </si>
  <si>
    <t>https://api.resources-game.ch/resimg/res31.png</t>
  </si>
  <si>
    <t>https://api.resources-game.ch/resimg/res32.png</t>
  </si>
  <si>
    <t>https://api.resources-game.ch/resimg/res33.png</t>
  </si>
  <si>
    <t>https://api.resources-game.ch/resimg/res34.png</t>
  </si>
  <si>
    <t>https://api.resources-game.ch/resimg/res35.png</t>
  </si>
  <si>
    <t>https://api.resources-game.ch/resimg/res36.png</t>
  </si>
  <si>
    <t>https://api.resources-game.ch/resimg/res37.png</t>
  </si>
  <si>
    <t>https://api.resources-game.ch/resimg/res38.png</t>
  </si>
  <si>
    <t>https://api.resources-game.ch/resimg/res39.png</t>
  </si>
  <si>
    <t>https://api.resources-game.ch/resimg/res40.png</t>
  </si>
  <si>
    <t>https://api.resources-game.ch/resimg/res41.png</t>
  </si>
  <si>
    <t>https://api.resources-game.ch/resimg/res42.png</t>
  </si>
  <si>
    <t>https://api.resources-game.ch/resimg/res43.png</t>
  </si>
  <si>
    <t>https://api.resources-game.ch/resimg/res44.png</t>
  </si>
  <si>
    <t>https://api.resources-game.ch/resimg/res45.png</t>
  </si>
  <si>
    <t>https://api.resources-game.ch/resimg/res46.png</t>
  </si>
  <si>
    <t>https://api.resources-game.ch/resimg/res48.png</t>
  </si>
  <si>
    <t>https://api.resources-game.ch/resimg/res49.png</t>
  </si>
  <si>
    <t>Ilmenite Mine</t>
  </si>
  <si>
    <t>https://api.resources-game.ch/resimg/res51.png</t>
  </si>
  <si>
    <t>https://api.resources-game.ch/resimg/res52.png</t>
  </si>
  <si>
    <t>https://api.resources-game.ch/resimg/res53.png</t>
  </si>
  <si>
    <t>Sand Mine</t>
  </si>
  <si>
    <t>https://api.resources-game.ch/resimg/res55.png</t>
  </si>
  <si>
    <t>https://api.resources-game.ch/resimg/res57.png</t>
  </si>
  <si>
    <t>https://api.resources-game.ch/resimg/res58.png</t>
  </si>
  <si>
    <t>https://api.resources-game.ch/resimg/res59.png</t>
  </si>
  <si>
    <t>https://api.resources-game.ch/resimg/res60.png</t>
  </si>
  <si>
    <t>https://api.resources-game.ch/resimg/res61.png</t>
  </si>
  <si>
    <t>https://api.resources-game.ch/resimg/res62.png</t>
  </si>
  <si>
    <t>https://api.resources-game.ch/resimg/res63.png</t>
  </si>
  <si>
    <t>https://api.resources-game.ch/resimg/res65.png</t>
  </si>
  <si>
    <t>https://api.resources-game.ch/resimg/res66.png</t>
  </si>
  <si>
    <t>https://api.resources-game.ch/resimg/res67.png</t>
  </si>
  <si>
    <t>https://api.resources-game.ch/resimg/res68.png</t>
  </si>
  <si>
    <t>https://api.resources-game.ch/resimg/res69.png</t>
  </si>
  <si>
    <t>https://api.resources-game.ch/resimg/res70.png</t>
  </si>
  <si>
    <t>https://api.resources-game.ch/resimg/res71.png</t>
  </si>
  <si>
    <t>https://api.resources-game.ch/resimg/res72.png</t>
  </si>
  <si>
    <t>https://api.resources-game.ch/resimg/res74.png</t>
  </si>
  <si>
    <t>https://api.resources-game.ch/resimg/res75.png</t>
  </si>
  <si>
    <t>Medical Technology Inc.</t>
  </si>
  <si>
    <t>https://api.resources-game.ch/resimg/res76.png</t>
  </si>
  <si>
    <t>https://api.resources-game.ch/resimg/res77.png</t>
  </si>
  <si>
    <t>https://api.resources-game.ch/resimg/res78.png</t>
  </si>
  <si>
    <t>https://api.resources-game.ch/resimg/res79.png</t>
  </si>
  <si>
    <t>https://api.resources-game.ch/resimg/res80.png</t>
  </si>
  <si>
    <t>https://api.resources-game.ch/resimg/res81.png</t>
  </si>
  <si>
    <t>Diamond Mine</t>
  </si>
  <si>
    <t>https://api.resources-game.ch/resimg/res84.png</t>
  </si>
  <si>
    <t>https://api.resources-game.ch/resimg/res85.png</t>
  </si>
  <si>
    <t>https://api.resources-game.ch/resimg/res86.png</t>
  </si>
  <si>
    <t>https://api.resources-game.ch/resimg/res87.png</t>
  </si>
  <si>
    <t>Lithium Ore Mine</t>
  </si>
  <si>
    <t>https://api.resources-game.ch/resimg/res90.png</t>
  </si>
  <si>
    <t>https://api.resources-game.ch/resimg/res91.png</t>
  </si>
  <si>
    <t>https://api.resources-game.ch/resimg/res92.png</t>
  </si>
  <si>
    <t>https://api.resources-game.ch/resimg/res93.png</t>
  </si>
  <si>
    <t>https://api.resources-game.ch/resimg/res95.png</t>
  </si>
  <si>
    <t>https://api.resources-game.ch/resimg/res96.png</t>
  </si>
  <si>
    <t>https://api.resources-game.ch/resimg/res97.png</t>
  </si>
  <si>
    <t>https://api.resources-game.ch/resimg/res98.png</t>
  </si>
  <si>
    <t>https://api.resources-game.ch/resimg/res99.png</t>
  </si>
  <si>
    <t>https://api.resources-game.ch/resimg/res101.png</t>
  </si>
  <si>
    <t>https://api.resources-game.ch/resimg/res102.png</t>
  </si>
  <si>
    <t>https://api.resources-game.ch/resimg/res103.png</t>
  </si>
  <si>
    <t>https://api.resources-game.ch/resimg/res104.png</t>
  </si>
  <si>
    <t>https://api.resources-game.ch/resimg/res115.png</t>
  </si>
  <si>
    <t>https://api.resources-game.ch/resimg/res116.png</t>
  </si>
  <si>
    <t>https://api.resources-game.ch/resimg/res117.png</t>
  </si>
  <si>
    <t>https://api.resources-game.ch/resimg/res118.png</t>
  </si>
  <si>
    <t>https://api.resources-game.ch/resimg/res119.png</t>
  </si>
  <si>
    <t>https://api.resources-game.ch/resimg/res120.png</t>
  </si>
  <si>
    <t>Service Center</t>
  </si>
  <si>
    <t>https://api.resources-game.ch/resimg/res121.png</t>
  </si>
  <si>
    <t>https://api.resources-game.ch/resimg/res122.png</t>
  </si>
  <si>
    <t>https://api.resources-game.ch/resimg/res123.png</t>
  </si>
  <si>
    <t>https://api.resources-game.ch/resimg/res124.png</t>
  </si>
  <si>
    <t>https://api.resources-game.ch/resimg/res125.png</t>
  </si>
  <si>
    <t>https://api.resources-game.ch/resimg/res126.png</t>
  </si>
  <si>
    <t>https://api.resources-game.ch/resimg/res127.png</t>
  </si>
  <si>
    <t>Night Shift</t>
  </si>
  <si>
    <t>https://api.resources-game.ch/resimg/res158.png</t>
  </si>
  <si>
    <t>Overtime</t>
  </si>
  <si>
    <t>https://api.resources-game.ch/resimg/res159.png</t>
  </si>
  <si>
    <t>https://api.resources-game.ch/resimg/res160.png</t>
  </si>
  <si>
    <t>Wage Subsidy</t>
  </si>
  <si>
    <t>https://api.resources-game.ch/resimg/res161.png</t>
  </si>
  <si>
    <t>questID</t>
  </si>
  <si>
    <t>title</t>
  </si>
  <si>
    <t>descr</t>
  </si>
  <si>
    <t>status</t>
  </si>
  <si>
    <t>progress</t>
  </si>
  <si>
    <t>missiongoal</t>
  </si>
  <si>
    <t>durHours</t>
  </si>
  <si>
    <t>rewarditem</t>
  </si>
  <si>
    <t>rewardamount</t>
  </si>
  <si>
    <t>penalty</t>
  </si>
  <si>
    <t>cooldown</t>
  </si>
  <si>
    <t>starttime</t>
  </si>
  <si>
    <t>endtime</t>
  </si>
  <si>
    <t>intervalDays</t>
  </si>
  <si>
    <t>thumb</t>
  </si>
  <si>
    <t>Bob The Builder</t>
  </si>
  <si>
    <t>Build {} mines</t>
  </si>
  <si>
    <t>https://appweb.resources-game.ch/webcontent/img/questimg/schauwieschoenichbau.jpg</t>
  </si>
  <si>
    <t>Need clay!</t>
  </si>
  <si>
    <t>Sell {}m3 clay</t>
  </si>
  <si>
    <t>https://appweb.resources-game.ch/webcontent/img/questimg/lehmbedarf.jpg</t>
  </si>
  <si>
    <t>Collectoritis</t>
  </si>
  <si>
    <t>Collect {} crates</t>
  </si>
  <si>
    <t>https://appweb.resources-game.ch/webcontent/img/questimg/altersammler.jpg</t>
  </si>
  <si>
    <t>Scan junkie</t>
  </si>
  <si>
    <t>Scan for deposits  {} times</t>
  </si>
  <si>
    <t>https://appweb.resources-game.ch/webcontent/img/questimg/scanneumgebung.jpg</t>
  </si>
  <si>
    <t>Warehouse boss</t>
  </si>
  <si>
    <t>Expand your warehouses {} times</t>
  </si>
  <si>
    <t>https://appweb.resources-game.ch/webcontent/img/questimg/lager.jpg</t>
  </si>
  <si>
    <t>Stinginess is awesome!</t>
  </si>
  <si>
    <t>Perform {} free (="boss in range") maintenances</t>
  </si>
  <si>
    <t>https://appweb.resources-game.ch/webcontent/img/questimg/geizistgeil.jpg</t>
  </si>
  <si>
    <t>Need more insecticides!</t>
  </si>
  <si>
    <t>Sell {}m3 insecticides</t>
  </si>
  <si>
    <t>https://appweb.resources-game.ch/webcontent/img/questimg/insektizidebedarf.jpg</t>
  </si>
  <si>
    <t>Time is Money</t>
  </si>
  <si>
    <t>Trigger {} instant-productions (use a Giant Diamond to hasten production)</t>
  </si>
  <si>
    <t>https://appweb.resources-game.ch/webcontent/img/questimg/zeitistgeld.jpg</t>
  </si>
  <si>
    <t>Paranoia?</t>
  </si>
  <si>
    <t>Assign {} units to defend your mines</t>
  </si>
  <si>
    <t>https://appweb.resources-game.ch/webcontent/img/questimg/paranoid.jpg</t>
  </si>
  <si>
    <t>Pimp my mine</t>
  </si>
  <si>
    <t>Apply {} Tech upgrades to your mines</t>
  </si>
  <si>
    <t>https://appweb.resources-game.ch/webcontent/img/questimg/pimpmyfa.jpg</t>
  </si>
  <si>
    <t>Pimp my factory</t>
  </si>
  <si>
    <t>Upgrade your factories {} times</t>
  </si>
  <si>
    <t>https://appweb.resources-game.ch/webcontent/img/questimg/pimp_my_fabrik.jpg</t>
  </si>
  <si>
    <t>Repair {} mines with maintenance kits</t>
  </si>
  <si>
    <t>https://appweb.resources-game.ch/webcontent/img/questimg/wartung.jpg</t>
  </si>
  <si>
    <t>Consolation money</t>
  </si>
  <si>
    <t>Suffer an epidemic</t>
  </si>
  <si>
    <t>https://appweb.resources-game.ch/webcontent/img/questimg/trostpflaster.jpg</t>
  </si>
  <si>
    <t>Insurance</t>
  </si>
  <si>
    <t>Suffer a mine accident</t>
  </si>
  <si>
    <t>https://appweb.resources-game.ch/webcontent/img/questimg/insurance.jpg</t>
  </si>
  <si>
    <t>Wanderer</t>
  </si>
  <si>
    <t>Walk a distance of {}m (Resources must be running to count)</t>
  </si>
  <si>
    <t>https://appweb.resources-game.ch/webcontent/img/questimg/wanderer.jpg</t>
  </si>
  <si>
    <t>Service</t>
  </si>
  <si>
    <t>Repair {} of someone else's mines</t>
  </si>
  <si>
    <t>https://appweb.resources-game.ch/webcontent/img/questimg/fremdwartung.jpg</t>
  </si>
  <si>
    <t>Truck dealer</t>
  </si>
  <si>
    <t>Sell {} trucks</t>
  </si>
  <si>
    <t>https://appweb.resources-game.ch/webcontent/img/questimg/spediteur.jpg</t>
  </si>
  <si>
    <t>...anyone need drones?</t>
  </si>
  <si>
    <t>Sell {} scandrones</t>
  </si>
  <si>
    <t>https://appweb.resources-game.ch/webcontent/img/questimg/drohnendroenen2.jpg</t>
  </si>
  <si>
    <t>itemName</t>
  </si>
  <si>
    <t>factoryName</t>
  </si>
  <si>
    <t>baseOutputPerHour</t>
  </si>
  <si>
    <t>outputPerCycle</t>
  </si>
  <si>
    <t>creditsPerCycle</t>
  </si>
  <si>
    <t>itemID1</t>
  </si>
  <si>
    <t>item1QtyPerCycle</t>
  </si>
  <si>
    <t>itemID2</t>
  </si>
  <si>
    <t>item2QtyPerCycle</t>
  </si>
  <si>
    <t>itemID3</t>
  </si>
  <si>
    <t>item3QtyPerCycle</t>
  </si>
  <si>
    <t xml:space="preserve"> Limestone</t>
  </si>
  <si>
    <t xml:space="preserve"> Clay</t>
  </si>
  <si>
    <t xml:space="preserve"> Gravel</t>
  </si>
  <si>
    <t xml:space="preserve"> Coal</t>
  </si>
  <si>
    <t xml:space="preserve"> Iron ore</t>
  </si>
  <si>
    <t xml:space="preserve"> Bauxite</t>
  </si>
  <si>
    <t xml:space="preserve"> Ilmenite</t>
  </si>
  <si>
    <t xml:space="preserve"> Chalcopyrite</t>
  </si>
  <si>
    <t xml:space="preserve"> Quartz sand</t>
  </si>
  <si>
    <t xml:space="preserve"> Lithium ore</t>
  </si>
  <si>
    <t xml:space="preserve"> Crude oil</t>
  </si>
  <si>
    <t xml:space="preserve"> Silver ore</t>
  </si>
  <si>
    <t xml:space="preserve"> Gold ore</t>
  </si>
  <si>
    <t xml:space="preserve"> Rough diamonds</t>
  </si>
  <si>
    <t>Map distribution (%)</t>
  </si>
  <si>
    <t>m3/h (Q100%)</t>
  </si>
  <si>
    <t>€/h (Q100%)</t>
  </si>
  <si>
    <t>ROI = (zisk-náklady)/náklady*100</t>
  </si>
  <si>
    <t>Base cost</t>
  </si>
  <si>
    <t>Formula for Mine Cost: [Base Cost] * (1 + [Total number of mines]/50)</t>
  </si>
  <si>
    <t xml:space="preserve">Graf ROI 20 dní pro všechny resources </t>
  </si>
  <si>
    <t>Každý den condition ztratí 4%. Pod 20% se důl zhroutí.</t>
  </si>
  <si>
    <t>Experts can be hired to repair a mine individually, or a team of experts can be hired to repair every mine for 3x the normal price per mine.</t>
  </si>
  <si>
    <t>Diferenciální rovnice</t>
  </si>
  <si>
    <t>Number of hours</t>
  </si>
  <si>
    <t>Condition</t>
  </si>
  <si>
    <t>Production</t>
  </si>
  <si>
    <r>
      <t xml:space="preserve">Excel: </t>
    </r>
    <r>
      <rPr>
        <sz val="10"/>
        <color rgb="FF000000"/>
        <rFont val="Arial Unicode MS"/>
      </rPr>
      <t>=EXP(-0.04/24*A2)</t>
    </r>
  </si>
  <si>
    <r>
      <t xml:space="preserve">Produkce: </t>
    </r>
    <r>
      <rPr>
        <sz val="10"/>
        <color rgb="FF000000"/>
        <rFont val="Arial Unicode MS"/>
      </rPr>
      <t>=1530*EXP(-0.04/24*A2)</t>
    </r>
  </si>
  <si>
    <t>mineID</t>
  </si>
  <si>
    <t>lat</t>
  </si>
  <si>
    <t>lon</t>
  </si>
  <si>
    <t>HQboost</t>
  </si>
  <si>
    <t>fullrate</t>
  </si>
  <si>
    <t>rawrate</t>
  </si>
  <si>
    <t>techfactor</t>
  </si>
  <si>
    <t>builddate</t>
  </si>
  <si>
    <t>lastmaintenance</t>
  </si>
  <si>
    <t>condition</t>
  </si>
  <si>
    <t>resourceName</t>
  </si>
  <si>
    <t>resourceID</t>
  </si>
  <si>
    <t>lastenemyaction</t>
  </si>
  <si>
    <t>def1</t>
  </si>
  <si>
    <t>def2</t>
  </si>
  <si>
    <t>def3</t>
  </si>
  <si>
    <t>attackpenalty</t>
  </si>
  <si>
    <t>attackcount</t>
  </si>
  <si>
    <t>attacklost</t>
  </si>
  <si>
    <t>quality</t>
  </si>
  <si>
    <t>qualityInclTU</t>
  </si>
  <si>
    <t>KIprice</t>
  </si>
  <si>
    <t>price</t>
  </si>
  <si>
    <t>unixts</t>
  </si>
  <si>
    <t>Ceny warehouse updatů</t>
  </si>
  <si>
    <t>Mise?</t>
  </si>
  <si>
    <t>Skóre - jak se počítá?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</si>
</sst>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gt;999999999.999]\$#.00,,,\ \ &quot;B&quot;;[&gt;999999.999]\$#.00,,\ \ &quot;M&quot;;\$#,##0\﻿"/>
    <numFmt numFmtId="165" formatCode="&quot;$&quot;#,##0.00"/>
    <numFmt numFmtId="166" formatCode="#,##0.0"/>
    <numFmt numFmtId="167" formatCode="#,##0;\(#,##0\)"/>
    <numFmt numFmtId="168" formatCode="[$$]#,##0"/>
  </numFmts>
  <fonts count="56">
    <font>
      <sz val="10"/>
      <color rgb="FF000000"/>
      <name val="Arial"/>
    </font>
    <font>
      <b/>
      <sz val="10"/>
      <name val="Arial"/>
    </font>
    <font>
      <sz val="12"/>
      <name val="Arial"/>
    </font>
    <font>
      <sz val="10"/>
      <name val="Arial"/>
    </font>
    <font>
      <sz val="11"/>
      <color rgb="FF000000"/>
      <name val="Inconsolata"/>
    </font>
    <font>
      <b/>
      <sz val="12"/>
      <name val="Arial"/>
    </font>
    <font>
      <sz val="10"/>
      <name val="Arial"/>
    </font>
    <font>
      <sz val="10"/>
      <color rgb="FF000000"/>
      <name val="Arial"/>
    </font>
    <font>
      <sz val="10"/>
      <color rgb="FF0000FF"/>
      <name val="Arial"/>
    </font>
    <font>
      <b/>
      <sz val="10"/>
      <color rgb="FFB45F06"/>
      <name val="Arial"/>
    </font>
    <font>
      <sz val="11"/>
      <color rgb="FF0000FF"/>
      <name val="Proxima Nova"/>
    </font>
    <font>
      <b/>
      <sz val="16"/>
      <name val="Arial"/>
    </font>
    <font>
      <b/>
      <sz val="10"/>
      <color rgb="FF000000"/>
      <name val="Arial"/>
    </font>
    <font>
      <b/>
      <sz val="10"/>
      <color rgb="FF0000FF"/>
      <name val="Arial"/>
    </font>
    <font>
      <b/>
      <sz val="10"/>
      <color rgb="FF0000FF"/>
      <name val="Arial"/>
    </font>
    <font>
      <i/>
      <sz val="10"/>
      <name val="Arial"/>
    </font>
    <font>
      <b/>
      <sz val="14"/>
      <name val="Arial"/>
    </font>
    <font>
      <sz val="10"/>
      <color rgb="FF000000"/>
      <name val="Arial"/>
    </font>
    <font>
      <sz val="10"/>
      <color rgb="FF262626"/>
      <name val="Arial"/>
    </font>
    <font>
      <b/>
      <sz val="14"/>
      <color rgb="FF262626"/>
      <name val="Arial"/>
    </font>
    <font>
      <u/>
      <sz val="10"/>
      <color rgb="FF0000FF"/>
      <name val="Arial"/>
    </font>
    <font>
      <u/>
      <sz val="10"/>
      <color rgb="FF0000FF"/>
      <name val="Arial"/>
    </font>
    <font>
      <u/>
      <sz val="10"/>
      <color rgb="FF0000FF"/>
      <name val="Arial"/>
    </font>
    <font>
      <u/>
      <sz val="10"/>
      <color rgb="FF0000FF"/>
      <name val="Arial"/>
    </font>
    <font>
      <sz val="10"/>
      <color rgb="FF263238"/>
      <name val="Arial"/>
    </font>
    <font>
      <u/>
      <sz val="10"/>
      <color rgb="FF427FED"/>
      <name val="Roboto"/>
    </font>
    <font>
      <sz val="10"/>
      <name val="Arial"/>
    </font>
    <font>
      <b/>
      <sz val="10"/>
      <name val="Arial"/>
    </font>
    <font>
      <b/>
      <sz val="12"/>
      <name val="Arial"/>
    </font>
    <font>
      <sz val="10"/>
      <color rgb="FFFFFFFF"/>
      <name val="Arial"/>
    </font>
    <font>
      <b/>
      <sz val="10"/>
      <color rgb="FF000000"/>
      <name val="Arial"/>
    </font>
    <font>
      <sz val="10"/>
      <color rgb="FF000000"/>
      <name val="Roboto"/>
    </font>
    <font>
      <u/>
      <sz val="10"/>
      <color rgb="FF000000"/>
      <name val="Arial"/>
    </font>
    <font>
      <sz val="11"/>
      <color rgb="FF000000"/>
      <name val="Proxima Nova"/>
    </font>
    <font>
      <sz val="9"/>
      <color rgb="FF000000"/>
      <name val="Verdana"/>
    </font>
    <font>
      <u/>
      <sz val="9"/>
      <color rgb="FF000000"/>
      <name val="Verdana"/>
    </font>
    <font>
      <u/>
      <sz val="11"/>
      <color rgb="FF000000"/>
      <name val="Inconsolata"/>
    </font>
    <font>
      <sz val="10"/>
      <color rgb="FFFFFFFF"/>
      <name val="Arial"/>
    </font>
    <font>
      <b/>
      <sz val="17"/>
      <name val="Arial"/>
    </font>
    <font>
      <sz val="10"/>
      <color rgb="FF666666"/>
      <name val="Arial"/>
    </font>
    <font>
      <sz val="10"/>
      <color rgb="FF0000FF"/>
      <name val="Arial"/>
    </font>
    <font>
      <b/>
      <sz val="17"/>
      <name val="Arial"/>
    </font>
    <font>
      <b/>
      <sz val="10"/>
      <color rgb="FFB45F06"/>
      <name val="Arial"/>
    </font>
    <font>
      <sz val="10"/>
      <color rgb="FF999999"/>
      <name val="Arial"/>
    </font>
    <font>
      <sz val="11"/>
      <name val="Arial"/>
    </font>
    <font>
      <u/>
      <sz val="11"/>
      <color rgb="FF008000"/>
      <name val="Arial"/>
    </font>
    <font>
      <sz val="10"/>
      <color rgb="FF333333"/>
      <name val="Arial"/>
    </font>
    <font>
      <sz val="11"/>
      <color rgb="FF777777"/>
      <name val="Inconsolata"/>
    </font>
    <font>
      <sz val="10"/>
      <color rgb="FF4285F4"/>
      <name val="Arial"/>
    </font>
    <font>
      <b/>
      <sz val="16"/>
      <name val="Arial"/>
    </font>
    <font>
      <u/>
      <sz val="10"/>
      <color theme="10"/>
      <name val="Arial"/>
    </font>
    <font>
      <sz val="9"/>
      <color indexed="81"/>
      <name val="Tahoma"/>
      <charset val="1"/>
    </font>
    <font>
      <sz val="10"/>
      <color rgb="FF000000"/>
      <name val="Arial"/>
      <family val="2"/>
      <charset val="238"/>
    </font>
    <font>
      <b/>
      <sz val="10"/>
      <name val="Arial"/>
      <family val="2"/>
      <charset val="238"/>
    </font>
    <font>
      <sz val="10"/>
      <color rgb="FF3A3A3A"/>
      <name val="Arial"/>
      <family val="2"/>
      <charset val="238"/>
    </font>
    <font>
      <sz val="10"/>
      <color rgb="FF000000"/>
      <name val="Arial Unicode MS"/>
    </font>
  </fonts>
  <fills count="40">
    <fill>
      <patternFill patternType="none"/>
    </fill>
    <fill>
      <patternFill patternType="gray125"/>
    </fill>
    <fill>
      <patternFill patternType="solid">
        <fgColor rgb="FFD9D9D9"/>
        <bgColor rgb="FFD9D9D9"/>
      </patternFill>
    </fill>
    <fill>
      <patternFill patternType="solid">
        <fgColor rgb="FF00FF00"/>
        <bgColor rgb="FF00FF00"/>
      </patternFill>
    </fill>
    <fill>
      <patternFill patternType="solid">
        <fgColor rgb="FFFFFF00"/>
        <bgColor rgb="FFFFFF00"/>
      </patternFill>
    </fill>
    <fill>
      <patternFill patternType="solid">
        <fgColor rgb="FFFFFFFF"/>
        <bgColor rgb="FFFFFFFF"/>
      </patternFill>
    </fill>
    <fill>
      <patternFill patternType="solid">
        <fgColor rgb="FFA4C2F4"/>
        <bgColor rgb="FFA4C2F4"/>
      </patternFill>
    </fill>
    <fill>
      <patternFill patternType="solid">
        <fgColor rgb="FFF9CB9C"/>
        <bgColor rgb="FFF9CB9C"/>
      </patternFill>
    </fill>
    <fill>
      <patternFill patternType="solid">
        <fgColor rgb="FF9FC5E8"/>
        <bgColor rgb="FF9FC5E8"/>
      </patternFill>
    </fill>
    <fill>
      <patternFill patternType="solid">
        <fgColor rgb="FFF5F5F5"/>
        <bgColor rgb="FFF5F5F5"/>
      </patternFill>
    </fill>
    <fill>
      <patternFill patternType="solid">
        <fgColor rgb="FFCCCCCC"/>
        <bgColor rgb="FFCCCCCC"/>
      </patternFill>
    </fill>
    <fill>
      <patternFill patternType="solid">
        <fgColor rgb="FF57BB8A"/>
        <bgColor rgb="FF57BB8A"/>
      </patternFill>
    </fill>
    <fill>
      <patternFill patternType="solid">
        <fgColor rgb="FFFFD666"/>
        <bgColor rgb="FFFFD666"/>
      </patternFill>
    </fill>
    <fill>
      <patternFill patternType="solid">
        <fgColor rgb="FF60BF90"/>
        <bgColor rgb="FF60BF90"/>
      </patternFill>
    </fill>
    <fill>
      <patternFill patternType="solid">
        <fgColor rgb="FF7EC182"/>
        <bgColor rgb="FF7EC182"/>
      </patternFill>
    </fill>
    <fill>
      <patternFill patternType="solid">
        <fgColor rgb="FF68C296"/>
        <bgColor rgb="FF68C296"/>
      </patternFill>
    </fill>
    <fill>
      <patternFill patternType="solid">
        <fgColor rgb="FF71C69C"/>
        <bgColor rgb="FF71C69C"/>
      </patternFill>
    </fill>
    <fill>
      <patternFill patternType="solid">
        <fgColor rgb="FF79C9A2"/>
        <bgColor rgb="FF79C9A2"/>
      </patternFill>
    </fill>
    <fill>
      <patternFill patternType="solid">
        <fgColor rgb="FF81CCA8"/>
        <bgColor rgb="FF81CCA8"/>
      </patternFill>
    </fill>
    <fill>
      <patternFill patternType="solid">
        <fgColor rgb="FF8AD0AE"/>
        <bgColor rgb="FF8AD0AE"/>
      </patternFill>
    </fill>
    <fill>
      <patternFill patternType="solid">
        <fgColor rgb="FF92D3B3"/>
        <bgColor rgb="FF92D3B3"/>
      </patternFill>
    </fill>
    <fill>
      <patternFill patternType="solid">
        <fgColor rgb="FF9BD7B9"/>
        <bgColor rgb="FF9BD7B9"/>
      </patternFill>
    </fill>
    <fill>
      <patternFill patternType="solid">
        <fgColor rgb="FFA3DABF"/>
        <bgColor rgb="FFA3DABF"/>
      </patternFill>
    </fill>
    <fill>
      <patternFill patternType="solid">
        <fgColor rgb="FFACDEC5"/>
        <bgColor rgb="FFACDEC5"/>
      </patternFill>
    </fill>
    <fill>
      <patternFill patternType="solid">
        <fgColor rgb="FFB4E1CB"/>
        <bgColor rgb="FFB4E1CB"/>
      </patternFill>
    </fill>
    <fill>
      <patternFill patternType="solid">
        <fgColor rgb="FFBCE4D1"/>
        <bgColor rgb="FFBCE4D1"/>
      </patternFill>
    </fill>
    <fill>
      <patternFill patternType="solid">
        <fgColor rgb="FFC5E8D7"/>
        <bgColor rgb="FFC5E8D7"/>
      </patternFill>
    </fill>
    <fill>
      <patternFill patternType="solid">
        <fgColor rgb="FFCDEBDC"/>
        <bgColor rgb="FFCDEBDC"/>
      </patternFill>
    </fill>
    <fill>
      <patternFill patternType="solid">
        <fgColor rgb="FFD5EEE2"/>
        <bgColor rgb="FFD5EEE2"/>
      </patternFill>
    </fill>
    <fill>
      <patternFill patternType="solid">
        <fgColor rgb="FFDEF2E8"/>
        <bgColor rgb="FFDEF2E8"/>
      </patternFill>
    </fill>
    <fill>
      <patternFill patternType="solid">
        <fgColor rgb="FFE6F5EE"/>
        <bgColor rgb="FFE6F5EE"/>
      </patternFill>
    </fill>
    <fill>
      <patternFill patternType="solid">
        <fgColor rgb="FFEFF9F4"/>
        <bgColor rgb="FFEFF9F4"/>
      </patternFill>
    </fill>
    <fill>
      <patternFill patternType="solid">
        <fgColor rgb="FFF7FCFA"/>
        <bgColor rgb="FFF7FCFA"/>
      </patternFill>
    </fill>
    <fill>
      <patternFill patternType="solid">
        <fgColor rgb="FFFF0000"/>
        <bgColor rgb="FFFF0000"/>
      </patternFill>
    </fill>
    <fill>
      <patternFill patternType="solid">
        <fgColor rgb="FFB7E1CD"/>
        <bgColor rgb="FFB7E1CD"/>
      </patternFill>
    </fill>
    <fill>
      <patternFill patternType="solid">
        <fgColor rgb="FF666666"/>
        <bgColor rgb="FF666666"/>
      </patternFill>
    </fill>
    <fill>
      <patternFill patternType="solid">
        <fgColor rgb="FFB7B7B7"/>
        <bgColor rgb="FFB7B7B7"/>
      </patternFill>
    </fill>
    <fill>
      <patternFill patternType="solid">
        <fgColor rgb="FF6FA8DC"/>
        <bgColor rgb="FF6FA8DC"/>
      </patternFill>
    </fill>
    <fill>
      <patternFill patternType="solid">
        <fgColor rgb="FFFFE599"/>
        <bgColor rgb="FFFFE599"/>
      </patternFill>
    </fill>
    <fill>
      <patternFill patternType="solid">
        <fgColor rgb="FF93C47D"/>
        <bgColor rgb="FF93C47D"/>
      </patternFill>
    </fill>
  </fills>
  <borders count="21">
    <border>
      <left/>
      <right/>
      <top/>
      <bottom/>
      <diagonal/>
    </border>
    <border>
      <left/>
      <right/>
      <top style="thin">
        <color rgb="FF000000"/>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right/>
      <top/>
      <bottom/>
      <diagonal/>
    </border>
    <border>
      <left/>
      <right/>
      <top/>
      <bottom/>
      <diagonal/>
    </border>
    <border>
      <left/>
      <right/>
      <top/>
      <bottom/>
      <diagonal/>
    </border>
    <border>
      <left/>
      <right/>
      <top/>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right/>
      <top/>
      <bottom/>
      <diagonal/>
    </border>
    <border>
      <left/>
      <right/>
      <top/>
      <bottom/>
      <diagonal/>
    </border>
    <border>
      <left/>
      <right/>
      <top/>
      <bottom/>
      <diagonal/>
    </border>
  </borders>
  <cellStyleXfs count="2">
    <xf numFmtId="0" fontId="0" fillId="0" borderId="0"/>
    <xf numFmtId="0" fontId="50" fillId="0" borderId="0" applyNumberFormat="0" applyFill="0" applyBorder="0" applyAlignment="0" applyProtection="0"/>
  </cellStyleXfs>
  <cellXfs count="198">
    <xf numFmtId="0" fontId="0" fillId="0" borderId="0" xfId="0"/>
    <xf numFmtId="0" fontId="1" fillId="2" borderId="1" xfId="0" applyFont="1" applyFill="1" applyBorder="1"/>
    <xf numFmtId="0" fontId="2" fillId="0" borderId="0" xfId="0" applyFont="1"/>
    <xf numFmtId="0" fontId="3" fillId="0" borderId="0" xfId="0" applyFont="1"/>
    <xf numFmtId="164" fontId="3" fillId="3" borderId="0" xfId="0" applyNumberFormat="1" applyFont="1" applyFill="1"/>
    <xf numFmtId="164" fontId="3" fillId="0" borderId="0" xfId="0" applyNumberFormat="1" applyFont="1"/>
    <xf numFmtId="164" fontId="3" fillId="4" borderId="0" xfId="0" applyNumberFormat="1" applyFont="1" applyFill="1"/>
    <xf numFmtId="0" fontId="4" fillId="5" borderId="0" xfId="0" applyFont="1" applyFill="1"/>
    <xf numFmtId="0" fontId="5" fillId="0" borderId="0" xfId="0" applyFont="1"/>
    <xf numFmtId="164" fontId="2" fillId="0" borderId="0" xfId="0" applyNumberFormat="1" applyFont="1"/>
    <xf numFmtId="0" fontId="2" fillId="2" borderId="1" xfId="0" applyFont="1" applyFill="1" applyBorder="1"/>
    <xf numFmtId="0" fontId="5" fillId="2" borderId="1" xfId="0" applyFont="1" applyFill="1" applyBorder="1"/>
    <xf numFmtId="3" fontId="3" fillId="0" borderId="0" xfId="0" applyNumberFormat="1" applyFont="1"/>
    <xf numFmtId="10" fontId="3" fillId="0" borderId="0" xfId="0" applyNumberFormat="1" applyFont="1" applyAlignment="1">
      <alignment horizontal="right"/>
    </xf>
    <xf numFmtId="10" fontId="3" fillId="0" borderId="0" xfId="0" applyNumberFormat="1" applyFont="1"/>
    <xf numFmtId="0" fontId="1" fillId="2" borderId="2" xfId="0" applyFont="1" applyFill="1" applyBorder="1"/>
    <xf numFmtId="3" fontId="6" fillId="5" borderId="0" xfId="0" applyNumberFormat="1" applyFont="1" applyFill="1"/>
    <xf numFmtId="4" fontId="3" fillId="0" borderId="0" xfId="0" applyNumberFormat="1" applyFont="1"/>
    <xf numFmtId="3" fontId="1" fillId="2" borderId="1" xfId="0" applyNumberFormat="1" applyFont="1" applyFill="1" applyBorder="1"/>
    <xf numFmtId="165" fontId="3" fillId="0" borderId="0" xfId="0" applyNumberFormat="1" applyFont="1"/>
    <xf numFmtId="3" fontId="3" fillId="0" borderId="0" xfId="0" applyNumberFormat="1" applyFont="1" applyAlignment="1">
      <alignment horizontal="left"/>
    </xf>
    <xf numFmtId="3" fontId="7" fillId="0" borderId="0" xfId="0" applyNumberFormat="1" applyFont="1"/>
    <xf numFmtId="0" fontId="4" fillId="5" borderId="5" xfId="0" applyFont="1" applyFill="1" applyBorder="1"/>
    <xf numFmtId="3" fontId="6" fillId="5" borderId="5" xfId="0" applyNumberFormat="1" applyFont="1" applyFill="1" applyBorder="1"/>
    <xf numFmtId="0" fontId="7" fillId="0" borderId="0" xfId="0" applyFont="1"/>
    <xf numFmtId="0" fontId="8" fillId="6" borderId="0" xfId="0" applyFont="1" applyFill="1"/>
    <xf numFmtId="0" fontId="9" fillId="7" borderId="0" xfId="0" applyFont="1" applyFill="1"/>
    <xf numFmtId="0" fontId="11" fillId="0" borderId="0" xfId="0" applyFont="1"/>
    <xf numFmtId="0" fontId="12" fillId="0" borderId="0" xfId="0" applyFont="1"/>
    <xf numFmtId="0" fontId="13" fillId="8" borderId="0" xfId="0" applyFont="1" applyFill="1" applyAlignment="1">
      <alignment horizontal="right"/>
    </xf>
    <xf numFmtId="3" fontId="12" fillId="5" borderId="0" xfId="0" applyNumberFormat="1" applyFont="1" applyFill="1"/>
    <xf numFmtId="3" fontId="13" fillId="8" borderId="0" xfId="0" applyNumberFormat="1" applyFont="1" applyFill="1" applyAlignment="1">
      <alignment horizontal="right"/>
    </xf>
    <xf numFmtId="3" fontId="9" fillId="7" borderId="0" xfId="0" applyNumberFormat="1" applyFont="1" applyFill="1"/>
    <xf numFmtId="0" fontId="12" fillId="5" borderId="0" xfId="0" applyFont="1" applyFill="1"/>
    <xf numFmtId="0" fontId="1" fillId="0" borderId="0" xfId="0" applyFont="1"/>
    <xf numFmtId="0" fontId="14" fillId="8" borderId="0" xfId="0" applyFont="1" applyFill="1"/>
    <xf numFmtId="0" fontId="14" fillId="6" borderId="0" xfId="0" applyFont="1" applyFill="1"/>
    <xf numFmtId="0" fontId="15" fillId="0" borderId="0" xfId="0" applyFont="1"/>
    <xf numFmtId="0" fontId="16" fillId="0" borderId="0" xfId="0" applyFont="1"/>
    <xf numFmtId="0" fontId="17" fillId="5" borderId="5" xfId="0" applyFont="1" applyFill="1" applyBorder="1"/>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24" fillId="0" borderId="0" xfId="0" applyFont="1" applyAlignment="1">
      <alignment horizontal="left" vertical="top" wrapText="1"/>
    </xf>
    <xf numFmtId="0" fontId="25" fillId="9" borderId="5" xfId="0" applyFont="1" applyFill="1" applyBorder="1"/>
    <xf numFmtId="0" fontId="17" fillId="5" borderId="5" xfId="0" applyFont="1" applyFill="1" applyBorder="1" applyAlignment="1">
      <alignment horizontal="left"/>
    </xf>
    <xf numFmtId="0" fontId="26" fillId="0" borderId="0" xfId="0" applyFont="1"/>
    <xf numFmtId="0" fontId="27" fillId="0" borderId="0" xfId="0" applyFont="1"/>
    <xf numFmtId="0" fontId="26" fillId="5" borderId="5" xfId="0" applyFont="1" applyFill="1" applyBorder="1"/>
    <xf numFmtId="0" fontId="1" fillId="6" borderId="1" xfId="0" applyFont="1" applyFill="1" applyBorder="1"/>
    <xf numFmtId="166" fontId="3" fillId="0" borderId="0" xfId="0" applyNumberFormat="1" applyFont="1"/>
    <xf numFmtId="0" fontId="26" fillId="0" borderId="0" xfId="0" applyFont="1" applyAlignment="1">
      <alignment horizontal="center"/>
    </xf>
    <xf numFmtId="0" fontId="27" fillId="0" borderId="0" xfId="0" applyFont="1" applyAlignment="1">
      <alignment horizontal="center"/>
    </xf>
    <xf numFmtId="0" fontId="26" fillId="11" borderId="5" xfId="0" applyFont="1" applyFill="1" applyBorder="1" applyAlignment="1">
      <alignment horizontal="right"/>
    </xf>
    <xf numFmtId="0" fontId="26" fillId="5" borderId="5" xfId="0" applyFont="1" applyFill="1" applyBorder="1" applyAlignment="1">
      <alignment horizontal="right"/>
    </xf>
    <xf numFmtId="9" fontId="26" fillId="0" borderId="0" xfId="0" applyNumberFormat="1" applyFont="1" applyAlignment="1">
      <alignment horizontal="right"/>
    </xf>
    <xf numFmtId="0" fontId="26" fillId="13" borderId="5" xfId="0" applyFont="1" applyFill="1" applyBorder="1" applyAlignment="1">
      <alignment horizontal="right"/>
    </xf>
    <xf numFmtId="0" fontId="13" fillId="8" borderId="5" xfId="0" applyFont="1" applyFill="1" applyBorder="1" applyAlignment="1">
      <alignment horizontal="right"/>
    </xf>
    <xf numFmtId="0" fontId="26" fillId="15" borderId="5" xfId="0" applyFont="1" applyFill="1" applyBorder="1" applyAlignment="1">
      <alignment horizontal="right"/>
    </xf>
    <xf numFmtId="0" fontId="26" fillId="16" borderId="5" xfId="0" applyFont="1" applyFill="1" applyBorder="1" applyAlignment="1">
      <alignment horizontal="right"/>
    </xf>
    <xf numFmtId="0" fontId="26" fillId="17" borderId="5" xfId="0" applyFont="1" applyFill="1" applyBorder="1" applyAlignment="1">
      <alignment horizontal="right"/>
    </xf>
    <xf numFmtId="0" fontId="26" fillId="18" borderId="5" xfId="0" applyFont="1" applyFill="1" applyBorder="1" applyAlignment="1">
      <alignment horizontal="right"/>
    </xf>
    <xf numFmtId="0" fontId="26" fillId="19" borderId="5" xfId="0" applyFont="1" applyFill="1" applyBorder="1" applyAlignment="1">
      <alignment horizontal="right"/>
    </xf>
    <xf numFmtId="0" fontId="26" fillId="20" borderId="5" xfId="0" applyFont="1" applyFill="1" applyBorder="1" applyAlignment="1">
      <alignment horizontal="right"/>
    </xf>
    <xf numFmtId="0" fontId="26" fillId="21" borderId="5" xfId="0" applyFont="1" applyFill="1" applyBorder="1" applyAlignment="1">
      <alignment horizontal="right"/>
    </xf>
    <xf numFmtId="0" fontId="26" fillId="22" borderId="5" xfId="0" applyFont="1" applyFill="1" applyBorder="1" applyAlignment="1">
      <alignment horizontal="right"/>
    </xf>
    <xf numFmtId="0" fontId="26" fillId="23" borderId="5" xfId="0" applyFont="1" applyFill="1" applyBorder="1" applyAlignment="1">
      <alignment horizontal="right"/>
    </xf>
    <xf numFmtId="0" fontId="26" fillId="24" borderId="5" xfId="0" applyFont="1" applyFill="1" applyBorder="1" applyAlignment="1">
      <alignment horizontal="right"/>
    </xf>
    <xf numFmtId="0" fontId="26" fillId="25" borderId="5" xfId="0" applyFont="1" applyFill="1" applyBorder="1" applyAlignment="1">
      <alignment horizontal="right"/>
    </xf>
    <xf numFmtId="0" fontId="26" fillId="26" borderId="5" xfId="0" applyFont="1" applyFill="1" applyBorder="1" applyAlignment="1">
      <alignment horizontal="right"/>
    </xf>
    <xf numFmtId="0" fontId="26" fillId="27" borderId="5" xfId="0" applyFont="1" applyFill="1" applyBorder="1" applyAlignment="1">
      <alignment horizontal="right"/>
    </xf>
    <xf numFmtId="0" fontId="26" fillId="28" borderId="5" xfId="0" applyFont="1" applyFill="1" applyBorder="1" applyAlignment="1">
      <alignment horizontal="right"/>
    </xf>
    <xf numFmtId="0" fontId="26" fillId="29" borderId="5" xfId="0" applyFont="1" applyFill="1" applyBorder="1" applyAlignment="1">
      <alignment horizontal="right"/>
    </xf>
    <xf numFmtId="0" fontId="26" fillId="30" borderId="5" xfId="0" applyFont="1" applyFill="1" applyBorder="1" applyAlignment="1">
      <alignment horizontal="right"/>
    </xf>
    <xf numFmtId="0" fontId="26" fillId="31" borderId="5" xfId="0" applyFont="1" applyFill="1" applyBorder="1" applyAlignment="1">
      <alignment horizontal="right"/>
    </xf>
    <xf numFmtId="0" fontId="26" fillId="32" borderId="5" xfId="0" applyFont="1" applyFill="1" applyBorder="1" applyAlignment="1">
      <alignment horizontal="right"/>
    </xf>
    <xf numFmtId="0" fontId="29" fillId="33" borderId="5" xfId="0" applyFont="1" applyFill="1" applyBorder="1" applyAlignment="1">
      <alignment horizontal="center"/>
    </xf>
    <xf numFmtId="0" fontId="30" fillId="5" borderId="5" xfId="0" applyFont="1" applyFill="1" applyBorder="1"/>
    <xf numFmtId="0" fontId="17" fillId="34" borderId="5" xfId="0" applyFont="1" applyFill="1" applyBorder="1"/>
    <xf numFmtId="0" fontId="31" fillId="5" borderId="5" xfId="0" applyFont="1" applyFill="1" applyBorder="1"/>
    <xf numFmtId="0" fontId="32" fillId="5" borderId="5" xfId="0" applyFont="1" applyFill="1" applyBorder="1"/>
    <xf numFmtId="0" fontId="26" fillId="5" borderId="9" xfId="0" applyFont="1" applyFill="1" applyBorder="1"/>
    <xf numFmtId="0" fontId="26" fillId="5" borderId="10" xfId="0" applyFont="1" applyFill="1" applyBorder="1"/>
    <xf numFmtId="0" fontId="30" fillId="5" borderId="5" xfId="0" applyFont="1" applyFill="1" applyBorder="1" applyAlignment="1">
      <alignment horizontal="center"/>
    </xf>
    <xf numFmtId="0" fontId="30" fillId="5" borderId="9" xfId="0" applyFont="1" applyFill="1" applyBorder="1"/>
    <xf numFmtId="0" fontId="30" fillId="5" borderId="9" xfId="0" applyFont="1" applyFill="1" applyBorder="1" applyAlignment="1">
      <alignment horizontal="center"/>
    </xf>
    <xf numFmtId="0" fontId="26" fillId="5" borderId="11" xfId="0" applyFont="1" applyFill="1" applyBorder="1"/>
    <xf numFmtId="0" fontId="3" fillId="35" borderId="5" xfId="0" applyFont="1" applyFill="1" applyBorder="1"/>
    <xf numFmtId="164" fontId="3" fillId="35" borderId="5" xfId="0" applyNumberFormat="1" applyFont="1" applyFill="1" applyBorder="1"/>
    <xf numFmtId="0" fontId="27" fillId="2" borderId="1" xfId="0" applyFont="1" applyFill="1" applyBorder="1"/>
    <xf numFmtId="0" fontId="13" fillId="8" borderId="1" xfId="0" applyFont="1" applyFill="1" applyBorder="1" applyAlignment="1">
      <alignment horizontal="right"/>
    </xf>
    <xf numFmtId="0" fontId="26" fillId="0" borderId="14" xfId="0" applyFont="1" applyBorder="1"/>
    <xf numFmtId="0" fontId="13" fillId="8" borderId="9" xfId="0" applyFont="1" applyFill="1" applyBorder="1" applyAlignment="1">
      <alignment horizontal="right"/>
    </xf>
    <xf numFmtId="0" fontId="27" fillId="2" borderId="9" xfId="0" applyFont="1" applyFill="1" applyBorder="1"/>
    <xf numFmtId="0" fontId="26" fillId="35" borderId="5" xfId="0" applyFont="1" applyFill="1" applyBorder="1" applyAlignment="1">
      <alignment horizontal="right"/>
    </xf>
    <xf numFmtId="0" fontId="26" fillId="0" borderId="0" xfId="0" applyFont="1" applyAlignment="1">
      <alignment horizontal="right"/>
    </xf>
    <xf numFmtId="0" fontId="3" fillId="35" borderId="6" xfId="0" applyFont="1" applyFill="1" applyBorder="1"/>
    <xf numFmtId="3" fontId="3" fillId="35" borderId="5" xfId="0" applyNumberFormat="1" applyFont="1" applyFill="1" applyBorder="1"/>
    <xf numFmtId="0" fontId="7" fillId="5" borderId="5" xfId="0" applyFont="1" applyFill="1" applyBorder="1"/>
    <xf numFmtId="0" fontId="33" fillId="5" borderId="5" xfId="0" applyFont="1" applyFill="1" applyBorder="1" applyAlignment="1">
      <alignment horizontal="left"/>
    </xf>
    <xf numFmtId="0" fontId="34" fillId="0" borderId="0" xfId="0" applyFont="1"/>
    <xf numFmtId="0" fontId="35" fillId="0" borderId="0" xfId="0" applyFont="1"/>
    <xf numFmtId="0" fontId="36" fillId="5" borderId="5" xfId="0" applyFont="1" applyFill="1" applyBorder="1"/>
    <xf numFmtId="0" fontId="1" fillId="36" borderId="1" xfId="0" applyFont="1" applyFill="1" applyBorder="1"/>
    <xf numFmtId="4" fontId="3" fillId="0" borderId="0" xfId="0" applyNumberFormat="1" applyFont="1" applyAlignment="1">
      <alignment horizontal="right"/>
    </xf>
    <xf numFmtId="3" fontId="3" fillId="0" borderId="0" xfId="0" applyNumberFormat="1" applyFont="1" applyAlignment="1">
      <alignment horizontal="right"/>
    </xf>
    <xf numFmtId="0" fontId="3" fillId="0" borderId="0" xfId="0" applyFont="1" applyAlignment="1">
      <alignment horizontal="right"/>
    </xf>
    <xf numFmtId="3" fontId="3" fillId="0" borderId="0" xfId="0" applyNumberFormat="1" applyFont="1" applyAlignment="1">
      <alignment horizontal="center"/>
    </xf>
    <xf numFmtId="3" fontId="3" fillId="5" borderId="5" xfId="0" applyNumberFormat="1" applyFont="1" applyFill="1" applyBorder="1"/>
    <xf numFmtId="4" fontId="3" fillId="5" borderId="5" xfId="0" applyNumberFormat="1" applyFont="1" applyFill="1" applyBorder="1"/>
    <xf numFmtId="0" fontId="3" fillId="37" borderId="5" xfId="0" applyFont="1" applyFill="1" applyBorder="1"/>
    <xf numFmtId="0" fontId="3" fillId="8" borderId="5" xfId="0" applyFont="1" applyFill="1" applyBorder="1"/>
    <xf numFmtId="0" fontId="37" fillId="0" borderId="0" xfId="0" applyFont="1"/>
    <xf numFmtId="0" fontId="38" fillId="0" borderId="0" xfId="0" applyFont="1"/>
    <xf numFmtId="4" fontId="39" fillId="0" borderId="0" xfId="0" applyNumberFormat="1" applyFont="1"/>
    <xf numFmtId="3" fontId="39" fillId="0" borderId="0" xfId="0" applyNumberFormat="1" applyFont="1"/>
    <xf numFmtId="3" fontId="26" fillId="38" borderId="0" xfId="0" applyNumberFormat="1" applyFont="1" applyFill="1" applyAlignment="1">
      <alignment horizontal="right"/>
    </xf>
    <xf numFmtId="4" fontId="40" fillId="6" borderId="0" xfId="0" applyNumberFormat="1" applyFont="1" applyFill="1" applyAlignment="1">
      <alignment horizontal="right"/>
    </xf>
    <xf numFmtId="4" fontId="26" fillId="0" borderId="0" xfId="0" applyNumberFormat="1" applyFont="1" applyAlignment="1">
      <alignment horizontal="right"/>
    </xf>
    <xf numFmtId="3" fontId="26" fillId="0" borderId="0" xfId="0" applyNumberFormat="1" applyFont="1" applyAlignment="1">
      <alignment horizontal="right"/>
    </xf>
    <xf numFmtId="0" fontId="17" fillId="0" borderId="0" xfId="0" applyFont="1"/>
    <xf numFmtId="3" fontId="8" fillId="6" borderId="0" xfId="0" applyNumberFormat="1" applyFont="1" applyFill="1"/>
    <xf numFmtId="3" fontId="17" fillId="0" borderId="0" xfId="0" applyNumberFormat="1" applyFont="1" applyAlignment="1">
      <alignment horizontal="right"/>
    </xf>
    <xf numFmtId="167" fontId="26" fillId="0" borderId="0" xfId="0" applyNumberFormat="1" applyFont="1" applyAlignment="1">
      <alignment horizontal="right"/>
    </xf>
    <xf numFmtId="3" fontId="17" fillId="0" borderId="0" xfId="0" applyNumberFormat="1" applyFont="1"/>
    <xf numFmtId="3" fontId="17" fillId="0" borderId="14" xfId="0" applyNumberFormat="1" applyFont="1" applyBorder="1" applyAlignment="1">
      <alignment horizontal="left"/>
    </xf>
    <xf numFmtId="3" fontId="40" fillId="6" borderId="0" xfId="0" applyNumberFormat="1" applyFont="1" applyFill="1" applyAlignment="1">
      <alignment horizontal="right"/>
    </xf>
    <xf numFmtId="3" fontId="17" fillId="0" borderId="14" xfId="0" applyNumberFormat="1" applyFont="1" applyBorder="1" applyAlignment="1">
      <alignment horizontal="right"/>
    </xf>
    <xf numFmtId="3" fontId="42" fillId="7" borderId="0" xfId="0" applyNumberFormat="1" applyFont="1" applyFill="1" applyAlignment="1">
      <alignment horizontal="right"/>
    </xf>
    <xf numFmtId="164" fontId="26" fillId="0" borderId="0" xfId="0" applyNumberFormat="1" applyFont="1" applyAlignment="1">
      <alignment horizontal="right"/>
    </xf>
    <xf numFmtId="0" fontId="27" fillId="2" borderId="15" xfId="0" applyFont="1" applyFill="1" applyBorder="1"/>
    <xf numFmtId="3" fontId="13" fillId="8" borderId="16" xfId="0" applyNumberFormat="1" applyFont="1" applyFill="1" applyBorder="1"/>
    <xf numFmtId="0" fontId="26" fillId="0" borderId="14" xfId="0" applyFont="1" applyBorder="1" applyAlignment="1">
      <alignment horizontal="right"/>
    </xf>
    <xf numFmtId="3" fontId="13" fillId="6" borderId="9" xfId="0" applyNumberFormat="1" applyFont="1" applyFill="1" applyBorder="1" applyAlignment="1">
      <alignment horizontal="right"/>
    </xf>
    <xf numFmtId="168" fontId="26" fillId="0" borderId="14" xfId="0" applyNumberFormat="1" applyFont="1" applyBorder="1" applyAlignment="1">
      <alignment horizontal="right"/>
    </xf>
    <xf numFmtId="0" fontId="27" fillId="2" borderId="16" xfId="0" applyFont="1" applyFill="1" applyBorder="1"/>
    <xf numFmtId="0" fontId="26" fillId="0" borderId="17" xfId="0" applyFont="1" applyBorder="1"/>
    <xf numFmtId="168" fontId="26" fillId="0" borderId="0" xfId="0" applyNumberFormat="1" applyFont="1" applyAlignment="1">
      <alignment horizontal="right"/>
    </xf>
    <xf numFmtId="3" fontId="26" fillId="0" borderId="14" xfId="0" applyNumberFormat="1" applyFont="1" applyBorder="1" applyAlignment="1">
      <alignment horizontal="right"/>
    </xf>
    <xf numFmtId="2" fontId="26" fillId="31" borderId="9" xfId="0" applyNumberFormat="1" applyFont="1" applyFill="1" applyBorder="1" applyAlignment="1">
      <alignment horizontal="right"/>
    </xf>
    <xf numFmtId="3" fontId="14" fillId="8" borderId="5" xfId="0" applyNumberFormat="1" applyFont="1" applyFill="1" applyBorder="1"/>
    <xf numFmtId="3" fontId="1" fillId="4" borderId="5" xfId="0" applyNumberFormat="1" applyFont="1" applyFill="1" applyBorder="1"/>
    <xf numFmtId="4" fontId="7" fillId="6" borderId="5" xfId="0" applyNumberFormat="1" applyFont="1" applyFill="1" applyBorder="1"/>
    <xf numFmtId="0" fontId="3" fillId="6" borderId="5" xfId="0" applyFont="1" applyFill="1" applyBorder="1"/>
    <xf numFmtId="3" fontId="7" fillId="6" borderId="5" xfId="0" applyNumberFormat="1" applyFont="1" applyFill="1" applyBorder="1"/>
    <xf numFmtId="3" fontId="3" fillId="6" borderId="5" xfId="0" applyNumberFormat="1" applyFont="1" applyFill="1" applyBorder="1"/>
    <xf numFmtId="3" fontId="43" fillId="5" borderId="5" xfId="0" applyNumberFormat="1" applyFont="1" applyFill="1" applyBorder="1"/>
    <xf numFmtId="3" fontId="43" fillId="0" borderId="0" xfId="0" applyNumberFormat="1" applyFont="1"/>
    <xf numFmtId="0" fontId="43" fillId="0" borderId="0" xfId="0" applyFont="1"/>
    <xf numFmtId="3" fontId="3" fillId="39" borderId="5" xfId="0" applyNumberFormat="1" applyFont="1" applyFill="1" applyBorder="1"/>
    <xf numFmtId="0" fontId="7" fillId="6" borderId="5" xfId="0" applyFont="1" applyFill="1" applyBorder="1"/>
    <xf numFmtId="0" fontId="3" fillId="39" borderId="5" xfId="0" applyFont="1" applyFill="1" applyBorder="1"/>
    <xf numFmtId="0" fontId="44" fillId="5" borderId="5" xfId="0" applyFont="1" applyFill="1" applyBorder="1"/>
    <xf numFmtId="0" fontId="45" fillId="5" borderId="5" xfId="0" applyFont="1" applyFill="1" applyBorder="1"/>
    <xf numFmtId="0" fontId="46" fillId="9" borderId="5" xfId="0" applyFont="1" applyFill="1" applyBorder="1" applyAlignment="1">
      <alignment horizontal="left"/>
    </xf>
    <xf numFmtId="0" fontId="47" fillId="5" borderId="5" xfId="0" applyFont="1" applyFill="1" applyBorder="1"/>
    <xf numFmtId="0" fontId="48" fillId="9" borderId="5" xfId="0" applyFont="1" applyFill="1" applyBorder="1" applyAlignment="1">
      <alignment horizontal="left"/>
    </xf>
    <xf numFmtId="9" fontId="3" fillId="0" borderId="0" xfId="0" applyNumberFormat="1" applyFont="1"/>
    <xf numFmtId="0" fontId="7" fillId="0" borderId="0" xfId="0" applyFont="1" applyAlignment="1">
      <alignment wrapText="1"/>
    </xf>
    <xf numFmtId="0" fontId="1" fillId="38" borderId="1" xfId="0" applyFont="1" applyFill="1" applyBorder="1"/>
    <xf numFmtId="3" fontId="0" fillId="0" borderId="0" xfId="0" applyNumberFormat="1"/>
    <xf numFmtId="0" fontId="49" fillId="0" borderId="14" xfId="0" applyFont="1" applyBorder="1"/>
    <xf numFmtId="0" fontId="27" fillId="2" borderId="9" xfId="0" applyFont="1" applyFill="1" applyBorder="1" applyAlignment="1">
      <alignment horizontal="center"/>
    </xf>
    <xf numFmtId="0" fontId="13" fillId="6" borderId="0" xfId="0" applyFont="1" applyFill="1"/>
    <xf numFmtId="0" fontId="50" fillId="0" borderId="0" xfId="1" applyNumberFormat="1"/>
    <xf numFmtId="0" fontId="52" fillId="0" borderId="0" xfId="0" applyFont="1"/>
    <xf numFmtId="0" fontId="53" fillId="2" borderId="1" xfId="0" applyFont="1" applyFill="1" applyBorder="1"/>
    <xf numFmtId="0" fontId="54" fillId="0" borderId="0" xfId="0" applyFont="1"/>
    <xf numFmtId="3" fontId="4" fillId="5" borderId="0" xfId="0" applyNumberFormat="1" applyFont="1" applyFill="1"/>
    <xf numFmtId="0" fontId="0" fillId="0" borderId="0" xfId="0"/>
    <xf numFmtId="3" fontId="3" fillId="0" borderId="0" xfId="0" applyNumberFormat="1" applyFont="1" applyAlignment="1">
      <alignment horizontal="left"/>
    </xf>
    <xf numFmtId="0" fontId="1" fillId="2" borderId="3" xfId="0" applyFont="1" applyFill="1" applyBorder="1"/>
    <xf numFmtId="0" fontId="3" fillId="0" borderId="4" xfId="0" applyFont="1" applyBorder="1"/>
    <xf numFmtId="0" fontId="10" fillId="6" borderId="0" xfId="0" applyFont="1" applyFill="1" applyAlignment="1">
      <alignment horizontal="left"/>
    </xf>
    <xf numFmtId="0" fontId="26" fillId="0" borderId="0" xfId="0" applyFont="1" applyAlignment="1">
      <alignment horizontal="center"/>
    </xf>
    <xf numFmtId="0" fontId="26" fillId="5" borderId="6" xfId="0" applyFont="1" applyFill="1" applyBorder="1" applyAlignment="1">
      <alignment horizontal="center"/>
    </xf>
    <xf numFmtId="0" fontId="3" fillId="0" borderId="7" xfId="0" applyFont="1" applyBorder="1"/>
    <xf numFmtId="0" fontId="3" fillId="0" borderId="8" xfId="0" applyFont="1" applyBorder="1"/>
    <xf numFmtId="0" fontId="26" fillId="14" borderId="6" xfId="0" applyFont="1" applyFill="1" applyBorder="1" applyAlignment="1">
      <alignment horizontal="right"/>
    </xf>
    <xf numFmtId="0" fontId="29" fillId="33" borderId="6" xfId="0" applyFont="1" applyFill="1" applyBorder="1" applyAlignment="1">
      <alignment horizontal="center"/>
    </xf>
    <xf numFmtId="0" fontId="28" fillId="10" borderId="6" xfId="0" applyFont="1" applyFill="1" applyBorder="1" applyAlignment="1">
      <alignment horizontal="center"/>
    </xf>
    <xf numFmtId="0" fontId="1" fillId="0" borderId="0" xfId="0" applyFont="1" applyAlignment="1">
      <alignment horizontal="center"/>
    </xf>
    <xf numFmtId="0" fontId="1" fillId="0" borderId="0" xfId="0" applyFont="1"/>
    <xf numFmtId="0" fontId="26" fillId="12" borderId="6" xfId="0" applyFont="1" applyFill="1" applyBorder="1" applyAlignment="1">
      <alignment horizontal="right"/>
    </xf>
    <xf numFmtId="0" fontId="27" fillId="2" borderId="12" xfId="0" applyFont="1" applyFill="1" applyBorder="1"/>
    <xf numFmtId="0" fontId="3" fillId="0" borderId="13" xfId="0" applyFont="1" applyBorder="1"/>
    <xf numFmtId="0" fontId="41" fillId="0" borderId="14" xfId="0" applyFont="1" applyBorder="1"/>
    <xf numFmtId="0" fontId="3" fillId="0" borderId="14" xfId="0" applyFont="1" applyBorder="1"/>
    <xf numFmtId="0" fontId="3" fillId="5" borderId="18" xfId="0" applyFont="1" applyFill="1" applyBorder="1" applyAlignment="1">
      <alignment vertical="center"/>
    </xf>
    <xf numFmtId="0" fontId="3" fillId="0" borderId="19" xfId="0" applyFont="1" applyBorder="1"/>
    <xf numFmtId="3" fontId="3" fillId="0" borderId="0" xfId="0" applyNumberFormat="1" applyFont="1" applyAlignment="1">
      <alignment vertical="center"/>
    </xf>
    <xf numFmtId="0" fontId="3" fillId="0" borderId="0" xfId="0" applyFont="1" applyAlignment="1">
      <alignment vertical="center"/>
    </xf>
    <xf numFmtId="164" fontId="3" fillId="0" borderId="0" xfId="0" applyNumberFormat="1" applyFont="1" applyAlignment="1">
      <alignment vertical="center"/>
    </xf>
    <xf numFmtId="0" fontId="3" fillId="0" borderId="20" xfId="0" applyFont="1" applyBorder="1"/>
    <xf numFmtId="0" fontId="0" fillId="0" borderId="0" xfId="0" applyNumberFormat="1"/>
  </cellXfs>
  <cellStyles count="2">
    <cellStyle name="Hypertextový odkaz" xfId="1" builtinId="8"/>
    <cellStyle name="Normální" xfId="0" builtinId="0"/>
  </cellStyles>
  <dxfs count="34">
    <dxf>
      <numFmt numFmtId="0" formatCode="General"/>
    </dxf>
    <dxf>
      <fill>
        <patternFill patternType="solid">
          <fgColor rgb="FFF4C7C3"/>
          <bgColor rgb="FFF4C7C3"/>
        </patternFill>
      </fill>
    </dxf>
    <dxf>
      <fill>
        <patternFill patternType="solid">
          <fgColor rgb="FFB7E1CD"/>
          <bgColor rgb="FFB7E1CD"/>
        </patternFill>
      </fill>
      <alignment wrapText="0" shrinkToFit="0"/>
      <border>
        <left/>
        <right/>
        <top/>
        <bottom/>
      </border>
    </dxf>
    <dxf>
      <fill>
        <patternFill patternType="solid">
          <fgColor rgb="FF666666"/>
          <bgColor rgb="FF666666"/>
        </patternFill>
      </fill>
      <alignment wrapText="0" shrinkToFit="0"/>
      <border>
        <left/>
        <right/>
        <top/>
        <bottom/>
      </border>
    </dxf>
    <dxf>
      <fill>
        <patternFill patternType="solid">
          <fgColor rgb="FF666666"/>
          <bgColor rgb="FF666666"/>
        </patternFill>
      </fill>
      <alignment wrapText="0" shrinkToFit="0"/>
      <border>
        <left/>
        <right/>
        <top/>
        <bottom/>
      </border>
    </dxf>
    <dxf>
      <fill>
        <patternFill patternType="solid">
          <fgColor rgb="FF666666"/>
          <bgColor rgb="FF666666"/>
        </patternFill>
      </fill>
      <alignment wrapText="0" shrinkToFit="0"/>
      <border>
        <left/>
        <right/>
        <top/>
        <bottom/>
      </border>
    </dxf>
    <dxf>
      <fill>
        <patternFill patternType="solid">
          <fgColor rgb="FF666666"/>
          <bgColor rgb="FF666666"/>
        </patternFill>
      </fill>
      <alignment wrapText="0" shrinkToFit="0"/>
      <border>
        <left/>
        <right/>
        <top/>
        <bottom/>
      </border>
    </dxf>
    <dxf>
      <fill>
        <patternFill patternType="solid">
          <fgColor rgb="FFB7E1CD"/>
          <bgColor rgb="FFB7E1CD"/>
        </patternFill>
      </fill>
      <alignment wrapText="0" shrinkToFit="0"/>
      <border>
        <left/>
        <right/>
        <top/>
        <bottom/>
      </border>
    </dxf>
    <dxf>
      <fill>
        <patternFill patternType="solid">
          <fgColor rgb="FF666666"/>
          <bgColor rgb="FF666666"/>
        </patternFill>
      </fill>
      <alignment wrapText="0" shrinkToFit="0"/>
      <border>
        <left/>
        <right/>
        <top/>
        <bottom/>
      </border>
    </dxf>
    <dxf>
      <fill>
        <patternFill patternType="solid">
          <fgColor rgb="FFB7E1CD"/>
          <bgColor rgb="FFB7E1CD"/>
        </patternFill>
      </fill>
    </dxf>
    <dxf>
      <fill>
        <patternFill patternType="solid">
          <fgColor rgb="FFFFFFFF"/>
          <bgColor rgb="FFFFFFFF"/>
        </patternFill>
      </fill>
      <alignment wrapText="0" shrinkToFit="0"/>
      <border>
        <left/>
        <right/>
        <top/>
        <bottom/>
      </border>
    </dxf>
    <dxf>
      <fill>
        <patternFill patternType="solid">
          <fgColor rgb="FF666666"/>
          <bgColor rgb="FF666666"/>
        </patternFill>
      </fill>
      <alignment wrapText="0" shrinkToFit="0"/>
      <border>
        <left/>
        <right/>
        <top/>
        <bottom/>
      </border>
    </dxf>
    <dxf>
      <fill>
        <patternFill patternType="solid">
          <fgColor rgb="FF666666"/>
          <bgColor rgb="FF666666"/>
        </patternFill>
      </fill>
      <alignment wrapText="0" shrinkToFit="0"/>
      <border>
        <left/>
        <right/>
        <top/>
        <bottom/>
      </border>
    </dxf>
    <dxf>
      <fill>
        <patternFill patternType="solid">
          <fgColor rgb="FFF4C7C3"/>
          <bgColor rgb="FFF4C7C3"/>
        </patternFill>
      </fill>
      <alignment wrapText="0" shrinkToFit="0"/>
      <border>
        <left/>
        <right/>
        <top/>
        <bottom/>
      </border>
    </dxf>
    <dxf>
      <fill>
        <patternFill patternType="solid">
          <fgColor rgb="FFE06666"/>
          <bgColor rgb="FFE06666"/>
        </patternFill>
      </fill>
      <alignment wrapText="0" shrinkToFit="0"/>
      <border>
        <left/>
        <right/>
        <top/>
        <bottom/>
      </border>
    </dxf>
    <dxf>
      <fill>
        <patternFill patternType="solid">
          <fgColor rgb="FFFCE8B2"/>
          <bgColor rgb="FFFCE8B2"/>
        </patternFill>
      </fill>
      <alignment wrapText="0" shrinkToFit="0"/>
      <border>
        <left/>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9" xr16:uid="{A208A17A-7BB5-4FC5-AEA5-BB2FF03FA32F}" autoFormatId="16" applyNumberFormats="0" applyBorderFormats="0" applyFontFormats="0" applyPatternFormats="0" applyAlignmentFormats="0" applyWidthHeightFormats="0">
  <queryTableRefresh nextId="5">
    <queryTableFields count="4">
      <queryTableField id="1" name="factoryID" tableColumnId="1"/>
      <queryTableField id="2" name="name" tableColumnId="2"/>
      <queryTableField id="3" name="lvl" tableColumnId="3"/>
      <queryTableField id="4" name="strike" tableColumnId="4"/>
    </queryTableFields>
  </queryTableRefresh>
  <extLst>
    <ext xmlns:x15="http://schemas.microsoft.com/office/spreadsheetml/2010/11/main" uri="{883FBD77-0823-4a55-B5E3-86C4891E6966}">
      <x15:queryTable sourceDataName="Dotaz – Your factorie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0" xr16:uid="{51DD338E-07CF-41E6-B551-9342351F9112}" autoFormatId="16" applyNumberFormats="0" applyBorderFormats="0" applyFontFormats="0" applyPatternFormats="0" applyAlignmentFormats="0" applyWidthHeightFormats="0">
  <queryTableRefresh nextId="5">
    <queryTableFields count="4">
      <queryTableField id="1" name="itemID" tableColumnId="1"/>
      <queryTableField id="2" name="itemname" tableColumnId="2"/>
      <queryTableField id="3" name="level" tableColumnId="3"/>
      <queryTableField id="4" name="amount" tableColumnId="4"/>
    </queryTableFields>
  </queryTableRefresh>
  <extLst>
    <ext xmlns:x15="http://schemas.microsoft.com/office/spreadsheetml/2010/11/main" uri="{883FBD77-0823-4a55-B5E3-86C4891E6966}">
      <x15:queryTable sourceDataName="Dotaz – Your warehouses incl credit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11" xr16:uid="{74FD5B39-F4E9-4A0D-BDC7-057CDB79A341}" autoFormatId="16" applyNumberFormats="0" applyBorderFormats="0" applyFontFormats="0" applyPatternFormats="0" applyAlignmentFormats="0" applyWidthHeightFormats="0">
  <queryTableRefresh nextId="4">
    <queryTableFields count="3">
      <queryTableField id="1" name="specbID" tableColumnId="1"/>
      <queryTableField id="2" name="name" tableColumnId="2"/>
      <queryTableField id="3" name="lvl" tableColumnId="3"/>
    </queryTableFields>
  </queryTableRefresh>
  <extLst>
    <ext xmlns:x15="http://schemas.microsoft.com/office/spreadsheetml/2010/11/main" uri="{883FBD77-0823-4a55-B5E3-86C4891E6966}">
      <x15:queryTable sourceDataName="Dotaz – Your specialbuilding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12" xr16:uid="{87AA7471-082F-4C1A-91C2-B04A0ACA01B3}" autoFormatId="16" applyNumberFormats="0" applyBorderFormats="0" applyFontFormats="0" applyPatternFormats="0" applyAlignmentFormats="0" applyWidthHeightFormats="0">
  <queryTableRefresh nextId="4">
    <queryTableFields count="3">
      <queryTableField id="1" name="itemID" tableColumnId="1"/>
      <queryTableField id="2" name="itemname" tableColumnId="2"/>
      <queryTableField id="3" name="iconURL" tableColumnId="3"/>
    </queryTableFields>
  </queryTableRefresh>
  <extLst>
    <ext xmlns:x15="http://schemas.microsoft.com/office/spreadsheetml/2010/11/main" uri="{883FBD77-0823-4a55-B5E3-86C4891E6966}">
      <x15:queryTable sourceDataName="Dotaz – ID-List"/>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13" xr16:uid="{8501FA4F-165E-4AB1-923B-7559E0D087C8}" autoFormatId="16" applyNumberFormats="0" applyBorderFormats="0" applyFontFormats="0" applyPatternFormats="0" applyAlignmentFormats="0" applyWidthHeightFormats="0">
  <queryTableRefresh nextId="16">
    <queryTableFields count="15">
      <queryTableField id="1" name="questID" tableColumnId="1"/>
      <queryTableField id="2" name="title" tableColumnId="2"/>
      <queryTableField id="3" name="descr" tableColumnId="3"/>
      <queryTableField id="4" name="status" tableColumnId="4"/>
      <queryTableField id="5" name="progress" tableColumnId="5"/>
      <queryTableField id="6" name="missiongoal" tableColumnId="6"/>
      <queryTableField id="7" name="durHours" tableColumnId="7"/>
      <queryTableField id="8" name="rewarditem" tableColumnId="8"/>
      <queryTableField id="9" name="rewardamount" tableColumnId="9"/>
      <queryTableField id="10" name="penalty" tableColumnId="10"/>
      <queryTableField id="11" name="cooldown" tableColumnId="11"/>
      <queryTableField id="12" name="starttime" tableColumnId="12"/>
      <queryTableField id="13" name="endtime" tableColumnId="13"/>
      <queryTableField id="14" name="intervalDays" tableColumnId="14"/>
      <queryTableField id="15" name="thumb" tableColumnId="15"/>
    </queryTableFields>
  </queryTableRefresh>
  <extLst>
    <ext xmlns:x15="http://schemas.microsoft.com/office/spreadsheetml/2010/11/main" uri="{883FBD77-0823-4a55-B5E3-86C4891E6966}">
      <x15:queryTable sourceDataName="Dotaz – Mission list"/>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6" backgroundRefresh="0" connectionId="14" xr16:uid="{E7EC1F54-4CFE-4162-B106-D138BA8D1E3F}" autoFormatId="16" applyNumberFormats="0" applyBorderFormats="0" applyFontFormats="0" applyPatternFormats="0" applyAlignmentFormats="0" applyWidthHeightFormats="0">
  <queryTableRefresh nextId="14">
    <queryTableFields count="13">
      <queryTableField id="1" name="itemID" tableColumnId="1"/>
      <queryTableField id="2" name="itemName" tableColumnId="2"/>
      <queryTableField id="3" name="factoryID" tableColumnId="3"/>
      <queryTableField id="4" name="factoryName" tableColumnId="4"/>
      <queryTableField id="5" name="baseOutputPerHour" tableColumnId="5"/>
      <queryTableField id="6" name="outputPerCycle" tableColumnId="6"/>
      <queryTableField id="7" name="creditsPerCycle" tableColumnId="7"/>
      <queryTableField id="8" name="itemID1" tableColumnId="8"/>
      <queryTableField id="9" name="item1QtyPerCycle" tableColumnId="9"/>
      <queryTableField id="10" name="itemID2" tableColumnId="10"/>
      <queryTableField id="11" name="item2QtyPerCycle" tableColumnId="11"/>
      <queryTableField id="12" name="itemID3" tableColumnId="12"/>
      <queryTableField id="13" name="item3QtyPerCycle" tableColumnId="13"/>
    </queryTableFields>
  </queryTableRefresh>
  <extLst>
    <ext xmlns:x15="http://schemas.microsoft.com/office/spreadsheetml/2010/11/main" uri="{883FBD77-0823-4a55-B5E3-86C4891E6966}">
      <x15:queryTable sourceDataName="Dotaz – Item production base data"/>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7" backgroundRefresh="0" connectionId="15" xr16:uid="{5896B007-3810-42B1-9CB1-05B96120A6DD}" autoFormatId="16" applyNumberFormats="0" applyBorderFormats="0" applyFontFormats="0" applyPatternFormats="0" applyAlignmentFormats="0" applyWidthHeightFormats="0">
  <queryTableRefresh nextId="23">
    <queryTableFields count="22">
      <queryTableField id="1" name="mineID" tableColumnId="1"/>
      <queryTableField id="2" name="lat" tableColumnId="2"/>
      <queryTableField id="3" name="lon" tableColumnId="3"/>
      <queryTableField id="4" name="HQboost" tableColumnId="4"/>
      <queryTableField id="5" name="fullrate" tableColumnId="5"/>
      <queryTableField id="6" name="rawrate" tableColumnId="6"/>
      <queryTableField id="7" name="techfactor" tableColumnId="7"/>
      <queryTableField id="8" name="name" tableColumnId="8"/>
      <queryTableField id="9" name="builddate" tableColumnId="9"/>
      <queryTableField id="10" name="lastmaintenance" tableColumnId="10"/>
      <queryTableField id="11" name="condition" tableColumnId="11"/>
      <queryTableField id="12" name="resourceName" tableColumnId="12"/>
      <queryTableField id="13" name="resourceID" tableColumnId="13"/>
      <queryTableField id="14" name="lastenemyaction" tableColumnId="14"/>
      <queryTableField id="15" name="def1" tableColumnId="15"/>
      <queryTableField id="16" name="def2" tableColumnId="16"/>
      <queryTableField id="17" name="def3" tableColumnId="17"/>
      <queryTableField id="18" name="attackpenalty" tableColumnId="18"/>
      <queryTableField id="19" name="attackcount" tableColumnId="19"/>
      <queryTableField id="20" name="attacklost" tableColumnId="20"/>
      <queryTableField id="21" name="quality" tableColumnId="21"/>
      <queryTableField id="22" name="qualityInclTU" tableColumnId="22"/>
    </queryTableFields>
  </queryTableRefresh>
  <extLst>
    <ext xmlns:x15="http://schemas.microsoft.com/office/spreadsheetml/2010/11/main" uri="{883FBD77-0823-4a55-B5E3-86C4891E6966}">
      <x15:queryTable sourceDataName="Dotaz – Your mines"/>
    </ext>
  </extLst>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8" backgroundRefresh="0" connectionId="16" xr16:uid="{3C6134AD-68E1-44D5-B883-E0D3272AF77F}" autoFormatId="16" applyNumberFormats="0" applyBorderFormats="0" applyFontFormats="0" applyPatternFormats="0" applyAlignmentFormats="0" applyWidthHeightFormats="0">
  <queryTableRefresh nextId="6">
    <queryTableFields count="5">
      <queryTableField id="1" name="itemID" tableColumnId="1"/>
      <queryTableField id="2" name="itemName" tableColumnId="2"/>
      <queryTableField id="3" name="KIprice" tableColumnId="3"/>
      <queryTableField id="4" name="price" tableColumnId="4"/>
      <queryTableField id="5" name="unixts" tableColumnId="5"/>
    </queryTableFields>
  </queryTableRefresh>
  <extLst>
    <ext xmlns:x15="http://schemas.microsoft.com/office/spreadsheetml/2010/11/main" uri="{883FBD77-0823-4a55-B5E3-86C4891E6966}">
      <x15:queryTable sourceDataName="Dotaz – Market rates"/>
    </ext>
  </extLst>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1CBCFD2-BFA6-46B6-A9F3-6F5D93C88DC5}" name="Your_factories" displayName="Your_factories" ref="A1:D13" tableType="queryTable" totalsRowShown="0">
  <autoFilter ref="A1:D13" xr:uid="{C1CBCFD2-BFA6-46B6-A9F3-6F5D93C88DC5}"/>
  <tableColumns count="4">
    <tableColumn id="1" xr3:uid="{5EFE57E3-1BFA-4FC5-AEFC-797C41944705}" uniqueName="1" name="factoryID" queryTableFieldId="1" dataDxfId="33"/>
    <tableColumn id="2" xr3:uid="{73D68BED-778D-4D46-BE4A-8B8980199304}" uniqueName="2" name="name" queryTableFieldId="2" dataDxfId="32"/>
    <tableColumn id="3" xr3:uid="{7165BDE9-04A7-487E-BE4A-D902CE40C8CD}" uniqueName="3" name="lvl" queryTableFieldId="3" dataDxfId="31"/>
    <tableColumn id="4" xr3:uid="{61985E0D-053F-4D69-9EE3-E3313EF2ABE9}" uniqueName="4" name="strike" queryTableFieldId="4" dataDxfId="3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A42FEC8-7250-4C00-A906-B84A81E13ACE}" name="Your_warehouses_incl_credits" displayName="Your_warehouses_incl_credits" ref="F1:I35" tableType="queryTable" totalsRowShown="0">
  <autoFilter ref="F1:I35" xr:uid="{BA42FEC8-7250-4C00-A906-B84A81E13ACE}"/>
  <tableColumns count="4">
    <tableColumn id="1" xr3:uid="{2707A64B-B26B-4509-A149-75F59BA24999}" uniqueName="1" name="itemID" queryTableFieldId="1" dataDxfId="29"/>
    <tableColumn id="2" xr3:uid="{221CEA7D-D730-4449-8CFE-6DF9CBC5004D}" uniqueName="2" name="itemname" queryTableFieldId="2" dataDxfId="28"/>
    <tableColumn id="3" xr3:uid="{CDE9489B-6301-4C12-9FE2-B9954F4330CC}" uniqueName="3" name="level" queryTableFieldId="3" dataDxfId="27"/>
    <tableColumn id="4" xr3:uid="{2221C6DF-C909-42AC-A241-231138985EFD}" uniqueName="4" name="amount" queryTableFieldId="4" dataDxfId="2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75F6808-2E7F-4AA7-B2F9-FC5FF9A5D5F8}" name="Your_specialbuildings" displayName="Your_specialbuildings" ref="K1:M4" tableType="queryTable" totalsRowShown="0">
  <autoFilter ref="K1:M4" xr:uid="{275F6808-2E7F-4AA7-B2F9-FC5FF9A5D5F8}"/>
  <tableColumns count="3">
    <tableColumn id="1" xr3:uid="{BE3B77D9-04AC-4ADD-AB82-A2C50A1BC70B}" uniqueName="1" name="specbID" queryTableFieldId="1"/>
    <tableColumn id="2" xr3:uid="{AC4D9B22-C9CE-4FC7-B5B1-A8F3F098B431}" uniqueName="2" name="name" queryTableFieldId="2" dataDxfId="25"/>
    <tableColumn id="3" xr3:uid="{5481B1C7-9040-4ACC-B79C-45C650FD0541}" uniqueName="3" name="lvl" queryTableFieldId="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0630A6A-CCFA-42B4-AC40-60EAB1C2854C}" name="ID_List" displayName="ID_List" ref="O1:Q114" tableType="queryTable" totalsRowShown="0">
  <autoFilter ref="O1:Q114" xr:uid="{F0630A6A-CCFA-42B4-AC40-60EAB1C2854C}"/>
  <tableColumns count="3">
    <tableColumn id="1" xr3:uid="{4AD1C9BA-D78F-45B3-AC6B-873F26ED9C79}" uniqueName="1" name="itemID" queryTableFieldId="1"/>
    <tableColumn id="2" xr3:uid="{64F0E548-CB8F-407A-94E7-29ED1BB02A28}" uniqueName="2" name="itemname" queryTableFieldId="2" dataDxfId="24"/>
    <tableColumn id="3" xr3:uid="{F505FDB9-4FA0-4E0A-8D72-FB6AAA3FF4D4}" uniqueName="3" name="iconURL" queryTableFieldId="3" dataDxfId="2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166B329-098B-4411-9C0F-FC4284DD6F9F}" name="Mission_list" displayName="Mission_list" ref="S1:AG19" tableType="queryTable" totalsRowShown="0">
  <autoFilter ref="S1:AG19" xr:uid="{5166B329-098B-4411-9C0F-FC4284DD6F9F}"/>
  <tableColumns count="15">
    <tableColumn id="1" xr3:uid="{CB525936-E0C2-4277-A508-E4FA08848F58}" uniqueName="1" name="questID" queryTableFieldId="1"/>
    <tableColumn id="2" xr3:uid="{4D681101-4F13-4876-A020-8C4BE4F89AE6}" uniqueName="2" name="title" queryTableFieldId="2" dataDxfId="22"/>
    <tableColumn id="3" xr3:uid="{C5D06D22-3AA4-4D01-9629-8918FA06503F}" uniqueName="3" name="descr" queryTableFieldId="3" dataDxfId="21"/>
    <tableColumn id="4" xr3:uid="{6D663D19-0E5C-480E-ABE2-DA6233CEC5F9}" uniqueName="4" name="status" queryTableFieldId="4"/>
    <tableColumn id="5" xr3:uid="{2BD0D640-28FA-4D88-9ED4-EB6E176089B1}" uniqueName="5" name="progress" queryTableFieldId="5"/>
    <tableColumn id="6" xr3:uid="{A9CFCE41-D1DC-4C98-92A1-6DD58C04BFF9}" uniqueName="6" name="missiongoal" queryTableFieldId="6"/>
    <tableColumn id="7" xr3:uid="{BD3C760B-E47E-4F24-BA22-5DA0C22B394F}" uniqueName="7" name="durHours" queryTableFieldId="7"/>
    <tableColumn id="8" xr3:uid="{0938A4D4-DE7A-41E6-AADB-0B02C62A7385}" uniqueName="8" name="rewarditem" queryTableFieldId="8"/>
    <tableColumn id="9" xr3:uid="{D4CAFB87-DB7C-4196-AC85-9D970BD87FD8}" uniqueName="9" name="rewardamount" queryTableFieldId="9"/>
    <tableColumn id="10" xr3:uid="{5EE5902D-6094-4232-AE27-37F780CBF5DD}" uniqueName="10" name="penalty" queryTableFieldId="10"/>
    <tableColumn id="11" xr3:uid="{92409353-F348-4E1E-A570-69220AA0D6D4}" uniqueName="11" name="cooldown" queryTableFieldId="11"/>
    <tableColumn id="12" xr3:uid="{DDE4C60A-1FB8-4F25-9729-17F8118D6920}" uniqueName="12" name="starttime" queryTableFieldId="12"/>
    <tableColumn id="13" xr3:uid="{D2840D5C-DCA1-402B-B7FF-D52CF86D4FCE}" uniqueName="13" name="endtime" queryTableFieldId="13"/>
    <tableColumn id="14" xr3:uid="{137D779E-497B-40FE-A998-A038DFB9D0D4}" uniqueName="14" name="intervalDays" queryTableFieldId="14"/>
    <tableColumn id="15" xr3:uid="{2876E980-D8F2-4EE6-9F16-B12A87437A93}" uniqueName="15" name="thumb" queryTableFieldId="15" dataDxfId="2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F56FAB6-28C2-4C0B-9C95-09B1B7969B00}" name="Item_production_base_data" displayName="Item_production_base_data" ref="AI1:AU23" tableType="queryTable" totalsRowShown="0">
  <autoFilter ref="AI1:AU23" xr:uid="{8F56FAB6-28C2-4C0B-9C95-09B1B7969B00}"/>
  <tableColumns count="13">
    <tableColumn id="1" xr3:uid="{68DEE5C2-77D1-4408-AB31-C388ED8035A0}" uniqueName="1" name="itemID" queryTableFieldId="1"/>
    <tableColumn id="2" xr3:uid="{48527582-A89F-4D6C-A6E1-526105703810}" uniqueName="2" name="itemName" queryTableFieldId="2" dataDxfId="19"/>
    <tableColumn id="3" xr3:uid="{687481A1-665C-4BBF-8AC6-20AF3F186674}" uniqueName="3" name="factoryID" queryTableFieldId="3"/>
    <tableColumn id="4" xr3:uid="{312087E4-1AD1-4BFB-8FC5-D4DB1FC87DE2}" uniqueName="4" name="factoryName" queryTableFieldId="4" dataDxfId="18"/>
    <tableColumn id="5" xr3:uid="{3131C574-F7AB-40C7-9B7E-F71E4B3612EF}" uniqueName="5" name="baseOutputPerHour" queryTableFieldId="5"/>
    <tableColumn id="6" xr3:uid="{0E2B2A4A-D316-4EBA-B720-9EF47B91B5FC}" uniqueName="6" name="outputPerCycle" queryTableFieldId="6"/>
    <tableColumn id="7" xr3:uid="{394F0446-2A3A-4A13-9761-4D338AC0AB55}" uniqueName="7" name="creditsPerCycle" queryTableFieldId="7"/>
    <tableColumn id="8" xr3:uid="{B15EF0BC-0E54-4619-B2DC-B9A71718454C}" uniqueName="8" name="itemID1" queryTableFieldId="8"/>
    <tableColumn id="9" xr3:uid="{D9EBDC22-5F4A-4C34-B77A-4C07FBA412FB}" uniqueName="9" name="item1QtyPerCycle" queryTableFieldId="9"/>
    <tableColumn id="10" xr3:uid="{590CFCDE-3137-4494-8764-63B4FED73433}" uniqueName="10" name="itemID2" queryTableFieldId="10"/>
    <tableColumn id="11" xr3:uid="{01E8F898-E1DE-44DA-A804-2A7AB3E7C57E}" uniqueName="11" name="item2QtyPerCycle" queryTableFieldId="11"/>
    <tableColumn id="12" xr3:uid="{869DFD17-5D18-4057-BB7D-47E3CBCFF2DF}" uniqueName="12" name="itemID3" queryTableFieldId="12"/>
    <tableColumn id="13" xr3:uid="{B9E7982F-9960-463A-9098-22B8FB917976}" uniqueName="13" name="item3QtyPerCycle" queryTableFieldId="13"/>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315AFD-C17B-4A96-9C7F-2879EDDC5F27}" name="Your_mines" displayName="Your_mines" ref="AW1:BR615" tableType="queryTable" totalsRowShown="0">
  <autoFilter ref="AW1:BR615" xr:uid="{3F315AFD-C17B-4A96-9C7F-2879EDDC5F27}"/>
  <tableColumns count="22">
    <tableColumn id="1" xr3:uid="{81F484B7-8A98-4B1F-B662-E99E8A8BE9A5}" uniqueName="1" name="mineID" queryTableFieldId="1"/>
    <tableColumn id="2" xr3:uid="{FA71DE87-C932-4A2B-A050-55C26B98C031}" uniqueName="2" name="lat" queryTableFieldId="2"/>
    <tableColumn id="3" xr3:uid="{5C46221B-E981-49EA-9A31-C8498B5FE35F}" uniqueName="3" name="lon" queryTableFieldId="3"/>
    <tableColumn id="4" xr3:uid="{AD1BF39D-B104-4CD8-BDDA-334735C85726}" uniqueName="4" name="HQboost" queryTableFieldId="4"/>
    <tableColumn id="5" xr3:uid="{39625B80-6906-489E-9B76-DB157044DEC5}" uniqueName="5" name="fullrate" queryTableFieldId="5"/>
    <tableColumn id="6" xr3:uid="{2163FFAA-FEE0-4685-AF3D-483A29052CE5}" uniqueName="6" name="rawrate" queryTableFieldId="6"/>
    <tableColumn id="7" xr3:uid="{7437E898-7E9D-405E-8973-0D5FB9CC78B2}" uniqueName="7" name="techfactor" queryTableFieldId="7"/>
    <tableColumn id="8" xr3:uid="{58328868-64BC-4E72-9620-BAA02BC1D474}" uniqueName="8" name="name" queryTableFieldId="8" dataDxfId="17"/>
    <tableColumn id="9" xr3:uid="{3A1006AE-E146-4171-A764-198647F2BCA3}" uniqueName="9" name="builddate" queryTableFieldId="9"/>
    <tableColumn id="10" xr3:uid="{D4A2805D-A949-401F-953D-67DAA998EB28}" uniqueName="10" name="lastmaintenance" queryTableFieldId="10"/>
    <tableColumn id="11" xr3:uid="{22EF191B-97A6-4081-8375-B99990429BD1}" uniqueName="11" name="condition" queryTableFieldId="11"/>
    <tableColumn id="12" xr3:uid="{4F18F62B-38CE-4A48-BA70-2D966CD6C779}" uniqueName="12" name="resourceName" queryTableFieldId="12" dataDxfId="16"/>
    <tableColumn id="13" xr3:uid="{3245E546-21FB-4CA8-A01F-A7F1407DB37D}" uniqueName="13" name="resourceID" queryTableFieldId="13"/>
    <tableColumn id="14" xr3:uid="{2A7EE116-E0FF-480D-AFF2-41127FD9CD9D}" uniqueName="14" name="lastenemyaction" queryTableFieldId="14"/>
    <tableColumn id="15" xr3:uid="{AE44B35D-7CE5-489A-B7AE-AA554209B846}" uniqueName="15" name="def1" queryTableFieldId="15"/>
    <tableColumn id="16" xr3:uid="{D1AB5827-ECF2-4564-AC31-6ACEEC39D511}" uniqueName="16" name="def2" queryTableFieldId="16"/>
    <tableColumn id="17" xr3:uid="{8BB113D4-831C-4510-AB12-E75FF0B87839}" uniqueName="17" name="def3" queryTableFieldId="17"/>
    <tableColumn id="18" xr3:uid="{C48C2806-400C-4AAB-8713-CB75F4E2D0FE}" uniqueName="18" name="attackpenalty" queryTableFieldId="18"/>
    <tableColumn id="19" xr3:uid="{5CC831E6-6048-4BBC-AF6E-7E1F529378F3}" uniqueName="19" name="attackcount" queryTableFieldId="19"/>
    <tableColumn id="20" xr3:uid="{3B071B22-DA96-4911-8F4A-0A32FD8FF609}" uniqueName="20" name="attacklost" queryTableFieldId="20"/>
    <tableColumn id="21" xr3:uid="{C3D19BA7-3F98-4397-A79E-0944C1A601B2}" uniqueName="21" name="quality" queryTableFieldId="21"/>
    <tableColumn id="22" xr3:uid="{3B420C63-34BE-4AAF-A114-29D517B45FF5}" uniqueName="22" name="qualityInclTU" queryTableFieldId="22"/>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452180-5EB2-4FA0-9168-CFB3CC4E1DF9}" name="Market_rates" displayName="Market_rates" ref="BT1:BX63" tableType="queryTable" totalsRowShown="0">
  <autoFilter ref="BT1:BX63" xr:uid="{47452180-5EB2-4FA0-9168-CFB3CC4E1DF9}"/>
  <tableColumns count="5">
    <tableColumn id="1" xr3:uid="{613F9709-F658-4649-84CB-8A592F9F1FB8}" uniqueName="1" name="itemID" queryTableFieldId="1"/>
    <tableColumn id="2" xr3:uid="{FB3A404F-2118-4AF2-8041-515E9CEA6FC9}" uniqueName="2" name="itemName" queryTableFieldId="2" dataDxfId="0"/>
    <tableColumn id="3" xr3:uid="{0BAF3601-79B3-4EF6-BD15-7433794BAB8C}" uniqueName="3" name="KIprice" queryTableFieldId="3"/>
    <tableColumn id="4" xr3:uid="{705755F2-E3F2-417E-AE98-1D9C8DDD9B07}" uniqueName="4" name="price" queryTableFieldId="4"/>
    <tableColumn id="5" xr3:uid="{B00C6F9D-E5E1-4F4F-B45F-D85F8DA5D894}" uniqueName="5" name="unixts" queryTableFieldId="5"/>
  </tableColumns>
  <tableStyleInfo name="TableStyleMedium7" showFirstColumn="0" showLastColumn="0" showRowStripes="1" showColumnStripes="0"/>
</table>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8" Type="http://schemas.openxmlformats.org/officeDocument/2006/relationships/table" Target="../tables/table6.xml"/><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hyperlink" Target="https://appweb.resources-game.ch/webcontent/img/questimg/insektizidebedarf.jpg" TargetMode="External"/><Relationship Id="rId1" Type="http://schemas.openxmlformats.org/officeDocument/2006/relationships/hyperlink" Target="https://api.resources-game.ch/resimg/res1.png" TargetMode="External"/><Relationship Id="rId6" Type="http://schemas.openxmlformats.org/officeDocument/2006/relationships/table" Target="../tables/table4.xml"/><Relationship Id="rId5" Type="http://schemas.openxmlformats.org/officeDocument/2006/relationships/table" Target="../tables/table3.xml"/><Relationship Id="rId10" Type="http://schemas.openxmlformats.org/officeDocument/2006/relationships/table" Target="../tables/table8.xml"/><Relationship Id="rId4" Type="http://schemas.openxmlformats.org/officeDocument/2006/relationships/table" Target="../tables/table2.xml"/><Relationship Id="rId9"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ghukek.com/"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00"/>
    <outlinePr summaryBelow="0" summaryRight="0"/>
  </sheetPr>
  <dimension ref="A1:Z1000"/>
  <sheetViews>
    <sheetView zoomScaleNormal="100" workbookViewId="0">
      <selection activeCell="F42" sqref="F42"/>
    </sheetView>
  </sheetViews>
  <sheetFormatPr defaultColWidth="15.109375" defaultRowHeight="15" customHeight="1"/>
  <cols>
    <col min="1" max="1" width="3.21875" customWidth="1"/>
    <col min="2" max="2" width="13.6640625" customWidth="1"/>
    <col min="3" max="3" width="15.44140625" customWidth="1"/>
    <col min="4" max="4" width="15.88671875" customWidth="1"/>
    <col min="5" max="5" width="9.6640625" customWidth="1"/>
    <col min="6" max="6" width="12.77734375" customWidth="1"/>
    <col min="7" max="7" width="5.109375" customWidth="1"/>
    <col min="8" max="8" width="3.44140625" customWidth="1"/>
    <col min="9" max="9" width="15.21875" customWidth="1"/>
    <col min="10" max="10" width="13.6640625" customWidth="1"/>
    <col min="11" max="11" width="14.6640625" customWidth="1"/>
    <col min="12" max="12" width="9.6640625" customWidth="1"/>
    <col min="13" max="13" width="13.6640625" customWidth="1"/>
    <col min="14" max="14" width="5.6640625" customWidth="1"/>
    <col min="15" max="15" width="6.33203125" customWidth="1"/>
    <col min="16" max="26" width="12.6640625" customWidth="1"/>
  </cols>
  <sheetData>
    <row r="1" spans="1:26" ht="16.5" customHeight="1">
      <c r="A1" s="1"/>
      <c r="B1" s="1" t="s">
        <v>0</v>
      </c>
      <c r="C1" s="1" t="s">
        <v>1</v>
      </c>
      <c r="D1" s="1" t="s">
        <v>2</v>
      </c>
      <c r="E1" s="1" t="s">
        <v>3</v>
      </c>
      <c r="F1" s="1" t="s">
        <v>4</v>
      </c>
      <c r="G1" s="1"/>
      <c r="H1" s="1"/>
      <c r="I1" s="1" t="s">
        <v>5</v>
      </c>
      <c r="J1" s="1" t="s">
        <v>6</v>
      </c>
      <c r="K1" s="1" t="s">
        <v>7</v>
      </c>
      <c r="L1" s="1" t="s">
        <v>8</v>
      </c>
      <c r="M1" s="1"/>
      <c r="N1" s="1"/>
      <c r="O1" s="1"/>
      <c r="P1" s="1"/>
      <c r="Q1" s="1"/>
      <c r="R1" s="1"/>
      <c r="S1" s="1"/>
      <c r="T1" s="1"/>
      <c r="U1" s="1"/>
      <c r="V1" s="1"/>
      <c r="W1" s="1"/>
      <c r="X1" s="1"/>
      <c r="Y1" s="1"/>
      <c r="Z1" s="1"/>
    </row>
    <row r="2" spans="1:26" ht="16.5" customHeight="1">
      <c r="A2" s="2"/>
      <c r="B2" s="3" t="s">
        <v>9</v>
      </c>
      <c r="C2" s="4" t="e">
        <f ca="1">M57-MAX(UserBuildings!B26:E26)</f>
        <v>#N/A</v>
      </c>
      <c r="D2" s="5">
        <f ca="1">E48</f>
        <v>492114959044.776</v>
      </c>
      <c r="E2" s="5" t="e">
        <f ca="1">M56</f>
        <v>#N/A</v>
      </c>
      <c r="F2" s="6" t="e">
        <f ca="1">J57-(MAX(UserBuildings!B26:E26)/24)</f>
        <v>#N/A</v>
      </c>
      <c r="G2" s="5"/>
      <c r="H2" s="5"/>
      <c r="I2" s="5">
        <f ca="1">C48</f>
        <v>10342044700.198999</v>
      </c>
      <c r="J2" s="5" t="e">
        <f ca="1">J56</f>
        <v>#N/A</v>
      </c>
      <c r="K2" s="6" t="e">
        <f ca="1">F2/60</f>
        <v>#N/A</v>
      </c>
      <c r="L2" s="6" t="e">
        <f ca="1">K2/60</f>
        <v>#N/A</v>
      </c>
      <c r="M2" s="7"/>
      <c r="N2" s="2"/>
      <c r="O2" s="2"/>
      <c r="P2" s="2"/>
      <c r="Q2" s="2"/>
      <c r="R2" s="2"/>
      <c r="S2" s="2"/>
      <c r="T2" s="2"/>
      <c r="U2" s="2"/>
      <c r="V2" s="2"/>
      <c r="W2" s="2"/>
      <c r="X2" s="2"/>
      <c r="Y2" s="2"/>
      <c r="Z2" s="2"/>
    </row>
    <row r="3" spans="1:26" ht="16.5" customHeight="1">
      <c r="A3" s="2"/>
      <c r="B3" s="8"/>
      <c r="C3" s="2"/>
      <c r="D3" s="2"/>
      <c r="E3" s="2"/>
      <c r="F3" s="9"/>
      <c r="G3" s="2"/>
      <c r="H3" s="2"/>
      <c r="I3" s="2"/>
      <c r="J3" s="2"/>
      <c r="K3" s="2"/>
      <c r="L3" s="2"/>
      <c r="M3" s="2"/>
      <c r="N3" s="2"/>
      <c r="O3" s="2"/>
      <c r="P3" s="2"/>
      <c r="Q3" s="2"/>
      <c r="R3" s="2"/>
      <c r="S3" s="2"/>
      <c r="T3" s="2"/>
      <c r="U3" s="2"/>
      <c r="V3" s="2"/>
      <c r="W3" s="2"/>
      <c r="X3" s="2"/>
      <c r="Y3" s="2"/>
      <c r="Z3" s="2"/>
    </row>
    <row r="4" spans="1:26" ht="16.5" customHeight="1">
      <c r="A4" s="10"/>
      <c r="B4" s="11" t="s">
        <v>10</v>
      </c>
      <c r="C4" s="10"/>
      <c r="D4" s="10"/>
      <c r="E4" s="10"/>
      <c r="F4" s="10"/>
      <c r="G4" s="10"/>
      <c r="H4" s="10"/>
      <c r="I4" s="10"/>
      <c r="J4" s="10"/>
      <c r="K4" s="10"/>
      <c r="L4" s="10"/>
      <c r="M4" s="1"/>
      <c r="N4" s="10"/>
      <c r="O4" s="10"/>
      <c r="P4" s="10"/>
      <c r="Q4" s="10"/>
      <c r="R4" s="10"/>
      <c r="S4" s="10"/>
      <c r="T4" s="10"/>
      <c r="U4" s="10"/>
      <c r="V4" s="10"/>
      <c r="W4" s="10"/>
      <c r="X4" s="10"/>
      <c r="Y4" s="10"/>
      <c r="Z4" s="10"/>
    </row>
    <row r="5" spans="1:26" ht="15.75" customHeight="1"/>
    <row r="6" spans="1:26" ht="15.75" customHeight="1">
      <c r="B6" s="1" t="s">
        <v>11</v>
      </c>
      <c r="C6" s="1" t="s">
        <v>12</v>
      </c>
      <c r="D6" s="1" t="s">
        <v>13</v>
      </c>
      <c r="E6" s="1" t="s">
        <v>14</v>
      </c>
      <c r="F6" s="1" t="s">
        <v>15</v>
      </c>
      <c r="G6" s="1" t="s">
        <v>16</v>
      </c>
      <c r="I6" s="1" t="s">
        <v>17</v>
      </c>
      <c r="J6" s="1" t="s">
        <v>18</v>
      </c>
      <c r="K6" s="1" t="s">
        <v>19</v>
      </c>
      <c r="L6" s="1" t="s">
        <v>20</v>
      </c>
      <c r="M6" s="1" t="s">
        <v>15</v>
      </c>
      <c r="N6" s="1" t="s">
        <v>16</v>
      </c>
      <c r="O6" s="3"/>
      <c r="P6" s="3"/>
    </row>
    <row r="7" spans="1:26" ht="15.75" customHeight="1">
      <c r="B7" s="3" t="s">
        <v>21</v>
      </c>
      <c r="C7" s="12">
        <f t="shared" ref="C7:C20" si="0">VLOOKUP(B7,TblUserMines,6,FALSE)</f>
        <v>35844.480000000003</v>
      </c>
      <c r="D7" s="12">
        <f>SUMIFS(Calc!$I$4:$I$100,Calc!$H$4:$H$100,B7)</f>
        <v>427200</v>
      </c>
      <c r="E7" s="13">
        <f t="shared" ref="E7:E20" si="1">IFERROR(D7/C7,"BUYALL")</f>
        <v>11.918153088006855</v>
      </c>
      <c r="F7" s="12">
        <f t="shared" ref="F7:F20" si="2">IF(((D7-C7)*24)&lt;0,0,((D7-C7)*24))</f>
        <v>9392532.4800000004</v>
      </c>
      <c r="G7">
        <f t="shared" ref="G7:G20" si="3">IF(ROUNDUP(SQRT((D7*24)/5000),0)&lt;ROUNDUP(SQRT((C7*24)/5000),0),ROUNDUP(SQRT((C7*24)/5000),0),ROUNDUP(SQRT((D7*24)/5000),0))</f>
        <v>46</v>
      </c>
      <c r="I7" s="3" t="str">
        <f>Calc!C4</f>
        <v>Bricks</v>
      </c>
      <c r="J7" s="12">
        <f>Calc!D4</f>
        <v>284800</v>
      </c>
      <c r="K7" s="12">
        <f>Calc!M4</f>
        <v>0</v>
      </c>
      <c r="L7" s="14">
        <f t="shared" ref="L7:L28" si="4">IFERROR(K7/J7,0)</f>
        <v>0</v>
      </c>
      <c r="M7" s="12">
        <f t="shared" ref="M7:M28" si="5">IF(((K7-J7)*24)&lt;0,0,((K7-J7)*24))</f>
        <v>0</v>
      </c>
      <c r="N7">
        <f t="shared" ref="N7:N28" si="6">IF(ROUNDUP(SQRT((K7*24)/5000),0)&lt;ROUNDUP(SQRT((J7*24)/5000),0),ROUNDUP(SQRT((J7*24)/5000),0),ROUNDUP(SQRT((K7*24)/5000),0))</f>
        <v>37</v>
      </c>
      <c r="O7" s="3"/>
      <c r="P7" s="3"/>
    </row>
    <row r="8" spans="1:26" ht="15.75" customHeight="1">
      <c r="B8" s="3" t="s">
        <v>22</v>
      </c>
      <c r="C8" s="12">
        <f t="shared" si="0"/>
        <v>3686.76</v>
      </c>
      <c r="D8" s="12">
        <f>SUMIFS(Calc!$I$4:$I$100,Calc!$H$4:$H$100,B8)</f>
        <v>129560</v>
      </c>
      <c r="E8" s="13">
        <f t="shared" si="1"/>
        <v>35.141967472794541</v>
      </c>
      <c r="F8" s="12">
        <f t="shared" si="2"/>
        <v>3020957.7600000002</v>
      </c>
      <c r="G8">
        <f t="shared" si="3"/>
        <v>25</v>
      </c>
      <c r="I8" s="3" t="str">
        <f>Calc!C5</f>
        <v>Concrete</v>
      </c>
      <c r="J8" s="12">
        <f>Calc!D5</f>
        <v>327600</v>
      </c>
      <c r="K8" s="12">
        <f>Calc!M5</f>
        <v>0</v>
      </c>
      <c r="L8" s="14">
        <f t="shared" si="4"/>
        <v>0</v>
      </c>
      <c r="M8" s="12">
        <f t="shared" si="5"/>
        <v>0</v>
      </c>
      <c r="N8">
        <f t="shared" si="6"/>
        <v>40</v>
      </c>
    </row>
    <row r="9" spans="1:26" ht="15.75" customHeight="1">
      <c r="B9" s="3" t="s">
        <v>23</v>
      </c>
      <c r="C9" s="12">
        <f t="shared" si="0"/>
        <v>0</v>
      </c>
      <c r="D9" s="12">
        <f>SUMIFS(Calc!$I$4:$I$100,Calc!$H$4:$H$100,B9)</f>
        <v>70200</v>
      </c>
      <c r="E9" s="13" t="str">
        <f t="shared" si="1"/>
        <v>BUYALL</v>
      </c>
      <c r="F9" s="12">
        <f t="shared" si="2"/>
        <v>1684800</v>
      </c>
      <c r="G9">
        <f t="shared" si="3"/>
        <v>19</v>
      </c>
      <c r="I9" s="3" t="str">
        <f>Calc!C6</f>
        <v>Fertilizer</v>
      </c>
      <c r="J9" s="12">
        <f>Calc!D6</f>
        <v>77440</v>
      </c>
      <c r="K9" s="12">
        <f>Calc!M6</f>
        <v>0</v>
      </c>
      <c r="L9" s="14">
        <f t="shared" si="4"/>
        <v>0</v>
      </c>
      <c r="M9" s="12">
        <f t="shared" si="5"/>
        <v>0</v>
      </c>
      <c r="N9">
        <f t="shared" si="6"/>
        <v>20</v>
      </c>
    </row>
    <row r="10" spans="1:26" ht="15.75" customHeight="1">
      <c r="B10" s="3" t="s">
        <v>24</v>
      </c>
      <c r="C10" s="12">
        <f t="shared" si="0"/>
        <v>270153.65999999997</v>
      </c>
      <c r="D10" s="12">
        <f>SUMIFS(Calc!$I$4:$I$100,Calc!$H$4:$H$100,B10)</f>
        <v>292500</v>
      </c>
      <c r="E10" s="13">
        <f t="shared" si="1"/>
        <v>1.0827171469747996</v>
      </c>
      <c r="F10" s="12">
        <f t="shared" si="2"/>
        <v>536312.16000000061</v>
      </c>
      <c r="G10">
        <f t="shared" si="3"/>
        <v>38</v>
      </c>
      <c r="I10" s="3" t="str">
        <f>Calc!C7</f>
        <v>Steel</v>
      </c>
      <c r="J10" s="12">
        <f>Calc!D7</f>
        <v>29250</v>
      </c>
      <c r="K10" s="12">
        <f>Calc!M7</f>
        <v>2100</v>
      </c>
      <c r="L10" s="14">
        <f t="shared" si="4"/>
        <v>7.179487179487179E-2</v>
      </c>
      <c r="M10" s="12">
        <f t="shared" si="5"/>
        <v>0</v>
      </c>
      <c r="N10">
        <f t="shared" si="6"/>
        <v>12</v>
      </c>
    </row>
    <row r="11" spans="1:26" ht="15.75" customHeight="1">
      <c r="B11" s="3" t="s">
        <v>25</v>
      </c>
      <c r="C11" s="12">
        <f t="shared" si="0"/>
        <v>132299.01999999999</v>
      </c>
      <c r="D11" s="12">
        <f>SUMIFS(Calc!$I$4:$I$100,Calc!$H$4:$H$100,B11)</f>
        <v>204750</v>
      </c>
      <c r="E11" s="13">
        <f t="shared" si="1"/>
        <v>1.547630511548763</v>
      </c>
      <c r="F11" s="12">
        <f t="shared" si="2"/>
        <v>1738823.5200000003</v>
      </c>
      <c r="G11">
        <f t="shared" si="3"/>
        <v>32</v>
      </c>
      <c r="I11" s="3" t="str">
        <f>Calc!C8</f>
        <v>Fossil fuel</v>
      </c>
      <c r="J11" s="12">
        <f>Calc!D8</f>
        <v>40320</v>
      </c>
      <c r="K11" s="12">
        <f>Calc!M8</f>
        <v>30080</v>
      </c>
      <c r="L11" s="14">
        <f t="shared" si="4"/>
        <v>0.74603174603174605</v>
      </c>
      <c r="M11" s="12">
        <f t="shared" si="5"/>
        <v>0</v>
      </c>
      <c r="N11">
        <f t="shared" si="6"/>
        <v>14</v>
      </c>
    </row>
    <row r="12" spans="1:26" ht="15.75" customHeight="1">
      <c r="B12" s="3" t="s">
        <v>26</v>
      </c>
      <c r="C12" s="12">
        <f t="shared" si="0"/>
        <v>6979.56</v>
      </c>
      <c r="D12" s="12">
        <f>SUMIFS(Calc!$I$4:$I$100,Calc!$H$4:$H$100,B12)</f>
        <v>47700</v>
      </c>
      <c r="E12" s="13">
        <f t="shared" si="1"/>
        <v>6.8342417000498594</v>
      </c>
      <c r="F12" s="12">
        <f t="shared" si="2"/>
        <v>977290.56</v>
      </c>
      <c r="G12">
        <f t="shared" si="3"/>
        <v>16</v>
      </c>
      <c r="I12" s="3" t="str">
        <f>Calc!C9</f>
        <v>Glass</v>
      </c>
      <c r="J12" s="12">
        <f>Calc!D9</f>
        <v>30080</v>
      </c>
      <c r="K12" s="12">
        <f>Calc!M9</f>
        <v>0</v>
      </c>
      <c r="L12" s="14">
        <f t="shared" si="4"/>
        <v>0</v>
      </c>
      <c r="M12" s="12">
        <f t="shared" si="5"/>
        <v>0</v>
      </c>
      <c r="N12">
        <f t="shared" si="6"/>
        <v>13</v>
      </c>
    </row>
    <row r="13" spans="1:26" ht="15.75" customHeight="1">
      <c r="B13" s="3" t="s">
        <v>27</v>
      </c>
      <c r="C13" s="12">
        <f t="shared" si="0"/>
        <v>0</v>
      </c>
      <c r="D13" s="12">
        <f>SUMIFS(Calc!$I$4:$I$100,Calc!$H$4:$H$100,B13)</f>
        <v>22560</v>
      </c>
      <c r="E13" s="13" t="str">
        <f t="shared" si="1"/>
        <v>BUYALL</v>
      </c>
      <c r="F13" s="12">
        <f t="shared" si="2"/>
        <v>541440</v>
      </c>
      <c r="G13">
        <f t="shared" si="3"/>
        <v>11</v>
      </c>
      <c r="I13" s="3" t="str">
        <f>Calc!C10</f>
        <v>Copper</v>
      </c>
      <c r="J13" s="12">
        <f>Calc!D10</f>
        <v>11340</v>
      </c>
      <c r="K13" s="12">
        <f>Calc!M10</f>
        <v>10280</v>
      </c>
      <c r="L13" s="14">
        <f t="shared" si="4"/>
        <v>0.90652557319223981</v>
      </c>
      <c r="M13" s="12">
        <f t="shared" si="5"/>
        <v>0</v>
      </c>
      <c r="N13">
        <f t="shared" si="6"/>
        <v>8</v>
      </c>
    </row>
    <row r="14" spans="1:26" ht="15.75" customHeight="1">
      <c r="B14" s="3" t="s">
        <v>28</v>
      </c>
      <c r="C14" s="12">
        <f t="shared" si="0"/>
        <v>0</v>
      </c>
      <c r="D14" s="12">
        <f>SUMIFS(Calc!$I$4:$I$100,Calc!$H$4:$H$100,B14)</f>
        <v>34020</v>
      </c>
      <c r="E14" s="13" t="str">
        <f t="shared" si="1"/>
        <v>BUYALL</v>
      </c>
      <c r="F14" s="12">
        <f t="shared" si="2"/>
        <v>816480</v>
      </c>
      <c r="G14">
        <f t="shared" si="3"/>
        <v>13</v>
      </c>
      <c r="I14" s="3" t="str">
        <f>Calc!C11</f>
        <v>Insecticides</v>
      </c>
      <c r="J14" s="12">
        <f>Calc!D11</f>
        <v>133000</v>
      </c>
      <c r="K14" s="12">
        <f>Calc!M11</f>
        <v>0</v>
      </c>
      <c r="L14" s="14">
        <f t="shared" si="4"/>
        <v>0</v>
      </c>
      <c r="M14" s="12">
        <f t="shared" si="5"/>
        <v>0</v>
      </c>
      <c r="N14">
        <f t="shared" si="6"/>
        <v>26</v>
      </c>
    </row>
    <row r="15" spans="1:26" ht="15.75" customHeight="1">
      <c r="B15" s="3" t="s">
        <v>29</v>
      </c>
      <c r="C15" s="12">
        <f t="shared" si="0"/>
        <v>7239.26</v>
      </c>
      <c r="D15" s="12">
        <f>SUMIFS(Calc!$I$4:$I$100,Calc!$H$4:$H$100,B15)</f>
        <v>88320</v>
      </c>
      <c r="E15" s="13">
        <f t="shared" si="1"/>
        <v>12.200142003464443</v>
      </c>
      <c r="F15" s="12">
        <f t="shared" si="2"/>
        <v>1945937.7600000002</v>
      </c>
      <c r="G15">
        <f t="shared" si="3"/>
        <v>21</v>
      </c>
      <c r="I15" s="3" t="str">
        <f>Calc!C12</f>
        <v>Aluminium</v>
      </c>
      <c r="J15" s="12">
        <f>Calc!D12</f>
        <v>14720</v>
      </c>
      <c r="K15" s="12">
        <f>Calc!M12</f>
        <v>10300</v>
      </c>
      <c r="L15" s="14">
        <f t="shared" si="4"/>
        <v>0.69972826086956519</v>
      </c>
      <c r="M15" s="12">
        <f t="shared" si="5"/>
        <v>0</v>
      </c>
      <c r="N15">
        <f t="shared" si="6"/>
        <v>9</v>
      </c>
    </row>
    <row r="16" spans="1:26" ht="15.75" customHeight="1">
      <c r="B16" s="3" t="s">
        <v>30</v>
      </c>
      <c r="C16" s="12">
        <f t="shared" si="0"/>
        <v>3194800</v>
      </c>
      <c r="D16" s="12">
        <f>SUMIFS(Calc!$I$4:$I$100,Calc!$H$4:$H$100,B16)</f>
        <v>621000</v>
      </c>
      <c r="E16" s="13">
        <f t="shared" si="1"/>
        <v>0.19437836484286966</v>
      </c>
      <c r="F16" s="12">
        <f t="shared" si="2"/>
        <v>0</v>
      </c>
      <c r="G16">
        <f t="shared" si="3"/>
        <v>124</v>
      </c>
      <c r="I16" s="3" t="str">
        <f>Calc!C13</f>
        <v>Plastics</v>
      </c>
      <c r="J16" s="12">
        <f>Calc!D13</f>
        <v>73800</v>
      </c>
      <c r="K16" s="12">
        <f>Calc!M13</f>
        <v>51760</v>
      </c>
      <c r="L16" s="14">
        <f t="shared" si="4"/>
        <v>0.70135501355013552</v>
      </c>
      <c r="M16" s="12">
        <f t="shared" si="5"/>
        <v>0</v>
      </c>
      <c r="N16">
        <f t="shared" si="6"/>
        <v>19</v>
      </c>
    </row>
    <row r="17" spans="1:26" ht="15.75" customHeight="1">
      <c r="B17" s="3" t="s">
        <v>31</v>
      </c>
      <c r="C17" s="12">
        <f t="shared" si="0"/>
        <v>0</v>
      </c>
      <c r="D17" s="12">
        <f>SUMIFS(Calc!$I$4:$I$100,Calc!$H$4:$H$100,B17)</f>
        <v>13440</v>
      </c>
      <c r="E17" s="13" t="str">
        <f t="shared" si="1"/>
        <v>BUYALL</v>
      </c>
      <c r="F17" s="12">
        <f t="shared" si="2"/>
        <v>322560</v>
      </c>
      <c r="G17">
        <f t="shared" si="3"/>
        <v>9</v>
      </c>
      <c r="I17" s="3" t="str">
        <f>Calc!C14</f>
        <v>Lithium</v>
      </c>
      <c r="J17" s="12">
        <f>Calc!D14</f>
        <v>27000</v>
      </c>
      <c r="K17" s="12">
        <f>Calc!M14</f>
        <v>20400</v>
      </c>
      <c r="L17" s="14">
        <f t="shared" si="4"/>
        <v>0.75555555555555554</v>
      </c>
      <c r="M17" s="12">
        <f t="shared" si="5"/>
        <v>0</v>
      </c>
      <c r="N17">
        <f t="shared" si="6"/>
        <v>12</v>
      </c>
    </row>
    <row r="18" spans="1:26" ht="15.75" customHeight="1">
      <c r="B18" s="3" t="s">
        <v>32</v>
      </c>
      <c r="C18" s="12">
        <f t="shared" si="0"/>
        <v>32797.660000000003</v>
      </c>
      <c r="D18" s="12">
        <f>SUMIFS(Calc!$I$4:$I$100,Calc!$H$4:$H$100,B18)</f>
        <v>5760</v>
      </c>
      <c r="E18" s="13">
        <f t="shared" si="1"/>
        <v>0.17562228524839879</v>
      </c>
      <c r="F18" s="12">
        <f t="shared" si="2"/>
        <v>0</v>
      </c>
      <c r="G18">
        <f t="shared" si="3"/>
        <v>13</v>
      </c>
      <c r="I18" s="3" t="str">
        <f>Calc!C15</f>
        <v>Batteries</v>
      </c>
      <c r="J18" s="12">
        <f>Calc!D15</f>
        <v>10200</v>
      </c>
      <c r="K18" s="12">
        <f>Calc!M15</f>
        <v>600</v>
      </c>
      <c r="L18" s="14">
        <f t="shared" si="4"/>
        <v>5.8823529411764705E-2</v>
      </c>
      <c r="M18" s="12">
        <f t="shared" si="5"/>
        <v>0</v>
      </c>
      <c r="N18">
        <f t="shared" si="6"/>
        <v>7</v>
      </c>
    </row>
    <row r="19" spans="1:26" ht="15.75" customHeight="1">
      <c r="B19" s="3" t="s">
        <v>33</v>
      </c>
      <c r="C19" s="12">
        <f t="shared" si="0"/>
        <v>354553.22</v>
      </c>
      <c r="D19" s="12">
        <f>SUMIFS(Calc!$I$4:$I$100,Calc!$H$4:$H$100,B19)</f>
        <v>33600</v>
      </c>
      <c r="E19" s="13">
        <f t="shared" si="1"/>
        <v>9.476715512554082E-2</v>
      </c>
      <c r="F19" s="12">
        <f t="shared" si="2"/>
        <v>0</v>
      </c>
      <c r="G19">
        <f t="shared" si="3"/>
        <v>42</v>
      </c>
      <c r="I19" s="3" t="str">
        <f>Calc!C16</f>
        <v>Weapons</v>
      </c>
      <c r="J19" s="12">
        <f>Calc!D16</f>
        <v>2500</v>
      </c>
      <c r="K19" s="12">
        <f>Calc!M16</f>
        <v>0</v>
      </c>
      <c r="L19" s="14">
        <f t="shared" si="4"/>
        <v>0</v>
      </c>
      <c r="M19" s="12">
        <f t="shared" si="5"/>
        <v>0</v>
      </c>
      <c r="N19">
        <f t="shared" si="6"/>
        <v>4</v>
      </c>
    </row>
    <row r="20" spans="1:26" ht="15.75" customHeight="1">
      <c r="B20" s="3" t="s">
        <v>34</v>
      </c>
      <c r="C20" s="12">
        <f t="shared" si="0"/>
        <v>5174400</v>
      </c>
      <c r="D20" s="12">
        <f>SUMIFS(Calc!$I$4:$I$100,Calc!$H$4:$H$100,B20)</f>
        <v>2400000</v>
      </c>
      <c r="E20" s="13">
        <f t="shared" si="1"/>
        <v>0.46382189239332094</v>
      </c>
      <c r="F20" s="12">
        <f t="shared" si="2"/>
        <v>0</v>
      </c>
      <c r="G20">
        <f t="shared" si="3"/>
        <v>158</v>
      </c>
      <c r="I20" s="3" t="str">
        <f>Calc!C17</f>
        <v>Silicon</v>
      </c>
      <c r="J20" s="12">
        <f>Calc!D17</f>
        <v>0</v>
      </c>
      <c r="K20" s="12">
        <f>Calc!M17</f>
        <v>2160</v>
      </c>
      <c r="L20" s="14">
        <f t="shared" si="4"/>
        <v>0</v>
      </c>
      <c r="M20" s="12">
        <f t="shared" si="5"/>
        <v>51840</v>
      </c>
      <c r="N20">
        <f t="shared" si="6"/>
        <v>4</v>
      </c>
    </row>
    <row r="21" spans="1:26" ht="15.75" customHeight="1">
      <c r="I21" s="3" t="str">
        <f>Calc!C18</f>
        <v>Electronics</v>
      </c>
      <c r="J21" s="12">
        <f>Calc!D18</f>
        <v>17280</v>
      </c>
      <c r="K21" s="12">
        <f>Calc!M18</f>
        <v>2320</v>
      </c>
      <c r="L21" s="14">
        <f t="shared" si="4"/>
        <v>0.13425925925925927</v>
      </c>
      <c r="M21" s="12">
        <f t="shared" si="5"/>
        <v>0</v>
      </c>
      <c r="N21">
        <f t="shared" si="6"/>
        <v>10</v>
      </c>
    </row>
    <row r="22" spans="1:26" ht="15.75" customHeight="1">
      <c r="D22" s="12"/>
      <c r="I22" s="3" t="str">
        <f>Calc!C19</f>
        <v>Titanium</v>
      </c>
      <c r="J22" s="12">
        <f>Calc!D19</f>
        <v>6720</v>
      </c>
      <c r="K22" s="12">
        <f>Calc!M19</f>
        <v>4640</v>
      </c>
      <c r="L22" s="14">
        <f t="shared" si="4"/>
        <v>0.69047619047619047</v>
      </c>
      <c r="M22" s="12">
        <f t="shared" si="5"/>
        <v>0</v>
      </c>
      <c r="N22">
        <f t="shared" si="6"/>
        <v>6</v>
      </c>
    </row>
    <row r="23" spans="1:26" ht="15.75" customHeight="1">
      <c r="B23" s="3"/>
      <c r="D23" s="3"/>
      <c r="I23" s="3" t="str">
        <f>Calc!C20</f>
        <v>Medical technology</v>
      </c>
      <c r="J23" s="12">
        <f>Calc!D20</f>
        <v>11600</v>
      </c>
      <c r="K23" s="12">
        <f>Calc!M20</f>
        <v>0</v>
      </c>
      <c r="L23" s="14">
        <f t="shared" si="4"/>
        <v>0</v>
      </c>
      <c r="M23" s="12">
        <f t="shared" si="5"/>
        <v>0</v>
      </c>
      <c r="N23">
        <f t="shared" si="6"/>
        <v>8</v>
      </c>
    </row>
    <row r="24" spans="1:26" ht="15.75" customHeight="1">
      <c r="C24" s="12"/>
      <c r="I24" s="3" t="str">
        <f>Calc!C21</f>
        <v>Silver</v>
      </c>
      <c r="J24" s="12">
        <f>Calc!D21</f>
        <v>36000</v>
      </c>
      <c r="K24" s="12">
        <f>Calc!M21</f>
        <v>3400</v>
      </c>
      <c r="L24" s="14">
        <f t="shared" si="4"/>
        <v>9.4444444444444442E-2</v>
      </c>
      <c r="M24" s="12">
        <f t="shared" si="5"/>
        <v>0</v>
      </c>
      <c r="N24">
        <f t="shared" si="6"/>
        <v>14</v>
      </c>
    </row>
    <row r="25" spans="1:26" ht="15.75" customHeight="1">
      <c r="I25" s="3" t="str">
        <f>Calc!C22</f>
        <v>Gold</v>
      </c>
      <c r="J25" s="12">
        <f>Calc!D22</f>
        <v>5040</v>
      </c>
      <c r="K25" s="12">
        <f>Calc!M22</f>
        <v>2400</v>
      </c>
      <c r="L25" s="14">
        <f t="shared" si="4"/>
        <v>0.47619047619047616</v>
      </c>
      <c r="M25" s="12">
        <f t="shared" si="5"/>
        <v>0</v>
      </c>
      <c r="N25">
        <f t="shared" si="6"/>
        <v>5</v>
      </c>
    </row>
    <row r="26" spans="1:26" ht="15.75" customHeight="1">
      <c r="I26" s="3" t="str">
        <f>Calc!C23</f>
        <v>Jewellery</v>
      </c>
      <c r="J26" s="12">
        <f>Calc!D23</f>
        <v>4800</v>
      </c>
      <c r="K26" s="12">
        <f>Calc!M23</f>
        <v>0</v>
      </c>
      <c r="L26" s="14">
        <f t="shared" si="4"/>
        <v>0</v>
      </c>
      <c r="M26" s="12">
        <f t="shared" si="5"/>
        <v>0</v>
      </c>
      <c r="N26">
        <f t="shared" si="6"/>
        <v>5</v>
      </c>
    </row>
    <row r="27" spans="1:26" ht="15.75" customHeight="1">
      <c r="I27" s="3" t="str">
        <f>Calc!C24</f>
        <v>Scan drones</v>
      </c>
      <c r="J27" s="12">
        <f>Calc!D24</f>
        <v>0</v>
      </c>
      <c r="K27" s="12">
        <f>Calc!M24</f>
        <v>0</v>
      </c>
      <c r="L27" s="14">
        <f t="shared" si="4"/>
        <v>0</v>
      </c>
      <c r="M27" s="12">
        <f t="shared" si="5"/>
        <v>0</v>
      </c>
      <c r="N27">
        <f t="shared" si="6"/>
        <v>0</v>
      </c>
    </row>
    <row r="28" spans="1:26" ht="15.75" customHeight="1">
      <c r="I28" s="3" t="s">
        <v>35</v>
      </c>
      <c r="J28" s="12">
        <f>Calc!D25</f>
        <v>1000</v>
      </c>
      <c r="K28" s="12">
        <f>Calc!M25</f>
        <v>0</v>
      </c>
      <c r="L28" s="14">
        <f t="shared" si="4"/>
        <v>0</v>
      </c>
      <c r="M28" s="12">
        <f t="shared" si="5"/>
        <v>0</v>
      </c>
      <c r="N28">
        <f t="shared" si="6"/>
        <v>3</v>
      </c>
    </row>
    <row r="29" spans="1:26" ht="15.75" customHeight="1"/>
    <row r="30" spans="1:26" ht="16.5" customHeight="1">
      <c r="A30" s="10"/>
      <c r="B30" s="11" t="s">
        <v>36</v>
      </c>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5.75" customHeight="1"/>
    <row r="32" spans="1:26" ht="15.75" customHeight="1">
      <c r="B32" s="1" t="s">
        <v>37</v>
      </c>
      <c r="C32" s="1" t="s">
        <v>38</v>
      </c>
      <c r="D32" s="1" t="s">
        <v>39</v>
      </c>
      <c r="E32" s="1" t="s">
        <v>40</v>
      </c>
      <c r="I32" s="1" t="s">
        <v>17</v>
      </c>
      <c r="J32" s="15" t="s">
        <v>38</v>
      </c>
      <c r="K32" s="15" t="s">
        <v>39</v>
      </c>
      <c r="L32" s="15" t="s">
        <v>40</v>
      </c>
      <c r="M32" s="15" t="s">
        <v>41</v>
      </c>
      <c r="N32" s="174" t="s">
        <v>42</v>
      </c>
      <c r="O32" s="175"/>
      <c r="P32" s="15" t="s">
        <v>43</v>
      </c>
    </row>
    <row r="33" spans="2:16" ht="15.75" customHeight="1">
      <c r="B33" s="12" t="s">
        <v>21</v>
      </c>
      <c r="C33" s="12">
        <f ca="1">VLOOKUP($B33,Markets!$F$4:$J$61,5,FALSE)*(C7-D7)</f>
        <v>-136974432</v>
      </c>
      <c r="D33" s="12">
        <f t="shared" ref="D33:D46" ca="1" si="7">VLOOKUP($B33,TblMarket,5,FALSE)*C7</f>
        <v>12545568.000000002</v>
      </c>
      <c r="E33" s="12">
        <f ca="1">IF(VLOOKUP($B33,Markets!$F$4:$H$61,3,FALSE)=0,VLOOKUP($B33,Markets!$F$4:$H$61,2,FALSE), VLOOKUP($B33,Markets!$F$4:$H$61,3,FALSE))</f>
        <v>350</v>
      </c>
      <c r="I33" s="3" t="s">
        <v>44</v>
      </c>
      <c r="J33" s="16" t="e">
        <f t="shared" ref="J33:J54" ca="1" si="8">VLOOKUP($I33,TblMarket,5,FALSE)*(J7-K7)</f>
        <v>#N/A</v>
      </c>
      <c r="K33" s="16" t="e">
        <f t="shared" ref="K33:K54" ca="1" si="9">VLOOKUP($I33,TblMarket,5,FALSE)*J7</f>
        <v>#N/A</v>
      </c>
      <c r="L33" s="16" t="e">
        <f t="shared" ref="L33:L54" ca="1" si="10">VLOOKUP($I33,TblMarket,5,FALSE)</f>
        <v>#N/A</v>
      </c>
      <c r="M33" s="17" t="e">
        <f ca="1">(L33*2)/(E33*3+10)</f>
        <v>#N/A</v>
      </c>
      <c r="N33" s="171" t="e">
        <f ca="1">(L33)-(E33*3+10)/2</f>
        <v>#N/A</v>
      </c>
      <c r="O33" s="172"/>
      <c r="P33" s="12" t="e">
        <f ca="1">Calc!D4*N33</f>
        <v>#N/A</v>
      </c>
    </row>
    <row r="34" spans="2:16" ht="15.75" customHeight="1">
      <c r="B34" s="12" t="s">
        <v>22</v>
      </c>
      <c r="C34" s="12">
        <f t="shared" ref="C34:C46" ca="1" si="11">VLOOKUP($B34,TblMarket,5,FALSE)*(C8-D8)</f>
        <v>-64447098.880000003</v>
      </c>
      <c r="D34" s="12">
        <f t="shared" ca="1" si="7"/>
        <v>1887621.1200000001</v>
      </c>
      <c r="E34" s="12">
        <f ca="1">IF(VLOOKUP($B34,Markets!$F$4:$H$61,3,FALSE)=0,VLOOKUP($B34,Markets!$F$4:$H$61,2,FALSE), VLOOKUP($B34,Markets!$F$4:$H$61,3,FALSE))</f>
        <v>512</v>
      </c>
      <c r="I34" s="3" t="s">
        <v>45</v>
      </c>
      <c r="J34" s="16">
        <f t="shared" ca="1" si="8"/>
        <v>1695657600</v>
      </c>
      <c r="K34" s="16">
        <f t="shared" ca="1" si="9"/>
        <v>1695657600</v>
      </c>
      <c r="L34" s="16">
        <f t="shared" ca="1" si="10"/>
        <v>5176</v>
      </c>
      <c r="M34" s="17">
        <f ca="1">(L34*14)/(E34*2+E35*3+20)</f>
        <v>29.17230273752013</v>
      </c>
      <c r="N34" s="171">
        <f ca="1">(L34)-(E34*2+E35*3+20)/14</f>
        <v>4998.5714285714284</v>
      </c>
      <c r="O34" s="172"/>
      <c r="P34" s="12">
        <f ca="1">Calc!D5*N34</f>
        <v>1637532000</v>
      </c>
    </row>
    <row r="35" spans="2:16" ht="15.75" customHeight="1">
      <c r="B35" s="12" t="s">
        <v>23</v>
      </c>
      <c r="C35" s="12">
        <f t="shared" ca="1" si="11"/>
        <v>-33696000</v>
      </c>
      <c r="D35" s="12">
        <f t="shared" ca="1" si="7"/>
        <v>0</v>
      </c>
      <c r="E35" s="12">
        <f ca="1">IF(VLOOKUP($B35,Markets!$F$4:$H$61,3,FALSE)=0,VLOOKUP($B35,Markets!$F$4:$H$61,2,FALSE), VLOOKUP($B35,Markets!$F$4:$H$61,3,FALSE))</f>
        <v>480</v>
      </c>
      <c r="I35" s="3" t="s">
        <v>46</v>
      </c>
      <c r="J35" s="16">
        <f t="shared" ca="1" si="8"/>
        <v>168122240</v>
      </c>
      <c r="K35" s="16">
        <f t="shared" ca="1" si="9"/>
        <v>168122240</v>
      </c>
      <c r="L35" s="16">
        <f t="shared" ca="1" si="10"/>
        <v>2171</v>
      </c>
      <c r="M35" s="17">
        <f ca="1">(L35*11)/(E34*8+90)</f>
        <v>5.7049689440993792</v>
      </c>
      <c r="N35" s="171">
        <f ca="1">(L35)-(E34*8+90)/11</f>
        <v>1790.4545454545455</v>
      </c>
      <c r="O35" s="172"/>
      <c r="P35" s="12">
        <f ca="1">Calc!D6*N35</f>
        <v>138652800</v>
      </c>
    </row>
    <row r="36" spans="2:16" ht="15.75" customHeight="1">
      <c r="B36" s="12" t="s">
        <v>24</v>
      </c>
      <c r="C36" s="12">
        <f t="shared" ca="1" si="11"/>
        <v>-54301606.200000063</v>
      </c>
      <c r="D36" s="12">
        <f t="shared" ca="1" si="7"/>
        <v>656473393.79999995</v>
      </c>
      <c r="E36" s="12">
        <f ca="1">IF(VLOOKUP($B36,Markets!$F$4:$H$61,3,FALSE)=0,VLOOKUP($B36,Markets!$F$4:$H$61,2,FALSE), VLOOKUP($B36,Markets!$F$4:$H$61,3,FALSE))</f>
        <v>2416</v>
      </c>
      <c r="I36" s="3" t="s">
        <v>47</v>
      </c>
      <c r="J36" s="16">
        <f t="shared" ca="1" si="8"/>
        <v>1341753000</v>
      </c>
      <c r="K36" s="16">
        <f t="shared" ca="1" si="9"/>
        <v>1445535000</v>
      </c>
      <c r="L36" s="16">
        <f t="shared" ca="1" si="10"/>
        <v>49420</v>
      </c>
      <c r="M36" s="17">
        <f ca="1">L36/(E36*10+E37*7+350)</f>
        <v>1.4474840372561655</v>
      </c>
      <c r="N36" s="171">
        <f ca="1">L36-(E36*10+E37*7+350)</f>
        <v>15278</v>
      </c>
      <c r="O36" s="172"/>
      <c r="P36" s="12">
        <f ca="1">Calc!D7*N36</f>
        <v>446881500</v>
      </c>
    </row>
    <row r="37" spans="2:16" ht="15.75" customHeight="1">
      <c r="B37" s="12" t="s">
        <v>25</v>
      </c>
      <c r="C37" s="12">
        <f t="shared" ca="1" si="11"/>
        <v>-99692548.480000019</v>
      </c>
      <c r="D37" s="12">
        <f t="shared" ca="1" si="7"/>
        <v>182043451.51999998</v>
      </c>
      <c r="E37" s="12">
        <f ca="1">IF(VLOOKUP($B37,Markets!$F$4:$H$61,3,FALSE)=0,VLOOKUP($B37,Markets!$F$4:$H$61,2,FALSE), VLOOKUP($B37,Markets!$F$4:$H$61,3,FALSE))</f>
        <v>1376</v>
      </c>
      <c r="I37" s="3" t="s">
        <v>48</v>
      </c>
      <c r="J37" s="16">
        <f t="shared" ca="1" si="8"/>
        <v>329041920</v>
      </c>
      <c r="K37" s="16">
        <f t="shared" ca="1" si="9"/>
        <v>1295602560</v>
      </c>
      <c r="L37" s="16">
        <f t="shared" ca="1" si="10"/>
        <v>32133</v>
      </c>
      <c r="M37" s="17">
        <f ca="1">(L37*4)/(E38*4+150)</f>
        <v>12.285605046836169</v>
      </c>
      <c r="N37" s="171">
        <f ca="1">(L37)-(E38*4+150)/4</f>
        <v>29517.5</v>
      </c>
      <c r="O37" s="172"/>
      <c r="P37" s="12">
        <f ca="1">Calc!D8*N37</f>
        <v>1190145600</v>
      </c>
    </row>
    <row r="38" spans="2:16" ht="15.75" customHeight="1">
      <c r="B38" s="12" t="s">
        <v>26</v>
      </c>
      <c r="C38" s="12">
        <f t="shared" ca="1" si="11"/>
        <v>-104977294.32000001</v>
      </c>
      <c r="D38" s="12">
        <f t="shared" ca="1" si="7"/>
        <v>17993305.68</v>
      </c>
      <c r="E38" s="12">
        <f ca="1">IF(VLOOKUP($B38,Markets!$F$4:$H$61,3,FALSE)=0,VLOOKUP($B38,Markets!$F$4:$H$61,2,FALSE), VLOOKUP($B38,Markets!$F$4:$H$61,3,FALSE))</f>
        <v>2578</v>
      </c>
      <c r="I38" s="3" t="s">
        <v>49</v>
      </c>
      <c r="J38" s="16">
        <f t="shared" ca="1" si="8"/>
        <v>1510286720</v>
      </c>
      <c r="K38" s="16">
        <f t="shared" ca="1" si="9"/>
        <v>1510286720</v>
      </c>
      <c r="L38" s="16">
        <f t="shared" ca="1" si="10"/>
        <v>50209</v>
      </c>
      <c r="M38" s="17">
        <f ca="1">(L38*8)/(E39*6+L37*8+E34*4+3000)</f>
        <v>1.5200224026883227</v>
      </c>
      <c r="N38" s="171">
        <f ca="1">(L38)-(E39*6+L37*8+E34*4+3000)/8</f>
        <v>17177.25</v>
      </c>
      <c r="O38" s="172"/>
      <c r="P38" s="12">
        <f ca="1">Calc!D9*N38</f>
        <v>516691680</v>
      </c>
    </row>
    <row r="39" spans="2:16" ht="15.75" customHeight="1">
      <c r="B39" s="12" t="s">
        <v>27</v>
      </c>
      <c r="C39" s="12">
        <f t="shared" ca="1" si="11"/>
        <v>-8053920</v>
      </c>
      <c r="D39" s="12">
        <f t="shared" ca="1" si="7"/>
        <v>0</v>
      </c>
      <c r="E39" s="12">
        <f ca="1">IF(VLOOKUP($B39,Markets!$F$4:$H$61,3,FALSE)=0,VLOOKUP($B39,Markets!$F$4:$H$61,2,FALSE), VLOOKUP($B39,Markets!$F$4:$H$61,3,FALSE))</f>
        <v>357</v>
      </c>
      <c r="I39" s="3" t="s">
        <v>50</v>
      </c>
      <c r="J39" s="16">
        <f t="shared" ca="1" si="8"/>
        <v>92575100</v>
      </c>
      <c r="K39" s="16">
        <f t="shared" ca="1" si="9"/>
        <v>990378900</v>
      </c>
      <c r="L39" s="16">
        <f t="shared" ca="1" si="10"/>
        <v>87335</v>
      </c>
      <c r="M39" s="17">
        <f ca="1">(L39*3)/(E40*9+2500)</f>
        <v>17.807721063005506</v>
      </c>
      <c r="N39" s="171">
        <f ca="1">(L39)-(E40*9+2500)/3</f>
        <v>82430.666666666672</v>
      </c>
      <c r="O39" s="172"/>
      <c r="P39" s="12">
        <f ca="1">Calc!D10*N39</f>
        <v>934763760</v>
      </c>
    </row>
    <row r="40" spans="2:16" ht="15.75" customHeight="1">
      <c r="B40" s="12" t="s">
        <v>28</v>
      </c>
      <c r="C40" s="12">
        <f t="shared" ca="1" si="11"/>
        <v>-46165140</v>
      </c>
      <c r="D40" s="12">
        <f t="shared" ca="1" si="7"/>
        <v>0</v>
      </c>
      <c r="E40" s="12">
        <f ca="1">IF(VLOOKUP($B40,Markets!$F$4:$H$61,3,FALSE)=0,VLOOKUP($B40,Markets!$F$4:$H$61,2,FALSE), VLOOKUP($B40,Markets!$F$4:$H$61,3,FALSE))</f>
        <v>1357</v>
      </c>
      <c r="I40" s="3" t="s">
        <v>51</v>
      </c>
      <c r="J40" s="16">
        <f t="shared" ca="1" si="8"/>
        <v>580146000</v>
      </c>
      <c r="K40" s="16">
        <f t="shared" ca="1" si="9"/>
        <v>580146000</v>
      </c>
      <c r="L40" s="16">
        <f t="shared" ca="1" si="10"/>
        <v>4362</v>
      </c>
      <c r="M40" s="17">
        <f ca="1">(L40*35)/(E34*3+L39+2400)</f>
        <v>1.6727109377567901</v>
      </c>
      <c r="N40" s="171">
        <f ca="1">(L40)-(E34*3+L39+2400)/35</f>
        <v>1754.2571428571428</v>
      </c>
      <c r="O40" s="172"/>
      <c r="P40" s="12">
        <f ca="1">Calc!D11*N40</f>
        <v>233316200</v>
      </c>
    </row>
    <row r="41" spans="2:16" ht="15.75" customHeight="1">
      <c r="B41" s="12" t="s">
        <v>29</v>
      </c>
      <c r="C41" s="12">
        <f t="shared" ca="1" si="11"/>
        <v>-166296597.74000001</v>
      </c>
      <c r="D41" s="12">
        <f t="shared" ca="1" si="7"/>
        <v>14847722.26</v>
      </c>
      <c r="E41" s="12">
        <f ca="1">IF(VLOOKUP($B41,Markets!$F$4:$H$61,3,FALSE)=0,VLOOKUP($B41,Markets!$F$4:$H$61,2,FALSE), VLOOKUP($B41,Markets!$F$4:$H$61,3,FALSE))</f>
        <v>2050</v>
      </c>
      <c r="I41" s="3" t="s">
        <v>52</v>
      </c>
      <c r="J41" s="16">
        <f t="shared" ca="1" si="8"/>
        <v>426101260</v>
      </c>
      <c r="K41" s="16">
        <f t="shared" ca="1" si="9"/>
        <v>1419052160</v>
      </c>
      <c r="L41" s="16">
        <f t="shared" ca="1" si="10"/>
        <v>96403</v>
      </c>
      <c r="M41" s="17">
        <f ca="1">(L41*4)/(E41*24+5000)</f>
        <v>7.1146125461254615</v>
      </c>
      <c r="N41" s="171">
        <f ca="1">(L41)-(E41*24+5000)/4</f>
        <v>82853</v>
      </c>
      <c r="O41" s="172"/>
      <c r="P41" s="12">
        <f ca="1">Calc!D12*N41</f>
        <v>1219596160</v>
      </c>
    </row>
    <row r="42" spans="2:16" ht="15.75" customHeight="1">
      <c r="B42" s="12" t="s">
        <v>30</v>
      </c>
      <c r="C42" s="12">
        <f t="shared" ca="1" si="11"/>
        <v>1253440600</v>
      </c>
      <c r="D42" s="12">
        <f t="shared" ca="1" si="7"/>
        <v>1555867600</v>
      </c>
      <c r="E42" s="12">
        <f ca="1">IF(VLOOKUP($B42,Markets!$F$4:$H$61,3,FALSE)=0,VLOOKUP($B42,Markets!$F$4:$H$61,2,FALSE), VLOOKUP($B42,Markets!$F$4:$H$61,3,FALSE))</f>
        <v>487</v>
      </c>
      <c r="I42" s="3" t="s">
        <v>53</v>
      </c>
      <c r="J42" s="16">
        <f t="shared" ca="1" si="8"/>
        <v>105836080</v>
      </c>
      <c r="K42" s="16">
        <f t="shared" ca="1" si="9"/>
        <v>354387600</v>
      </c>
      <c r="L42" s="16">
        <f t="shared" ca="1" si="10"/>
        <v>4802</v>
      </c>
      <c r="M42" s="17">
        <f ca="1">(L42*10)/(E38+400)</f>
        <v>16.124916051040966</v>
      </c>
      <c r="N42" s="171">
        <f ca="1">(L42)-(E38+400)/10</f>
        <v>4504.2</v>
      </c>
      <c r="O42" s="172"/>
      <c r="P42" s="12">
        <f ca="1">Calc!D13*N42</f>
        <v>332409960</v>
      </c>
    </row>
    <row r="43" spans="2:16" ht="15.75" customHeight="1">
      <c r="B43" s="12" t="s">
        <v>31</v>
      </c>
      <c r="C43" s="12">
        <f t="shared" ca="1" si="11"/>
        <v>-4032000</v>
      </c>
      <c r="D43" s="12">
        <f t="shared" ca="1" si="7"/>
        <v>0</v>
      </c>
      <c r="E43" s="12">
        <f ca="1">IF(VLOOKUP($B43,Markets!$F$4:$H$61,3,FALSE)=0,VLOOKUP($B43,Markets!$F$4:$H$61,2,FALSE), VLOOKUP($B43,Markets!$F$4:$H$61,3,FALSE))</f>
        <v>300</v>
      </c>
      <c r="I43" s="3" t="s">
        <v>54</v>
      </c>
      <c r="J43" s="16">
        <f t="shared" ca="1" si="8"/>
        <v>201234000</v>
      </c>
      <c r="K43" s="16">
        <f t="shared" ca="1" si="9"/>
        <v>823230000</v>
      </c>
      <c r="L43" s="16">
        <f t="shared" ca="1" si="10"/>
        <v>30490</v>
      </c>
      <c r="M43" s="17">
        <f ca="1">(L43*5)/(E42*115+5000)</f>
        <v>2.4989754938119826</v>
      </c>
      <c r="N43" s="171">
        <f ca="1">(L43)-(E42*115+5000)/5</f>
        <v>18289</v>
      </c>
      <c r="O43" s="172"/>
      <c r="P43" s="12">
        <f ca="1">Calc!D14*N43</f>
        <v>493803000</v>
      </c>
    </row>
    <row r="44" spans="2:16" ht="15.75" customHeight="1">
      <c r="B44" s="12" t="s">
        <v>32</v>
      </c>
      <c r="C44" s="12">
        <f t="shared" ca="1" si="11"/>
        <v>40853904.260000005</v>
      </c>
      <c r="D44" s="12">
        <f t="shared" ca="1" si="7"/>
        <v>49557264.260000005</v>
      </c>
      <c r="E44" s="12">
        <f ca="1">IF(VLOOKUP($B44,Markets!$F$4:$H$61,3,FALSE)=0,VLOOKUP($B44,Markets!$F$4:$H$61,2,FALSE), VLOOKUP($B44,Markets!$F$4:$H$61,3,FALSE))</f>
        <v>1511</v>
      </c>
      <c r="G44" s="3"/>
      <c r="H44" s="3"/>
      <c r="I44" s="3" t="s">
        <v>55</v>
      </c>
      <c r="J44" s="16">
        <f t="shared" ca="1" si="8"/>
        <v>1983292800</v>
      </c>
      <c r="K44" s="16">
        <f t="shared" ca="1" si="9"/>
        <v>2107248600</v>
      </c>
      <c r="L44" s="16">
        <f t="shared" ca="1" si="10"/>
        <v>206593</v>
      </c>
      <c r="M44" s="17">
        <f ca="1">(L44*10)/(L43*20+L42*40+L41*10+75000)</f>
        <v>1.1222330260577649</v>
      </c>
      <c r="N44" s="171">
        <f ca="1">L44-(L43*20+L42*40+L41*10+75000)/10</f>
        <v>22502</v>
      </c>
      <c r="O44" s="172"/>
      <c r="P44" s="12">
        <f ca="1">Calc!D15*N44</f>
        <v>229520400</v>
      </c>
    </row>
    <row r="45" spans="2:16" ht="15.75" customHeight="1">
      <c r="B45" s="12" t="s">
        <v>33</v>
      </c>
      <c r="C45" s="12">
        <f t="shared" ca="1" si="11"/>
        <v>305547465.44</v>
      </c>
      <c r="D45" s="12">
        <f t="shared" ca="1" si="7"/>
        <v>337534665.44</v>
      </c>
      <c r="E45" s="12">
        <f ca="1">IF(VLOOKUP($B45,Markets!$F$4:$H$61,3,FALSE)=0,VLOOKUP($B45,Markets!$F$4:$H$61,2,FALSE), VLOOKUP($B45,Markets!$F$4:$H$61,3,FALSE))</f>
        <v>952</v>
      </c>
      <c r="I45" s="3" t="s">
        <v>56</v>
      </c>
      <c r="J45" s="16" t="e">
        <f t="shared" ca="1" si="8"/>
        <v>#N/A</v>
      </c>
      <c r="K45" s="16" t="e">
        <f t="shared" ca="1" si="9"/>
        <v>#N/A</v>
      </c>
      <c r="L45" s="16" t="e">
        <f t="shared" ca="1" si="10"/>
        <v>#N/A</v>
      </c>
      <c r="M45" s="17" t="e">
        <f ca="1">(L45*25)/(L36+L41+L44+250000)</f>
        <v>#N/A</v>
      </c>
      <c r="N45" s="171" t="e">
        <f ca="1">(L45)-(L36+L41+L44+250000)/25</f>
        <v>#N/A</v>
      </c>
      <c r="O45" s="172"/>
      <c r="P45" s="12" t="e">
        <f ca="1">Calc!D16*N45</f>
        <v>#N/A</v>
      </c>
    </row>
    <row r="46" spans="2:16" ht="15.75" customHeight="1">
      <c r="B46" s="12" t="s">
        <v>34</v>
      </c>
      <c r="C46" s="12">
        <f t="shared" ca="1" si="11"/>
        <v>9496771200</v>
      </c>
      <c r="D46" s="12">
        <f t="shared" ca="1" si="7"/>
        <v>17711971200</v>
      </c>
      <c r="E46" s="12">
        <f ca="1">IF(VLOOKUP($B46,Markets!$F$4:$H$61,3,FALSE)=0,VLOOKUP($B46,Markets!$F$4:$H$61,2,FALSE), VLOOKUP($B46,Markets!$F$4:$H$61,3,FALSE))</f>
        <v>3423</v>
      </c>
      <c r="I46" s="3" t="s">
        <v>57</v>
      </c>
      <c r="J46" s="16">
        <f t="shared" ca="1" si="8"/>
        <v>-261267120</v>
      </c>
      <c r="K46" s="16">
        <f t="shared" ca="1" si="9"/>
        <v>0</v>
      </c>
      <c r="L46" s="16">
        <f t="shared" ca="1" si="10"/>
        <v>120957</v>
      </c>
      <c r="M46" s="17">
        <f ca="1">(L46*2)/(E39*20+E33+L37*5+49500)</f>
        <v>1.1114562036250029</v>
      </c>
      <c r="N46" s="171">
        <f ca="1">(L46)-(E39*20+E33+L37*5+49500)/2</f>
        <v>12129.5</v>
      </c>
      <c r="O46" s="172"/>
      <c r="P46" s="12">
        <f ca="1">Calc!D17*N46</f>
        <v>0</v>
      </c>
    </row>
    <row r="47" spans="2:16" ht="15.75" customHeight="1">
      <c r="B47" s="18" t="s">
        <v>58</v>
      </c>
      <c r="C47" s="18" t="s">
        <v>59</v>
      </c>
      <c r="D47" s="18" t="s">
        <v>39</v>
      </c>
      <c r="E47" s="18" t="s">
        <v>60</v>
      </c>
      <c r="I47" s="3" t="s">
        <v>61</v>
      </c>
      <c r="J47" s="16">
        <f t="shared" ca="1" si="8"/>
        <v>951725280</v>
      </c>
      <c r="K47" s="16">
        <f t="shared" ca="1" si="9"/>
        <v>1099319040</v>
      </c>
      <c r="L47" s="16">
        <f t="shared" ca="1" si="10"/>
        <v>63618</v>
      </c>
      <c r="M47" s="17">
        <f ca="1">(L47*8)/(L42*4+L39*3+L46+5000)</f>
        <v>1.2499545644325467</v>
      </c>
      <c r="N47" s="171">
        <f ca="1">(L47)-(L42*4+L39*3+L46+5000)/8</f>
        <v>12721.75</v>
      </c>
      <c r="O47" s="172"/>
      <c r="P47" s="12">
        <f ca="1">Calc!D18*N47</f>
        <v>219831840</v>
      </c>
    </row>
    <row r="48" spans="2:16" ht="15.75" customHeight="1">
      <c r="B48" s="12" t="s">
        <v>62</v>
      </c>
      <c r="C48" s="12">
        <f ca="1">SUM(C33:C46)+C77</f>
        <v>10342044700.198999</v>
      </c>
      <c r="D48" s="19">
        <f ca="1">SUM(D33:D46)+C77</f>
        <v>20504789960.199001</v>
      </c>
      <c r="E48" s="173">
        <f ca="1">D48*24</f>
        <v>492114959044.776</v>
      </c>
      <c r="F48" s="172"/>
      <c r="I48" s="3" t="s">
        <v>63</v>
      </c>
      <c r="J48" s="16">
        <f t="shared" ca="1" si="8"/>
        <v>75838880</v>
      </c>
      <c r="K48" s="16">
        <f t="shared" ca="1" si="9"/>
        <v>245017920</v>
      </c>
      <c r="L48" s="16">
        <f t="shared" ca="1" si="10"/>
        <v>36461</v>
      </c>
      <c r="M48" s="17">
        <f ca="1">(L48*4)/(E43*8+10000)</f>
        <v>11.761612903225807</v>
      </c>
      <c r="N48" s="171">
        <f ca="1">(L48)-(E43*8+10000)/4</f>
        <v>33361</v>
      </c>
      <c r="O48" s="172"/>
      <c r="P48" s="12">
        <f ca="1">Calc!D19*N48</f>
        <v>224185920</v>
      </c>
    </row>
    <row r="49" spans="1:26" ht="15.75" customHeight="1">
      <c r="B49" s="3"/>
      <c r="E49" s="12"/>
      <c r="I49" s="3" t="s">
        <v>64</v>
      </c>
      <c r="J49" s="16">
        <f t="shared" ca="1" si="8"/>
        <v>2078975200</v>
      </c>
      <c r="K49" s="16">
        <f t="shared" ca="1" si="9"/>
        <v>2078975200</v>
      </c>
      <c r="L49" s="16">
        <f t="shared" ca="1" si="10"/>
        <v>179222</v>
      </c>
      <c r="M49" s="17">
        <f ca="1">(L49*10)/(L48*4+L42*2+L47*2+90000)</f>
        <v>4.8089534297152552</v>
      </c>
      <c r="N49" s="171">
        <f ca="1">(L49)-(L48*4+L42*2+L47*2+90000)/10</f>
        <v>141953.60000000001</v>
      </c>
      <c r="O49" s="172"/>
      <c r="P49" s="12">
        <f ca="1">Calc!D20*N49</f>
        <v>1646661760</v>
      </c>
    </row>
    <row r="50" spans="1:26" ht="15.75" customHeight="1">
      <c r="B50" s="3"/>
      <c r="C50" s="3"/>
      <c r="D50" s="3"/>
      <c r="E50" s="3"/>
      <c r="I50" s="3" t="s">
        <v>65</v>
      </c>
      <c r="J50" s="16">
        <f t="shared" ca="1" si="8"/>
        <v>53007600</v>
      </c>
      <c r="K50" s="16">
        <f t="shared" ca="1" si="9"/>
        <v>58536000</v>
      </c>
      <c r="L50" s="16">
        <f t="shared" ca="1" si="10"/>
        <v>1626</v>
      </c>
      <c r="M50" s="17">
        <f ca="1">(L50*50)/(E44*8+10000)</f>
        <v>3.6807316189786308</v>
      </c>
      <c r="N50" s="171">
        <f ca="1">(L50)-(E44*8+10000)/50</f>
        <v>1184.24</v>
      </c>
      <c r="O50" s="172"/>
      <c r="P50" s="12">
        <f ca="1">Calc!D21*N50</f>
        <v>42632640</v>
      </c>
    </row>
    <row r="51" spans="1:26" ht="15.75" customHeight="1">
      <c r="B51" s="12"/>
      <c r="C51" s="12"/>
      <c r="D51" s="12"/>
      <c r="E51" s="12"/>
      <c r="I51" s="3" t="s">
        <v>66</v>
      </c>
      <c r="J51" s="16">
        <f t="shared" ca="1" si="8"/>
        <v>164857440</v>
      </c>
      <c r="K51" s="16">
        <f t="shared" ca="1" si="9"/>
        <v>314727840</v>
      </c>
      <c r="L51" s="16">
        <f t="shared" ca="1" si="10"/>
        <v>62446</v>
      </c>
      <c r="M51" s="17">
        <f ca="1">(L51*3)/(E45*20+20000)</f>
        <v>4.7986168032786889</v>
      </c>
      <c r="N51" s="171">
        <f ca="1">(L51)-(E45*20+20000)/3</f>
        <v>49432.666666666664</v>
      </c>
      <c r="O51" s="172"/>
      <c r="P51" s="12">
        <f ca="1">Calc!D22*N51</f>
        <v>249140640</v>
      </c>
    </row>
    <row r="52" spans="1:26" ht="15.75" customHeight="1">
      <c r="B52" s="12"/>
      <c r="C52" s="12"/>
      <c r="D52" s="12"/>
      <c r="E52" s="12"/>
      <c r="I52" s="3" t="s">
        <v>67</v>
      </c>
      <c r="J52" s="16">
        <f t="shared" ca="1" si="8"/>
        <v>9954864000</v>
      </c>
      <c r="K52" s="16">
        <f t="shared" ca="1" si="9"/>
        <v>9954864000</v>
      </c>
      <c r="L52" s="16">
        <f t="shared" ca="1" si="10"/>
        <v>2073930</v>
      </c>
      <c r="M52" s="17">
        <f ca="1">(L52*2)/(E46*1000+L51+L50+50000)</f>
        <v>1.1726818113965449</v>
      </c>
      <c r="N52" s="171">
        <f ca="1">(L52)-(E46*1000+L51+L50+50000)/2</f>
        <v>305394</v>
      </c>
      <c r="O52" s="172"/>
      <c r="P52" s="12">
        <f ca="1">Calc!D23*N52</f>
        <v>1465891200</v>
      </c>
    </row>
    <row r="53" spans="1:26" ht="15.75" customHeight="1">
      <c r="B53" s="12"/>
      <c r="C53" s="12"/>
      <c r="D53" s="12"/>
      <c r="E53" s="12"/>
      <c r="I53" s="3" t="s">
        <v>68</v>
      </c>
      <c r="J53" s="16">
        <f t="shared" ca="1" si="8"/>
        <v>0</v>
      </c>
      <c r="K53" s="12">
        <f t="shared" ca="1" si="9"/>
        <v>0</v>
      </c>
      <c r="L53" s="12">
        <f t="shared" ca="1" si="10"/>
        <v>96557042</v>
      </c>
      <c r="M53" s="17">
        <f ca="1">L53/(L47*25+L48*50+L44*250+25000000)</f>
        <v>1.2060321189581791</v>
      </c>
      <c r="N53" s="171">
        <f ca="1">L53-(L47*25+L48*50+L44*250+25000000)</f>
        <v>16495292</v>
      </c>
      <c r="O53" s="172"/>
      <c r="P53" s="12">
        <f ca="1">Calc!D24*N53</f>
        <v>0</v>
      </c>
    </row>
    <row r="54" spans="1:26" ht="15.75" customHeight="1">
      <c r="B54" s="12"/>
      <c r="C54" s="12"/>
      <c r="D54" s="12"/>
      <c r="E54" s="12"/>
      <c r="I54" s="3" t="s">
        <v>35</v>
      </c>
      <c r="J54" s="16">
        <f t="shared" ca="1" si="8"/>
        <v>299273000</v>
      </c>
      <c r="K54" s="12">
        <f t="shared" ca="1" si="9"/>
        <v>299273000</v>
      </c>
      <c r="L54" s="12">
        <f t="shared" ca="1" si="10"/>
        <v>299273</v>
      </c>
      <c r="M54" s="17">
        <f ca="1">(L54*50)/(L36*100+L44*25+L50*50+2500000)</f>
        <v>1.1793428895128319</v>
      </c>
      <c r="N54" s="171">
        <f ca="1">L54-(L36*100+L44*25+L50*50+2500000)/50</f>
        <v>45510.5</v>
      </c>
      <c r="O54" s="172"/>
      <c r="P54" s="12">
        <f ca="1">Calc!D25*N54</f>
        <v>45510500</v>
      </c>
    </row>
    <row r="55" spans="1:26" ht="15.75" customHeight="1">
      <c r="B55" s="12"/>
      <c r="C55" s="12"/>
      <c r="D55" s="12"/>
      <c r="E55" s="12"/>
      <c r="I55" s="1" t="s">
        <v>58</v>
      </c>
      <c r="J55" s="1" t="s">
        <v>38</v>
      </c>
      <c r="K55" s="1" t="s">
        <v>39</v>
      </c>
      <c r="L55" s="1" t="s">
        <v>69</v>
      </c>
      <c r="M55" s="1" t="s">
        <v>70</v>
      </c>
      <c r="N55" s="1"/>
    </row>
    <row r="56" spans="1:26" ht="15.75" customHeight="1">
      <c r="B56" s="12"/>
      <c r="C56" s="12"/>
      <c r="D56" s="12"/>
      <c r="E56" s="12"/>
      <c r="I56" s="3" t="s">
        <v>71</v>
      </c>
      <c r="J56" s="12" t="e">
        <f ca="1">SUM(P33:P54)+J85</f>
        <v>#N/A</v>
      </c>
      <c r="K56" s="12" t="e">
        <f ca="1">SUM(K33:K54)</f>
        <v>#N/A</v>
      </c>
      <c r="L56" s="12" t="e">
        <f ca="1">AVERAGE(L33:L54)</f>
        <v>#N/A</v>
      </c>
      <c r="M56" s="12" t="e">
        <f ca="1">J56*24</f>
        <v>#N/A</v>
      </c>
      <c r="N56" s="12"/>
    </row>
    <row r="57" spans="1:26" ht="15.75" customHeight="1">
      <c r="B57" s="12"/>
      <c r="C57" s="12"/>
      <c r="D57" s="12"/>
      <c r="E57" s="12"/>
      <c r="I57" s="3" t="s">
        <v>72</v>
      </c>
      <c r="J57" s="21" t="e">
        <f ca="1">J56+C48</f>
        <v>#N/A</v>
      </c>
      <c r="M57" s="12" t="e">
        <f ca="1">(M56+E48)</f>
        <v>#N/A</v>
      </c>
      <c r="N57" s="21"/>
    </row>
    <row r="58" spans="1:26" ht="15.75" customHeight="1">
      <c r="B58" s="12"/>
      <c r="C58" s="12"/>
      <c r="D58" s="12"/>
      <c r="E58" s="12"/>
      <c r="I58" s="3"/>
      <c r="L58" s="22"/>
      <c r="M58" s="12"/>
    </row>
    <row r="59" spans="1:26" ht="16.5" customHeight="1">
      <c r="A59" s="10"/>
      <c r="B59" s="11" t="s">
        <v>73</v>
      </c>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c r="B60" s="12"/>
      <c r="C60" s="12"/>
      <c r="D60" s="12"/>
      <c r="E60" s="12"/>
      <c r="J60" s="12"/>
      <c r="L60" s="23"/>
    </row>
    <row r="61" spans="1:26" ht="15.75" customHeight="1">
      <c r="B61" s="1" t="s">
        <v>37</v>
      </c>
      <c r="C61" s="1" t="s">
        <v>74</v>
      </c>
      <c r="D61" s="3"/>
      <c r="E61" s="3"/>
      <c r="I61" s="1" t="s">
        <v>17</v>
      </c>
      <c r="J61" s="1" t="s">
        <v>38</v>
      </c>
      <c r="K61" s="3"/>
      <c r="L61" s="3"/>
      <c r="M61" s="3"/>
      <c r="N61" s="3"/>
      <c r="O61" s="3"/>
      <c r="P61" s="3"/>
    </row>
    <row r="62" spans="1:26" ht="15.75" customHeight="1">
      <c r="B62" s="12" t="s">
        <v>21</v>
      </c>
      <c r="C62" s="12">
        <f ca="1">IF(C33&lt;0,C33*(0.15-(UserBuildings!T$16*0.01)),0)</f>
        <v>-6848721.5999999987</v>
      </c>
      <c r="D62" s="12"/>
      <c r="E62" s="12"/>
      <c r="I62" s="3" t="s">
        <v>44</v>
      </c>
      <c r="J62" s="23" t="e">
        <f ca="1">IF(J33&lt;0,J33*(0.15-(UserBuildings!T$16*0.01)),0)</f>
        <v>#N/A</v>
      </c>
      <c r="K62" s="12"/>
      <c r="L62" s="12"/>
      <c r="M62" s="17"/>
      <c r="P62" s="12"/>
    </row>
    <row r="63" spans="1:26" ht="15.75" customHeight="1">
      <c r="B63" s="12" t="s">
        <v>22</v>
      </c>
      <c r="C63" s="12">
        <f ca="1">IF(C34&lt;0,C34*(0.15-(UserBuildings!T$16*0.01)),0)</f>
        <v>-3222354.9439999992</v>
      </c>
      <c r="D63" s="12"/>
      <c r="E63" s="12"/>
      <c r="I63" s="3" t="s">
        <v>45</v>
      </c>
      <c r="J63" s="23">
        <f ca="1">IF(J34&lt;0,J34*(0.15-(UserBuildings!T$16*0.01)),0)</f>
        <v>0</v>
      </c>
      <c r="K63" s="12"/>
      <c r="L63" s="12"/>
      <c r="M63" s="17"/>
      <c r="P63" s="12"/>
    </row>
    <row r="64" spans="1:26" ht="15.75" customHeight="1">
      <c r="B64" s="12" t="s">
        <v>23</v>
      </c>
      <c r="C64" s="12">
        <f ca="1">IF(C35&lt;0,C35*(0.15-(UserBuildings!T$16*0.01)),0)</f>
        <v>-1684799.9999999995</v>
      </c>
      <c r="D64" s="12"/>
      <c r="E64" s="12"/>
      <c r="I64" s="3" t="s">
        <v>46</v>
      </c>
      <c r="J64" s="23">
        <f ca="1">IF(J35&lt;0,J35*(0.15-(UserBuildings!T$16*0.01)),0)</f>
        <v>0</v>
      </c>
      <c r="K64" s="12"/>
      <c r="L64" s="12"/>
      <c r="M64" s="17"/>
      <c r="P64" s="12"/>
    </row>
    <row r="65" spans="2:16" ht="15.75" customHeight="1">
      <c r="B65" s="12" t="s">
        <v>24</v>
      </c>
      <c r="C65" s="12">
        <f ca="1">IF(C36&lt;0,C36*(0.15-(UserBuildings!T$16*0.01)),0)</f>
        <v>-2715080.3100000024</v>
      </c>
      <c r="D65" s="12"/>
      <c r="E65" s="12"/>
      <c r="I65" s="3" t="s">
        <v>47</v>
      </c>
      <c r="J65" s="23">
        <f ca="1">IF(J36&lt;0,J36*(0.15-(UserBuildings!T$16*0.01)),0)</f>
        <v>0</v>
      </c>
      <c r="K65" s="12"/>
      <c r="L65" s="12"/>
      <c r="M65" s="17"/>
      <c r="P65" s="12"/>
    </row>
    <row r="66" spans="2:16" ht="15.75" customHeight="1">
      <c r="B66" s="12" t="s">
        <v>25</v>
      </c>
      <c r="C66" s="12">
        <f ca="1">IF(C37&lt;0,C37*(0.15-(UserBuildings!T$16*0.01)),0)</f>
        <v>-4984627.4239999996</v>
      </c>
      <c r="D66" s="12"/>
      <c r="E66" s="12"/>
      <c r="I66" s="3" t="s">
        <v>48</v>
      </c>
      <c r="J66" s="23">
        <f ca="1">IF(J37&lt;0,J37*(0.15-(UserBuildings!T$16*0.01)),0)</f>
        <v>0</v>
      </c>
      <c r="K66" s="12"/>
      <c r="L66" s="12"/>
      <c r="M66" s="17"/>
      <c r="P66" s="12"/>
    </row>
    <row r="67" spans="2:16" ht="15.75" customHeight="1">
      <c r="B67" s="12" t="s">
        <v>26</v>
      </c>
      <c r="C67" s="12">
        <f ca="1">IF(C38&lt;0,C38*(0.15-(UserBuildings!T$16*0.01)),0)</f>
        <v>-5248864.7159999991</v>
      </c>
      <c r="D67" s="12"/>
      <c r="E67" s="12"/>
      <c r="I67" s="3" t="s">
        <v>49</v>
      </c>
      <c r="J67" s="23">
        <f ca="1">IF(J38&lt;0,J38*(0.15-(UserBuildings!T$16*0.01)),0)</f>
        <v>0</v>
      </c>
      <c r="K67" s="12"/>
      <c r="L67" s="12"/>
      <c r="M67" s="17"/>
      <c r="P67" s="12"/>
    </row>
    <row r="68" spans="2:16" ht="15.75" customHeight="1">
      <c r="B68" s="12" t="s">
        <v>27</v>
      </c>
      <c r="C68" s="12">
        <f ca="1">IF(C39&lt;0,C39*(0.15-(UserBuildings!T$16*0.01)),0)</f>
        <v>-402695.99999999988</v>
      </c>
      <c r="D68" s="12"/>
      <c r="E68" s="12"/>
      <c r="I68" s="3" t="s">
        <v>50</v>
      </c>
      <c r="J68" s="23">
        <f ca="1">IF(J39&lt;0,J39*(0.15-(UserBuildings!T$16*0.01)),0)</f>
        <v>0</v>
      </c>
      <c r="K68" s="12"/>
      <c r="L68" s="12"/>
      <c r="M68" s="17"/>
      <c r="P68" s="12"/>
    </row>
    <row r="69" spans="2:16" ht="15.75" customHeight="1">
      <c r="B69" s="12" t="s">
        <v>28</v>
      </c>
      <c r="C69" s="12">
        <f ca="1">IF(C40&lt;0,C40*(0.15-(UserBuildings!T$16*0.01)),0)</f>
        <v>-2308256.9999999995</v>
      </c>
      <c r="D69" s="12"/>
      <c r="E69" s="12"/>
      <c r="I69" s="3" t="s">
        <v>51</v>
      </c>
      <c r="J69" s="23">
        <f ca="1">IF(J40&lt;0,J40*(0.15-(UserBuildings!T$16*0.01)),0)</f>
        <v>0</v>
      </c>
      <c r="K69" s="12"/>
      <c r="L69" s="12"/>
      <c r="M69" s="17"/>
      <c r="N69" s="3"/>
      <c r="O69" s="3"/>
      <c r="P69" s="12"/>
    </row>
    <row r="70" spans="2:16" ht="15.75" customHeight="1">
      <c r="B70" s="12" t="s">
        <v>29</v>
      </c>
      <c r="C70" s="12">
        <f ca="1">IF(C41&lt;0,C41*(0.15-(UserBuildings!T$16*0.01)),0)</f>
        <v>-8314829.8869999982</v>
      </c>
      <c r="D70" s="12"/>
      <c r="E70" s="12"/>
      <c r="I70" s="3" t="s">
        <v>52</v>
      </c>
      <c r="J70" s="23">
        <f ca="1">IF(J41&lt;0,J41*(0.15-(UserBuildings!T$16*0.01)),0)</f>
        <v>0</v>
      </c>
      <c r="K70" s="12"/>
      <c r="L70" s="12"/>
      <c r="M70" s="17"/>
      <c r="P70" s="12"/>
    </row>
    <row r="71" spans="2:16" ht="15.75" customHeight="1">
      <c r="B71" s="12" t="s">
        <v>30</v>
      </c>
      <c r="C71" s="12">
        <f ca="1">IF(C42&lt;0,C42*(0.15-(UserBuildings!T$16*0.01)),0)</f>
        <v>0</v>
      </c>
      <c r="D71" s="12"/>
      <c r="E71" s="12"/>
      <c r="I71" s="3" t="s">
        <v>53</v>
      </c>
      <c r="J71" s="23">
        <f ca="1">IF(J42&lt;0,J42*(0.15-(UserBuildings!T$16*0.01)),0)</f>
        <v>0</v>
      </c>
      <c r="K71" s="12"/>
      <c r="L71" s="12"/>
      <c r="M71" s="17"/>
      <c r="P71" s="12"/>
    </row>
    <row r="72" spans="2:16" ht="15.75" customHeight="1">
      <c r="B72" s="12" t="s">
        <v>31</v>
      </c>
      <c r="C72" s="12">
        <f ca="1">IF(C43&lt;0,C43*(0.15-(UserBuildings!T$16*0.01)),0)</f>
        <v>-201599.99999999994</v>
      </c>
      <c r="D72" s="12"/>
      <c r="E72" s="12"/>
      <c r="I72" s="3" t="s">
        <v>54</v>
      </c>
      <c r="J72" s="23">
        <f ca="1">IF(J43&lt;0,J43*(0.15-(UserBuildings!T$16*0.01)),0)</f>
        <v>0</v>
      </c>
      <c r="K72" s="12"/>
      <c r="L72" s="12"/>
      <c r="M72" s="17"/>
      <c r="P72" s="12"/>
    </row>
    <row r="73" spans="2:16" ht="15.75" customHeight="1">
      <c r="B73" s="12" t="s">
        <v>32</v>
      </c>
      <c r="C73" s="12">
        <f ca="1">IF(C44&lt;0,C44*(0.15-(UserBuildings!T$16*0.01)),0)</f>
        <v>0</v>
      </c>
      <c r="D73" s="12"/>
      <c r="E73" s="12"/>
      <c r="G73" s="3"/>
      <c r="H73" s="3"/>
      <c r="I73" s="3" t="s">
        <v>55</v>
      </c>
      <c r="J73" s="23">
        <f ca="1">IF(J44&lt;0,J44*(0.15-(UserBuildings!T$16*0.01)),0)</f>
        <v>0</v>
      </c>
      <c r="K73" s="12"/>
      <c r="L73" s="12"/>
      <c r="M73" s="17"/>
      <c r="P73" s="12"/>
    </row>
    <row r="74" spans="2:16" ht="15.75" customHeight="1">
      <c r="B74" s="12" t="s">
        <v>33</v>
      </c>
      <c r="C74" s="12">
        <f ca="1">IF(C45&lt;0,C45*(0.15-(UserBuildings!T$16*0.01)),0)</f>
        <v>0</v>
      </c>
      <c r="D74" s="12"/>
      <c r="E74" s="12"/>
      <c r="I74" s="3" t="s">
        <v>56</v>
      </c>
      <c r="J74" s="23" t="e">
        <f ca="1">IF(J45&lt;0,J45*(0.15-(UserBuildings!T$16*0.01)),0)</f>
        <v>#N/A</v>
      </c>
      <c r="K74" s="12"/>
      <c r="L74" s="12"/>
      <c r="M74" s="17"/>
      <c r="P74" s="12"/>
    </row>
    <row r="75" spans="2:16" ht="15.75" customHeight="1">
      <c r="B75" s="12" t="s">
        <v>34</v>
      </c>
      <c r="C75" s="12">
        <f ca="1">IF(C46&lt;0,C46*(0.15-(UserBuildings!T$16*0.01)),0)</f>
        <v>0</v>
      </c>
      <c r="D75" s="12"/>
      <c r="E75" s="12"/>
      <c r="I75" s="3" t="s">
        <v>57</v>
      </c>
      <c r="J75" s="23">
        <f ca="1">IF(J46&lt;0,J46*(0.15-(UserBuildings!T$16*0.01)),0)</f>
        <v>-13063355.999999996</v>
      </c>
      <c r="K75" s="12"/>
      <c r="L75" s="12"/>
      <c r="M75" s="17"/>
      <c r="P75" s="12"/>
    </row>
    <row r="76" spans="2:16" ht="15.75" customHeight="1">
      <c r="B76" s="18" t="s">
        <v>58</v>
      </c>
      <c r="C76" s="18" t="s">
        <v>38</v>
      </c>
      <c r="D76" s="12"/>
      <c r="E76" s="12"/>
      <c r="I76" s="3" t="s">
        <v>61</v>
      </c>
      <c r="J76" s="23">
        <f ca="1">IF(J47&lt;0,J47*(0.15-(UserBuildings!T$16*0.01)),0)</f>
        <v>0</v>
      </c>
      <c r="K76" s="12"/>
      <c r="L76" s="12"/>
      <c r="M76" s="17"/>
      <c r="P76" s="12"/>
    </row>
    <row r="77" spans="2:16" ht="15.75" customHeight="1">
      <c r="B77" s="12" t="s">
        <v>62</v>
      </c>
      <c r="C77" s="12">
        <f ca="1">SUM(C62:C75)</f>
        <v>-35931831.880999997</v>
      </c>
      <c r="D77" s="12"/>
      <c r="E77" s="12"/>
      <c r="F77" s="12"/>
      <c r="I77" s="3" t="s">
        <v>63</v>
      </c>
      <c r="J77" s="23">
        <f ca="1">IF(J48&lt;0,J48*(0.15-(UserBuildings!T$16*0.01)),0)</f>
        <v>0</v>
      </c>
      <c r="K77" s="12"/>
      <c r="L77" s="12"/>
      <c r="M77" s="17"/>
      <c r="P77" s="12"/>
    </row>
    <row r="78" spans="2:16" ht="15.75" customHeight="1">
      <c r="B78" s="3"/>
      <c r="E78" s="12"/>
      <c r="I78" s="3" t="s">
        <v>64</v>
      </c>
      <c r="J78" s="23">
        <f ca="1">IF(J49&lt;0,J49*(0.15-(UserBuildings!T$16*0.01)),0)</f>
        <v>0</v>
      </c>
      <c r="K78" s="12"/>
      <c r="L78" s="12"/>
      <c r="M78" s="17"/>
      <c r="P78" s="12"/>
    </row>
    <row r="79" spans="2:16" ht="15.75" customHeight="1">
      <c r="B79" s="3"/>
      <c r="C79" s="3"/>
      <c r="D79" s="3"/>
      <c r="E79" s="3"/>
      <c r="I79" s="3" t="s">
        <v>65</v>
      </c>
      <c r="J79" s="23">
        <f ca="1">IF(J50&lt;0,J50*(0.15-(UserBuildings!T$16*0.01)),0)</f>
        <v>0</v>
      </c>
      <c r="K79" s="12"/>
      <c r="L79" s="12"/>
      <c r="M79" s="17"/>
      <c r="P79" s="12"/>
    </row>
    <row r="80" spans="2:16" ht="15.75" customHeight="1">
      <c r="B80" s="12"/>
      <c r="C80" s="12"/>
      <c r="D80" s="12"/>
      <c r="E80" s="12"/>
      <c r="I80" s="3" t="s">
        <v>66</v>
      </c>
      <c r="J80" s="23">
        <f ca="1">IF(J51&lt;0,J51*(0.15-(UserBuildings!T$16*0.01)),0)</f>
        <v>0</v>
      </c>
      <c r="K80" s="12"/>
      <c r="L80" s="12"/>
      <c r="M80" s="17"/>
      <c r="P80" s="12"/>
    </row>
    <row r="81" spans="2:16" ht="15.75" customHeight="1">
      <c r="B81" s="12"/>
      <c r="C81" s="12"/>
      <c r="D81" s="12"/>
      <c r="E81" s="12"/>
      <c r="I81" s="3" t="s">
        <v>67</v>
      </c>
      <c r="J81" s="23">
        <f ca="1">IF(J52&lt;0,J52*(0.15-(UserBuildings!T$16*0.01)),0)</f>
        <v>0</v>
      </c>
      <c r="K81" s="12"/>
      <c r="L81" s="12"/>
      <c r="M81" s="17"/>
      <c r="P81" s="12"/>
    </row>
    <row r="82" spans="2:16" ht="15.75" customHeight="1">
      <c r="B82" s="12"/>
      <c r="C82" s="12"/>
      <c r="D82" s="12"/>
      <c r="E82" s="12"/>
      <c r="I82" s="3" t="s">
        <v>68</v>
      </c>
      <c r="J82" s="23">
        <f ca="1">IF(J53&lt;0,J53*(0.15-(UserBuildings!T$16*0.01)),0)</f>
        <v>0</v>
      </c>
      <c r="K82" s="12"/>
      <c r="L82" s="12"/>
      <c r="M82" s="17"/>
      <c r="P82" s="12"/>
    </row>
    <row r="83" spans="2:16" ht="15.75" customHeight="1">
      <c r="B83" s="12"/>
      <c r="C83" s="12"/>
      <c r="D83" s="12"/>
      <c r="E83" s="12"/>
      <c r="I83" s="3" t="s">
        <v>35</v>
      </c>
      <c r="J83" s="23">
        <f ca="1">IF(J54&lt;0,J54*(0.15-(UserBuildings!T$16*0.01)),0)</f>
        <v>0</v>
      </c>
      <c r="K83" s="12"/>
      <c r="L83" s="12"/>
      <c r="M83" s="17"/>
      <c r="P83" s="12"/>
    </row>
    <row r="84" spans="2:16" ht="15.75" customHeight="1">
      <c r="B84" s="12"/>
      <c r="C84" s="12"/>
      <c r="D84" s="12"/>
      <c r="E84" s="12"/>
      <c r="I84" s="1" t="s">
        <v>58</v>
      </c>
      <c r="J84" s="1" t="s">
        <v>38</v>
      </c>
      <c r="K84" s="3"/>
      <c r="L84" s="3"/>
      <c r="M84" s="3"/>
      <c r="N84" s="3"/>
    </row>
    <row r="85" spans="2:16" ht="15.75" customHeight="1">
      <c r="B85" s="12"/>
      <c r="C85" s="12"/>
      <c r="D85" s="12"/>
      <c r="E85" s="12"/>
      <c r="I85" s="3" t="s">
        <v>71</v>
      </c>
      <c r="J85" s="12" t="e">
        <f ca="1">SUM(J62:J83)</f>
        <v>#N/A</v>
      </c>
      <c r="M85" s="12"/>
      <c r="N85" s="12"/>
    </row>
    <row r="86" spans="2:16" ht="15.75" customHeight="1">
      <c r="B86" s="12"/>
      <c r="C86" s="12"/>
      <c r="D86" s="12"/>
      <c r="E86" s="12"/>
      <c r="I86" s="3"/>
      <c r="J86" s="24"/>
      <c r="M86" s="12"/>
      <c r="N86" s="12"/>
    </row>
    <row r="87" spans="2:16" ht="15.75" customHeight="1"/>
    <row r="88" spans="2:16" ht="15.75" customHeight="1"/>
    <row r="89" spans="2:16" ht="15.75" customHeight="1"/>
    <row r="90" spans="2:16" ht="15.75" customHeight="1"/>
    <row r="91" spans="2:16" ht="15.75" customHeight="1"/>
    <row r="92" spans="2:16" ht="15.75" customHeight="1"/>
    <row r="93" spans="2:16" ht="15.75" customHeight="1"/>
    <row r="94" spans="2:16" ht="15.75" customHeight="1"/>
    <row r="95" spans="2:16" ht="15.75" customHeight="1"/>
    <row r="96" spans="2:1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N32:O32"/>
    <mergeCell ref="N33:O33"/>
    <mergeCell ref="N34:O34"/>
    <mergeCell ref="N35:O35"/>
    <mergeCell ref="N36:O36"/>
    <mergeCell ref="N37:O37"/>
    <mergeCell ref="N38:O38"/>
    <mergeCell ref="N46:O46"/>
    <mergeCell ref="N47:O47"/>
    <mergeCell ref="E48:F48"/>
    <mergeCell ref="N48:O48"/>
    <mergeCell ref="N54:O54"/>
    <mergeCell ref="N39:O39"/>
    <mergeCell ref="N40:O40"/>
    <mergeCell ref="N41:O41"/>
    <mergeCell ref="N42:O42"/>
    <mergeCell ref="N43:O43"/>
    <mergeCell ref="N44:O44"/>
    <mergeCell ref="N45:O45"/>
    <mergeCell ref="N49:O49"/>
    <mergeCell ref="N50:O50"/>
    <mergeCell ref="N51:O51"/>
    <mergeCell ref="N52:O52"/>
    <mergeCell ref="N53:O53"/>
  </mergeCells>
  <conditionalFormatting sqref="C33:D45">
    <cfRule type="colorScale" priority="3">
      <colorScale>
        <cfvo type="min"/>
        <cfvo type="max"/>
        <color rgb="FFFFFFFF"/>
        <color rgb="FFFFD666"/>
      </colorScale>
    </cfRule>
  </conditionalFormatting>
  <conditionalFormatting sqref="E7:E20">
    <cfRule type="colorScale" priority="1">
      <colorScale>
        <cfvo type="formula" val="0"/>
        <cfvo type="formula" val="0.9"/>
        <cfvo type="formula" val="1.1"/>
        <color rgb="FFA4C2F4"/>
        <color rgb="FF6AA84F"/>
        <color rgb="FFE67C73"/>
      </colorScale>
    </cfRule>
    <cfRule type="containsText" dxfId="15" priority="8" operator="containsText" text="BUYALL">
      <formula>NOT(ISERROR(SEARCH(("BUYALL"),(E7))))</formula>
    </cfRule>
  </conditionalFormatting>
  <conditionalFormatting sqref="E33:E46 E51:E58 E60 E80:E86">
    <cfRule type="colorScale" priority="7">
      <colorScale>
        <cfvo type="min"/>
        <cfvo type="max"/>
        <color rgb="FFFFFFFF"/>
        <color rgb="FFFFD666"/>
      </colorScale>
    </cfRule>
  </conditionalFormatting>
  <conditionalFormatting sqref="J33:J51">
    <cfRule type="colorScale" priority="11">
      <colorScale>
        <cfvo type="min"/>
        <cfvo type="max"/>
        <color rgb="FFFFFFFF"/>
        <color rgb="FFFFD666"/>
      </colorScale>
    </cfRule>
  </conditionalFormatting>
  <conditionalFormatting sqref="K33:K51">
    <cfRule type="colorScale" priority="4">
      <colorScale>
        <cfvo type="min"/>
        <cfvo type="max"/>
        <color rgb="FFFFFFFF"/>
        <color rgb="FFFFD666"/>
      </colorScale>
    </cfRule>
  </conditionalFormatting>
  <conditionalFormatting sqref="L7:L28">
    <cfRule type="colorScale" priority="2">
      <colorScale>
        <cfvo type="min"/>
        <cfvo type="formula" val="0.9"/>
        <cfvo type="formula" val="1.1"/>
        <color rgb="FFFFFFFF"/>
        <color rgb="FF93C47D"/>
        <color rgb="FFE67C73"/>
      </colorScale>
    </cfRule>
  </conditionalFormatting>
  <conditionalFormatting sqref="L33:L51">
    <cfRule type="colorScale" priority="6">
      <colorScale>
        <cfvo type="min"/>
        <cfvo type="max"/>
        <color rgb="FFFFFFFF"/>
        <color rgb="FFFFD666"/>
      </colorScale>
    </cfRule>
  </conditionalFormatting>
  <conditionalFormatting sqref="M33:M54">
    <cfRule type="colorScale" priority="5">
      <colorScale>
        <cfvo type="formula" val="1"/>
        <cfvo type="formula" val="1.2"/>
        <cfvo type="max"/>
        <color rgb="FFE06666"/>
        <color rgb="FFFFE599"/>
        <color rgb="FF38761D"/>
      </colorScale>
    </cfRule>
  </conditionalFormatting>
  <conditionalFormatting sqref="N33:N54">
    <cfRule type="cellIs" dxfId="14" priority="9" operator="lessThanOrEqual">
      <formula>0</formula>
    </cfRule>
    <cfRule type="colorScale" priority="10">
      <colorScale>
        <cfvo type="formula" val="0"/>
        <cfvo type="percentile" val="25"/>
        <cfvo type="max"/>
        <color rgb="FFE06666"/>
        <color rgb="FFFFD666"/>
        <color rgb="FF38761D"/>
      </colorScale>
    </cfRule>
  </conditionalFormatting>
  <conditionalFormatting sqref="P33:P51">
    <cfRule type="colorScale" priority="12">
      <colorScale>
        <cfvo type="min"/>
        <cfvo type="max"/>
        <color rgb="FFFFFFFF"/>
        <color rgb="FFFFD666"/>
      </colorScale>
    </cfRule>
  </conditionalFormatting>
  <pageMargins left="0.7" right="0.7" top="0.78740157499999996" bottom="0.78740157499999996"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FF"/>
    <outlinePr summaryBelow="0" summaryRight="0"/>
  </sheetPr>
  <dimension ref="B1:AB1000"/>
  <sheetViews>
    <sheetView topLeftCell="N1" workbookViewId="0">
      <selection activeCell="R20" sqref="R20"/>
    </sheetView>
  </sheetViews>
  <sheetFormatPr defaultColWidth="15.109375" defaultRowHeight="15" customHeight="1"/>
  <cols>
    <col min="1" max="1" width="3" customWidth="1"/>
    <col min="2" max="2" width="13.33203125" customWidth="1"/>
    <col min="3" max="4" width="12.6640625" customWidth="1"/>
    <col min="5" max="5" width="7.77734375" customWidth="1"/>
    <col min="6" max="6" width="7.21875" customWidth="1"/>
    <col min="7" max="7" width="14.109375" customWidth="1"/>
    <col min="8" max="8" width="13.88671875" customWidth="1"/>
    <col min="9" max="9" width="12.21875" customWidth="1"/>
    <col min="10" max="10" width="3.109375" customWidth="1"/>
    <col min="11" max="11" width="17.21875" customWidth="1"/>
    <col min="12" max="12" width="6.44140625" customWidth="1"/>
    <col min="13" max="13" width="8.44140625" customWidth="1"/>
    <col min="14" max="14" width="9.44140625" customWidth="1"/>
    <col min="15" max="15" width="7.33203125" customWidth="1"/>
    <col min="16" max="16" width="6.88671875" customWidth="1"/>
    <col min="17" max="17" width="3.21875" customWidth="1"/>
    <col min="18" max="18" width="12.6640625" customWidth="1"/>
    <col min="19" max="19" width="4.44140625" customWidth="1"/>
    <col min="20" max="20" width="10.109375" customWidth="1"/>
    <col min="21" max="21" width="7.109375" customWidth="1"/>
    <col min="22" max="22" width="3.21875" customWidth="1"/>
    <col min="23" max="23" width="7.77734375" customWidth="1"/>
    <col min="24" max="24" width="3" customWidth="1"/>
    <col min="25" max="25" width="12.6640625" customWidth="1"/>
    <col min="26" max="26" width="6.21875" customWidth="1"/>
    <col min="27" max="27" width="10.21875" customWidth="1"/>
    <col min="28" max="28" width="8.77734375" customWidth="1"/>
  </cols>
  <sheetData>
    <row r="1" spans="2:28" ht="15.75" customHeight="1">
      <c r="B1" s="3" t="s">
        <v>75</v>
      </c>
      <c r="Y1" s="3" t="s">
        <v>76</v>
      </c>
    </row>
    <row r="2" spans="2:28" ht="15.75" customHeight="1">
      <c r="B2" s="3" t="s">
        <v>77</v>
      </c>
      <c r="C2" s="25">
        <v>0</v>
      </c>
      <c r="D2" s="3" t="s">
        <v>78</v>
      </c>
      <c r="E2" s="26">
        <f>'API Raw'!B11</f>
        <v>0</v>
      </c>
      <c r="F2" s="3" t="s">
        <v>79</v>
      </c>
      <c r="G2" s="176" t="s">
        <v>1231</v>
      </c>
      <c r="H2" s="172"/>
      <c r="I2" s="172"/>
      <c r="J2" s="172"/>
      <c r="K2" s="172"/>
      <c r="R2" s="27"/>
      <c r="W2" s="27"/>
      <c r="Y2" s="27"/>
    </row>
    <row r="3" spans="2:28" ht="24" customHeight="1">
      <c r="B3" s="27" t="s">
        <v>80</v>
      </c>
      <c r="C3" s="3" t="s">
        <v>81</v>
      </c>
      <c r="K3" s="27" t="s">
        <v>82</v>
      </c>
      <c r="R3" s="27" t="s">
        <v>83</v>
      </c>
      <c r="W3" s="27" t="s">
        <v>84</v>
      </c>
      <c r="Y3" s="27" t="s">
        <v>85</v>
      </c>
    </row>
    <row r="4" spans="2:28" ht="15.75" customHeight="1">
      <c r="B4" s="1" t="s">
        <v>11</v>
      </c>
      <c r="C4" s="1" t="s">
        <v>86</v>
      </c>
      <c r="D4" s="1" t="s">
        <v>87</v>
      </c>
      <c r="E4" s="1" t="s">
        <v>88</v>
      </c>
      <c r="F4" s="1" t="s">
        <v>89</v>
      </c>
      <c r="G4" s="1" t="s">
        <v>90</v>
      </c>
      <c r="H4" s="1" t="s">
        <v>91</v>
      </c>
      <c r="I4" s="1" t="s">
        <v>92</v>
      </c>
      <c r="K4" s="1" t="s">
        <v>93</v>
      </c>
      <c r="L4" s="1" t="s">
        <v>94</v>
      </c>
      <c r="M4" s="1" t="s">
        <v>95</v>
      </c>
      <c r="N4" s="1" t="s">
        <v>96</v>
      </c>
      <c r="O4" s="1" t="s">
        <v>97</v>
      </c>
      <c r="P4" s="1" t="s">
        <v>98</v>
      </c>
      <c r="R4" s="1" t="s">
        <v>93</v>
      </c>
      <c r="S4" s="1" t="s">
        <v>99</v>
      </c>
      <c r="T4" s="1" t="s">
        <v>96</v>
      </c>
      <c r="U4" s="1" t="s">
        <v>97</v>
      </c>
      <c r="W4" s="1" t="s">
        <v>100</v>
      </c>
      <c r="X4" s="3"/>
      <c r="Y4" s="1" t="s">
        <v>11</v>
      </c>
      <c r="Z4" s="1" t="s">
        <v>100</v>
      </c>
      <c r="AA4" s="1" t="s">
        <v>96</v>
      </c>
      <c r="AB4" s="1" t="s">
        <v>97</v>
      </c>
    </row>
    <row r="5" spans="2:28" ht="15.75" customHeight="1">
      <c r="B5" s="3" t="s">
        <v>21</v>
      </c>
      <c r="C5" s="3" t="s">
        <v>101</v>
      </c>
      <c r="D5" s="28">
        <f t="shared" ref="D5:D18" si="0">IF(F5=0,E5,F5)</f>
        <v>25</v>
      </c>
      <c r="E5" s="29">
        <v>25</v>
      </c>
      <c r="F5" s="26">
        <f t="shared" ref="F5:F18" si="1">IFERROR(VLOOKUP(C5,TblAPIMines,2,FALSE),0)</f>
        <v>0</v>
      </c>
      <c r="G5" s="30">
        <f t="shared" ref="G5:G18" si="2">IF(I5=0,H5*$G$20/100,I5*$G$20/100)</f>
        <v>35844.480000000003</v>
      </c>
      <c r="H5" s="31">
        <v>36576</v>
      </c>
      <c r="I5" s="32">
        <f t="shared" ref="I5:I18" si="3">IFERROR(VLOOKUP(C5,TblAPIMines,5,FALSE),0)</f>
        <v>0</v>
      </c>
      <c r="K5" s="3" t="s">
        <v>102</v>
      </c>
      <c r="L5" s="33">
        <f t="shared" ref="L5:L26" si="4">IF(P5="NO",0,M5)</f>
        <v>356</v>
      </c>
      <c r="M5" s="34">
        <f t="shared" ref="M5:M26" si="5">IF(O5=0,N5,O5)</f>
        <v>356</v>
      </c>
      <c r="N5" s="29">
        <v>356</v>
      </c>
      <c r="O5" s="26">
        <f t="shared" ref="O5:O26" si="6">IFERROR(VLOOKUP(K5,TblAPIFactory,2,FALSE),0)</f>
        <v>0</v>
      </c>
      <c r="P5" s="35" t="s">
        <v>103</v>
      </c>
      <c r="R5" s="3" t="s">
        <v>104</v>
      </c>
      <c r="S5" s="34">
        <f t="shared" ref="S5:S18" si="7">IF(U5=0,T5,U5)</f>
        <v>10</v>
      </c>
      <c r="T5" s="35">
        <v>10</v>
      </c>
      <c r="U5" s="26">
        <f t="shared" ref="U5:U18" si="8">IFERROR(VLOOKUP(R5,TblAPISpecial,2,FALSE),0)</f>
        <v>0</v>
      </c>
      <c r="W5" s="34">
        <f>IF(W7=0,W6,W7)</f>
        <v>9</v>
      </c>
      <c r="Y5" s="3" t="s">
        <v>29</v>
      </c>
      <c r="Z5" s="28">
        <f t="shared" ref="Z5:Z40" si="9">IF(AB5=0,AA5,AB5)</f>
        <v>32</v>
      </c>
      <c r="AA5" s="36">
        <v>32</v>
      </c>
      <c r="AB5" s="26">
        <f t="shared" ref="AB5:AB40" si="10">IFERROR(VLOOKUP(Y5,TblAPIWarehouse,2,FALSE),0)</f>
        <v>0</v>
      </c>
    </row>
    <row r="6" spans="2:28" ht="15.75" customHeight="1">
      <c r="B6" s="3" t="s">
        <v>24</v>
      </c>
      <c r="C6" s="3" t="s">
        <v>105</v>
      </c>
      <c r="D6" s="28">
        <f t="shared" si="0"/>
        <v>143</v>
      </c>
      <c r="E6" s="29">
        <v>143</v>
      </c>
      <c r="F6" s="26">
        <f t="shared" si="1"/>
        <v>0</v>
      </c>
      <c r="G6" s="30">
        <f t="shared" si="2"/>
        <v>270153.65999999997</v>
      </c>
      <c r="H6" s="31">
        <v>275667</v>
      </c>
      <c r="I6" s="32">
        <f t="shared" si="3"/>
        <v>0</v>
      </c>
      <c r="K6" s="3" t="s">
        <v>106</v>
      </c>
      <c r="L6" s="33">
        <f t="shared" si="4"/>
        <v>156</v>
      </c>
      <c r="M6" s="34">
        <f t="shared" si="5"/>
        <v>156</v>
      </c>
      <c r="N6" s="29">
        <v>156</v>
      </c>
      <c r="O6" s="26">
        <f t="shared" si="6"/>
        <v>0</v>
      </c>
      <c r="P6" s="35" t="s">
        <v>103</v>
      </c>
      <c r="R6" s="3" t="s">
        <v>107</v>
      </c>
      <c r="S6" s="34">
        <f t="shared" si="7"/>
        <v>10</v>
      </c>
      <c r="T6" s="35">
        <v>10</v>
      </c>
      <c r="U6" s="26">
        <f t="shared" si="8"/>
        <v>0</v>
      </c>
      <c r="W6" s="36">
        <v>9</v>
      </c>
      <c r="Y6" s="3" t="s">
        <v>28</v>
      </c>
      <c r="Z6" s="28">
        <f t="shared" si="9"/>
        <v>23</v>
      </c>
      <c r="AA6" s="36">
        <v>23</v>
      </c>
      <c r="AB6" s="26">
        <f t="shared" si="10"/>
        <v>0</v>
      </c>
    </row>
    <row r="7" spans="2:28" ht="15.75" customHeight="1">
      <c r="B7" s="3" t="s">
        <v>28</v>
      </c>
      <c r="C7" s="3" t="s">
        <v>108</v>
      </c>
      <c r="D7" s="28">
        <f t="shared" si="0"/>
        <v>0</v>
      </c>
      <c r="E7" s="29">
        <v>0</v>
      </c>
      <c r="F7" s="26">
        <f t="shared" si="1"/>
        <v>0</v>
      </c>
      <c r="G7" s="30">
        <f t="shared" si="2"/>
        <v>0</v>
      </c>
      <c r="H7" s="31">
        <v>0</v>
      </c>
      <c r="I7" s="32">
        <f t="shared" si="3"/>
        <v>0</v>
      </c>
      <c r="K7" s="3" t="s">
        <v>109</v>
      </c>
      <c r="L7" s="33">
        <f t="shared" si="4"/>
        <v>64</v>
      </c>
      <c r="M7" s="34">
        <f t="shared" si="5"/>
        <v>64</v>
      </c>
      <c r="N7" s="29">
        <v>64</v>
      </c>
      <c r="O7" s="26">
        <f t="shared" si="6"/>
        <v>0</v>
      </c>
      <c r="P7" s="35" t="s">
        <v>103</v>
      </c>
      <c r="R7" s="3" t="s">
        <v>110</v>
      </c>
      <c r="S7" s="34">
        <f t="shared" si="7"/>
        <v>10</v>
      </c>
      <c r="T7" s="35">
        <v>10</v>
      </c>
      <c r="U7" s="26">
        <f t="shared" si="8"/>
        <v>0</v>
      </c>
      <c r="W7" s="26">
        <f>'API Raw'!S11</f>
        <v>0</v>
      </c>
      <c r="Y7" s="3" t="s">
        <v>21</v>
      </c>
      <c r="Z7" s="28">
        <f t="shared" si="9"/>
        <v>126</v>
      </c>
      <c r="AA7" s="36">
        <v>126</v>
      </c>
      <c r="AB7" s="26">
        <f t="shared" si="10"/>
        <v>0</v>
      </c>
    </row>
    <row r="8" spans="2:28" ht="15.75" customHeight="1">
      <c r="B8" s="3" t="s">
        <v>111</v>
      </c>
      <c r="C8" s="3" t="s">
        <v>112</v>
      </c>
      <c r="D8" s="28">
        <f t="shared" si="0"/>
        <v>478</v>
      </c>
      <c r="E8" s="29">
        <v>478</v>
      </c>
      <c r="F8" s="26">
        <f t="shared" si="1"/>
        <v>0</v>
      </c>
      <c r="G8" s="30">
        <f t="shared" si="2"/>
        <v>5174400</v>
      </c>
      <c r="H8" s="31">
        <v>5280000</v>
      </c>
      <c r="I8" s="32">
        <f t="shared" si="3"/>
        <v>0</v>
      </c>
      <c r="K8" s="3" t="s">
        <v>113</v>
      </c>
      <c r="L8" s="33">
        <f t="shared" si="4"/>
        <v>65</v>
      </c>
      <c r="M8" s="34">
        <f t="shared" si="5"/>
        <v>65</v>
      </c>
      <c r="N8" s="29">
        <v>65</v>
      </c>
      <c r="O8" s="26">
        <f t="shared" si="6"/>
        <v>0</v>
      </c>
      <c r="P8" s="35" t="s">
        <v>103</v>
      </c>
      <c r="R8" s="3" t="s">
        <v>114</v>
      </c>
      <c r="S8" s="34">
        <f t="shared" si="7"/>
        <v>10</v>
      </c>
      <c r="T8" s="35">
        <v>10</v>
      </c>
      <c r="U8" s="26">
        <f t="shared" si="8"/>
        <v>0</v>
      </c>
      <c r="Y8" s="3" t="s">
        <v>24</v>
      </c>
      <c r="Z8" s="28">
        <f t="shared" si="9"/>
        <v>50</v>
      </c>
      <c r="AA8" s="36">
        <v>50</v>
      </c>
      <c r="AB8" s="26">
        <f t="shared" si="10"/>
        <v>0</v>
      </c>
    </row>
    <row r="9" spans="2:28" ht="15.75" customHeight="1">
      <c r="B9" s="3" t="s">
        <v>23</v>
      </c>
      <c r="C9" s="3" t="s">
        <v>115</v>
      </c>
      <c r="D9" s="28">
        <f t="shared" si="0"/>
        <v>0</v>
      </c>
      <c r="E9" s="29">
        <v>0</v>
      </c>
      <c r="F9" s="26">
        <f t="shared" si="1"/>
        <v>0</v>
      </c>
      <c r="G9" s="30">
        <f t="shared" si="2"/>
        <v>0</v>
      </c>
      <c r="H9" s="31">
        <v>0</v>
      </c>
      <c r="I9" s="32">
        <f t="shared" si="3"/>
        <v>0</v>
      </c>
      <c r="K9" s="3" t="s">
        <v>116</v>
      </c>
      <c r="L9" s="33">
        <f t="shared" si="4"/>
        <v>63</v>
      </c>
      <c r="M9" s="34">
        <f t="shared" si="5"/>
        <v>63</v>
      </c>
      <c r="N9" s="29">
        <v>63</v>
      </c>
      <c r="O9" s="26">
        <f t="shared" si="6"/>
        <v>0</v>
      </c>
      <c r="P9" s="35" t="s">
        <v>103</v>
      </c>
      <c r="R9" s="3" t="s">
        <v>117</v>
      </c>
      <c r="S9" s="34">
        <f t="shared" si="7"/>
        <v>10</v>
      </c>
      <c r="T9" s="35">
        <v>10</v>
      </c>
      <c r="U9" s="26">
        <f t="shared" si="8"/>
        <v>0</v>
      </c>
      <c r="Y9" s="3" t="s">
        <v>118</v>
      </c>
      <c r="Z9" s="28">
        <f t="shared" si="9"/>
        <v>35</v>
      </c>
      <c r="AA9" s="36">
        <v>35</v>
      </c>
      <c r="AB9" s="26">
        <f t="shared" si="10"/>
        <v>0</v>
      </c>
    </row>
    <row r="10" spans="2:28" ht="15.75" customHeight="1">
      <c r="B10" s="3" t="s">
        <v>31</v>
      </c>
      <c r="C10" s="3" t="s">
        <v>119</v>
      </c>
      <c r="D10" s="28">
        <f t="shared" si="0"/>
        <v>0</v>
      </c>
      <c r="E10" s="29">
        <v>0</v>
      </c>
      <c r="F10" s="26">
        <f t="shared" si="1"/>
        <v>0</v>
      </c>
      <c r="G10" s="30">
        <f t="shared" si="2"/>
        <v>0</v>
      </c>
      <c r="H10" s="31">
        <v>0</v>
      </c>
      <c r="I10" s="32">
        <f t="shared" si="3"/>
        <v>0</v>
      </c>
      <c r="K10" s="3" t="s">
        <v>120</v>
      </c>
      <c r="L10" s="33">
        <f t="shared" si="4"/>
        <v>47</v>
      </c>
      <c r="M10" s="34">
        <f t="shared" si="5"/>
        <v>47</v>
      </c>
      <c r="N10" s="29">
        <v>47</v>
      </c>
      <c r="O10" s="26">
        <f t="shared" si="6"/>
        <v>0</v>
      </c>
      <c r="P10" s="35" t="s">
        <v>103</v>
      </c>
      <c r="R10" s="3" t="s">
        <v>121</v>
      </c>
      <c r="S10" s="34">
        <f t="shared" si="7"/>
        <v>10</v>
      </c>
      <c r="T10" s="35">
        <v>10</v>
      </c>
      <c r="U10" s="26">
        <f t="shared" si="8"/>
        <v>0</v>
      </c>
      <c r="Y10" s="3" t="s">
        <v>122</v>
      </c>
      <c r="Z10" s="28">
        <f t="shared" si="9"/>
        <v>52</v>
      </c>
      <c r="AA10" s="36">
        <v>52</v>
      </c>
      <c r="AB10" s="26">
        <f t="shared" si="10"/>
        <v>0</v>
      </c>
    </row>
    <row r="11" spans="2:28" ht="15.75" customHeight="1">
      <c r="B11" s="3" t="s">
        <v>123</v>
      </c>
      <c r="C11" s="3" t="s">
        <v>124</v>
      </c>
      <c r="D11" s="28">
        <f t="shared" si="0"/>
        <v>141</v>
      </c>
      <c r="E11" s="29">
        <v>141</v>
      </c>
      <c r="F11" s="26">
        <f t="shared" si="1"/>
        <v>0</v>
      </c>
      <c r="G11" s="30">
        <f t="shared" si="2"/>
        <v>132299.01999999999</v>
      </c>
      <c r="H11" s="31">
        <v>134999</v>
      </c>
      <c r="I11" s="32">
        <f t="shared" si="3"/>
        <v>0</v>
      </c>
      <c r="K11" s="3" t="s">
        <v>125</v>
      </c>
      <c r="L11" s="33">
        <f t="shared" si="4"/>
        <v>42</v>
      </c>
      <c r="M11" s="34">
        <f t="shared" si="5"/>
        <v>42</v>
      </c>
      <c r="N11" s="29">
        <v>42</v>
      </c>
      <c r="O11" s="26">
        <f t="shared" si="6"/>
        <v>0</v>
      </c>
      <c r="P11" s="35" t="s">
        <v>103</v>
      </c>
      <c r="R11" s="3" t="s">
        <v>126</v>
      </c>
      <c r="S11" s="34">
        <f t="shared" si="7"/>
        <v>10</v>
      </c>
      <c r="T11" s="35">
        <v>10</v>
      </c>
      <c r="U11" s="26">
        <f t="shared" si="8"/>
        <v>0</v>
      </c>
      <c r="Y11" s="3" t="s">
        <v>23</v>
      </c>
      <c r="Z11" s="28">
        <f t="shared" si="9"/>
        <v>60</v>
      </c>
      <c r="AA11" s="36">
        <v>60</v>
      </c>
      <c r="AB11" s="26">
        <f t="shared" si="10"/>
        <v>0</v>
      </c>
    </row>
    <row r="12" spans="2:28" ht="15.75" customHeight="1">
      <c r="B12" s="3" t="s">
        <v>127</v>
      </c>
      <c r="C12" s="3" t="s">
        <v>128</v>
      </c>
      <c r="D12" s="28">
        <f t="shared" si="0"/>
        <v>257</v>
      </c>
      <c r="E12" s="29">
        <v>257</v>
      </c>
      <c r="F12" s="26">
        <f t="shared" si="1"/>
        <v>0</v>
      </c>
      <c r="G12" s="30">
        <f t="shared" si="2"/>
        <v>3194800</v>
      </c>
      <c r="H12" s="31">
        <v>3260000</v>
      </c>
      <c r="I12" s="32">
        <f t="shared" si="3"/>
        <v>0</v>
      </c>
      <c r="K12" s="3" t="s">
        <v>129</v>
      </c>
      <c r="L12" s="33">
        <f t="shared" si="4"/>
        <v>38</v>
      </c>
      <c r="M12" s="34">
        <f t="shared" si="5"/>
        <v>38</v>
      </c>
      <c r="N12" s="29">
        <v>38</v>
      </c>
      <c r="O12" s="26">
        <f t="shared" si="6"/>
        <v>0</v>
      </c>
      <c r="P12" s="35" t="s">
        <v>103</v>
      </c>
      <c r="R12" s="3" t="s">
        <v>130</v>
      </c>
      <c r="S12" s="34">
        <f t="shared" si="7"/>
        <v>10</v>
      </c>
      <c r="T12" s="35">
        <v>10</v>
      </c>
      <c r="U12" s="26">
        <f t="shared" si="8"/>
        <v>0</v>
      </c>
      <c r="Y12" s="3" t="s">
        <v>31</v>
      </c>
      <c r="Z12" s="28">
        <f t="shared" si="9"/>
        <v>37</v>
      </c>
      <c r="AA12" s="36">
        <v>37</v>
      </c>
      <c r="AB12" s="26">
        <f t="shared" si="10"/>
        <v>0</v>
      </c>
    </row>
    <row r="13" spans="2:28" ht="15.75" customHeight="1">
      <c r="B13" s="3" t="s">
        <v>131</v>
      </c>
      <c r="C13" s="3" t="s">
        <v>132</v>
      </c>
      <c r="D13" s="28">
        <f t="shared" si="0"/>
        <v>0</v>
      </c>
      <c r="E13" s="29">
        <v>0</v>
      </c>
      <c r="F13" s="26">
        <f t="shared" si="1"/>
        <v>0</v>
      </c>
      <c r="G13" s="30">
        <f t="shared" si="2"/>
        <v>0</v>
      </c>
      <c r="H13" s="31">
        <v>0</v>
      </c>
      <c r="I13" s="32">
        <f t="shared" si="3"/>
        <v>0</v>
      </c>
      <c r="K13" s="3" t="s">
        <v>133</v>
      </c>
      <c r="L13" s="33">
        <f t="shared" si="4"/>
        <v>46</v>
      </c>
      <c r="M13" s="34">
        <f t="shared" si="5"/>
        <v>46</v>
      </c>
      <c r="N13" s="29">
        <v>46</v>
      </c>
      <c r="O13" s="26">
        <f t="shared" si="6"/>
        <v>0</v>
      </c>
      <c r="P13" s="35" t="s">
        <v>103</v>
      </c>
      <c r="R13" s="3" t="s">
        <v>134</v>
      </c>
      <c r="S13" s="34">
        <f t="shared" si="7"/>
        <v>10</v>
      </c>
      <c r="T13" s="35">
        <v>10</v>
      </c>
      <c r="U13" s="26">
        <f t="shared" si="8"/>
        <v>0</v>
      </c>
      <c r="Y13" s="3" t="s">
        <v>123</v>
      </c>
      <c r="Z13" s="28">
        <f t="shared" si="9"/>
        <v>51</v>
      </c>
      <c r="AA13" s="36">
        <v>51</v>
      </c>
      <c r="AB13" s="26">
        <f t="shared" si="10"/>
        <v>0</v>
      </c>
    </row>
    <row r="14" spans="2:28" ht="15.75" customHeight="1">
      <c r="B14" s="3" t="s">
        <v>135</v>
      </c>
      <c r="C14" s="3" t="s">
        <v>136</v>
      </c>
      <c r="D14" s="28">
        <f t="shared" si="0"/>
        <v>13</v>
      </c>
      <c r="E14" s="29">
        <v>13</v>
      </c>
      <c r="F14" s="26">
        <f t="shared" si="1"/>
        <v>0</v>
      </c>
      <c r="G14" s="30">
        <f t="shared" si="2"/>
        <v>32797.660000000003</v>
      </c>
      <c r="H14" s="31">
        <v>33467</v>
      </c>
      <c r="I14" s="32">
        <f t="shared" si="3"/>
        <v>0</v>
      </c>
      <c r="K14" s="3" t="s">
        <v>137</v>
      </c>
      <c r="L14" s="33">
        <f t="shared" si="4"/>
        <v>41</v>
      </c>
      <c r="M14" s="34">
        <f t="shared" si="5"/>
        <v>41</v>
      </c>
      <c r="N14" s="29">
        <v>41</v>
      </c>
      <c r="O14" s="26">
        <f t="shared" si="6"/>
        <v>0</v>
      </c>
      <c r="P14" s="35" t="s">
        <v>103</v>
      </c>
      <c r="R14" s="3" t="s">
        <v>138</v>
      </c>
      <c r="S14" s="34">
        <f t="shared" si="7"/>
        <v>10</v>
      </c>
      <c r="T14" s="35">
        <v>10</v>
      </c>
      <c r="U14" s="26">
        <f t="shared" si="8"/>
        <v>0</v>
      </c>
      <c r="Y14" s="3" t="s">
        <v>22</v>
      </c>
      <c r="Z14" s="28">
        <f t="shared" si="9"/>
        <v>64</v>
      </c>
      <c r="AA14" s="36">
        <v>64</v>
      </c>
      <c r="AB14" s="26">
        <f t="shared" si="10"/>
        <v>0</v>
      </c>
    </row>
    <row r="15" spans="2:28" ht="15.75" customHeight="1">
      <c r="B15" s="3" t="s">
        <v>29</v>
      </c>
      <c r="C15" s="3" t="s">
        <v>139</v>
      </c>
      <c r="D15" s="28">
        <f t="shared" si="0"/>
        <v>6</v>
      </c>
      <c r="E15" s="29">
        <v>6</v>
      </c>
      <c r="F15" s="26">
        <f t="shared" si="1"/>
        <v>0</v>
      </c>
      <c r="G15" s="30">
        <f t="shared" si="2"/>
        <v>7239.26</v>
      </c>
      <c r="H15" s="31">
        <v>7387</v>
      </c>
      <c r="I15" s="32">
        <f t="shared" si="3"/>
        <v>0</v>
      </c>
      <c r="K15" s="3" t="s">
        <v>140</v>
      </c>
      <c r="L15" s="33">
        <f t="shared" si="4"/>
        <v>36</v>
      </c>
      <c r="M15" s="34">
        <f t="shared" si="5"/>
        <v>36</v>
      </c>
      <c r="N15" s="29">
        <v>36</v>
      </c>
      <c r="O15" s="26">
        <f t="shared" si="6"/>
        <v>0</v>
      </c>
      <c r="P15" s="35" t="s">
        <v>103</v>
      </c>
      <c r="R15" s="3" t="s">
        <v>141</v>
      </c>
      <c r="S15" s="34">
        <f t="shared" si="7"/>
        <v>10</v>
      </c>
      <c r="T15" s="35">
        <v>10</v>
      </c>
      <c r="U15" s="26">
        <f t="shared" si="8"/>
        <v>0</v>
      </c>
      <c r="Y15" s="3" t="s">
        <v>127</v>
      </c>
      <c r="Z15" s="28">
        <f t="shared" si="9"/>
        <v>120</v>
      </c>
      <c r="AA15" s="36">
        <v>120</v>
      </c>
      <c r="AB15" s="26">
        <f t="shared" si="10"/>
        <v>0</v>
      </c>
    </row>
    <row r="16" spans="2:28" ht="15.75" customHeight="1">
      <c r="B16" s="3" t="s">
        <v>118</v>
      </c>
      <c r="C16" s="3" t="s">
        <v>142</v>
      </c>
      <c r="D16" s="28">
        <f t="shared" si="0"/>
        <v>16</v>
      </c>
      <c r="E16" s="29">
        <v>16</v>
      </c>
      <c r="F16" s="26">
        <f t="shared" si="1"/>
        <v>0</v>
      </c>
      <c r="G16" s="30">
        <f t="shared" si="2"/>
        <v>6979.56</v>
      </c>
      <c r="H16" s="31">
        <v>7122</v>
      </c>
      <c r="I16" s="32">
        <f t="shared" si="3"/>
        <v>0</v>
      </c>
      <c r="K16" s="3" t="s">
        <v>143</v>
      </c>
      <c r="L16" s="33">
        <f t="shared" si="4"/>
        <v>17</v>
      </c>
      <c r="M16" s="34">
        <f t="shared" si="5"/>
        <v>17</v>
      </c>
      <c r="N16" s="29">
        <v>17</v>
      </c>
      <c r="O16" s="26">
        <f t="shared" si="6"/>
        <v>0</v>
      </c>
      <c r="P16" s="35" t="s">
        <v>103</v>
      </c>
      <c r="R16" s="3" t="s">
        <v>144</v>
      </c>
      <c r="S16" s="34">
        <f t="shared" si="7"/>
        <v>10</v>
      </c>
      <c r="T16" s="35">
        <v>10</v>
      </c>
      <c r="U16" s="26">
        <f t="shared" si="8"/>
        <v>0</v>
      </c>
      <c r="Y16" s="3" t="s">
        <v>131</v>
      </c>
      <c r="Z16" s="28">
        <f t="shared" si="9"/>
        <v>38</v>
      </c>
      <c r="AA16" s="36">
        <v>38</v>
      </c>
      <c r="AB16" s="26">
        <f t="shared" si="10"/>
        <v>0</v>
      </c>
    </row>
    <row r="17" spans="2:28" ht="15.75" customHeight="1">
      <c r="B17" s="3" t="s">
        <v>122</v>
      </c>
      <c r="C17" s="3" t="s">
        <v>145</v>
      </c>
      <c r="D17" s="28">
        <f t="shared" si="0"/>
        <v>64</v>
      </c>
      <c r="E17" s="29">
        <v>64</v>
      </c>
      <c r="F17" s="26">
        <f t="shared" si="1"/>
        <v>0</v>
      </c>
      <c r="G17" s="30">
        <f t="shared" si="2"/>
        <v>354553.22</v>
      </c>
      <c r="H17" s="31">
        <v>361789</v>
      </c>
      <c r="I17" s="32">
        <f t="shared" si="3"/>
        <v>0</v>
      </c>
      <c r="K17" s="3" t="s">
        <v>146</v>
      </c>
      <c r="L17" s="33">
        <f t="shared" si="4"/>
        <v>20</v>
      </c>
      <c r="M17" s="34">
        <f t="shared" si="5"/>
        <v>20</v>
      </c>
      <c r="N17" s="29">
        <v>20</v>
      </c>
      <c r="O17" s="26">
        <f t="shared" si="6"/>
        <v>0</v>
      </c>
      <c r="P17" s="35" t="s">
        <v>103</v>
      </c>
      <c r="R17" s="3" t="s">
        <v>147</v>
      </c>
      <c r="S17" s="34">
        <f t="shared" si="7"/>
        <v>1</v>
      </c>
      <c r="T17" s="35">
        <v>1</v>
      </c>
      <c r="U17" s="26">
        <f t="shared" si="8"/>
        <v>0</v>
      </c>
      <c r="Y17" s="3" t="s">
        <v>111</v>
      </c>
      <c r="Z17" s="28">
        <f t="shared" si="9"/>
        <v>152</v>
      </c>
      <c r="AA17" s="36">
        <v>152</v>
      </c>
      <c r="AB17" s="26">
        <f t="shared" si="10"/>
        <v>0</v>
      </c>
    </row>
    <row r="18" spans="2:28" ht="15.75" customHeight="1">
      <c r="B18" s="3" t="s">
        <v>22</v>
      </c>
      <c r="C18" s="3" t="s">
        <v>148</v>
      </c>
      <c r="D18" s="28">
        <f t="shared" si="0"/>
        <v>4</v>
      </c>
      <c r="E18" s="29">
        <v>4</v>
      </c>
      <c r="F18" s="26">
        <f t="shared" si="1"/>
        <v>0</v>
      </c>
      <c r="G18" s="30">
        <f t="shared" si="2"/>
        <v>3686.76</v>
      </c>
      <c r="H18" s="31">
        <v>3762</v>
      </c>
      <c r="I18" s="32">
        <f t="shared" si="3"/>
        <v>0</v>
      </c>
      <c r="K18" s="3" t="s">
        <v>149</v>
      </c>
      <c r="L18" s="33">
        <f t="shared" si="4"/>
        <v>0</v>
      </c>
      <c r="M18" s="34">
        <f t="shared" si="5"/>
        <v>5</v>
      </c>
      <c r="N18" s="29">
        <v>5</v>
      </c>
      <c r="O18" s="26">
        <f t="shared" si="6"/>
        <v>0</v>
      </c>
      <c r="P18" s="35" t="s">
        <v>150</v>
      </c>
      <c r="R18" s="3" t="s">
        <v>151</v>
      </c>
      <c r="S18" s="34">
        <f t="shared" si="7"/>
        <v>2</v>
      </c>
      <c r="T18" s="35">
        <v>2</v>
      </c>
      <c r="U18" s="26">
        <f t="shared" si="8"/>
        <v>0</v>
      </c>
      <c r="Y18" s="3" t="s">
        <v>135</v>
      </c>
      <c r="Z18" s="28">
        <f t="shared" si="9"/>
        <v>40</v>
      </c>
      <c r="AA18" s="36">
        <v>40</v>
      </c>
      <c r="AB18" s="26">
        <f t="shared" si="10"/>
        <v>0</v>
      </c>
    </row>
    <row r="19" spans="2:28" ht="15.75" customHeight="1">
      <c r="K19" s="3" t="s">
        <v>152</v>
      </c>
      <c r="L19" s="33">
        <f t="shared" si="4"/>
        <v>36</v>
      </c>
      <c r="M19" s="34">
        <f t="shared" si="5"/>
        <v>36</v>
      </c>
      <c r="N19" s="29">
        <v>36</v>
      </c>
      <c r="O19" s="26">
        <f t="shared" si="6"/>
        <v>0</v>
      </c>
      <c r="P19" s="35" t="s">
        <v>103</v>
      </c>
      <c r="Y19" s="3" t="s">
        <v>52</v>
      </c>
      <c r="Z19" s="28">
        <f t="shared" si="9"/>
        <v>69</v>
      </c>
      <c r="AA19" s="36">
        <v>69</v>
      </c>
      <c r="AB19" s="26">
        <f t="shared" si="10"/>
        <v>0</v>
      </c>
    </row>
    <row r="20" spans="2:28" ht="15.75" customHeight="1">
      <c r="B20" s="1" t="s">
        <v>153</v>
      </c>
      <c r="C20" s="1"/>
      <c r="D20" s="1">
        <f>SUM(D5:D18)</f>
        <v>1147</v>
      </c>
      <c r="E20" s="1">
        <f>SUM(E5:E19)</f>
        <v>1147</v>
      </c>
      <c r="F20" s="1"/>
      <c r="G20" s="18">
        <f>AVERAGE(100-1/F24*4,100)</f>
        <v>98</v>
      </c>
      <c r="H20" s="18">
        <f t="shared" ref="H20:I20" si="11">SUM(H5:H19)</f>
        <v>9400769</v>
      </c>
      <c r="I20" s="18">
        <f t="shared" si="11"/>
        <v>0</v>
      </c>
      <c r="K20" s="3" t="s">
        <v>154</v>
      </c>
      <c r="L20" s="33">
        <f t="shared" si="4"/>
        <v>21</v>
      </c>
      <c r="M20" s="34">
        <f t="shared" si="5"/>
        <v>21</v>
      </c>
      <c r="N20" s="29">
        <v>21</v>
      </c>
      <c r="O20" s="26">
        <f t="shared" si="6"/>
        <v>0</v>
      </c>
      <c r="P20" s="35" t="s">
        <v>103</v>
      </c>
      <c r="Y20" s="3" t="s">
        <v>55</v>
      </c>
      <c r="Z20" s="28">
        <f t="shared" si="9"/>
        <v>23</v>
      </c>
      <c r="AA20" s="36">
        <v>23</v>
      </c>
      <c r="AB20" s="26">
        <f t="shared" si="10"/>
        <v>0</v>
      </c>
    </row>
    <row r="21" spans="2:28" ht="15.75" customHeight="1">
      <c r="B21" s="3"/>
      <c r="G21" s="3"/>
      <c r="H21" s="3"/>
      <c r="I21" s="3"/>
      <c r="K21" s="3" t="s">
        <v>155</v>
      </c>
      <c r="L21" s="33">
        <f t="shared" si="4"/>
        <v>29</v>
      </c>
      <c r="M21" s="34">
        <f t="shared" si="5"/>
        <v>29</v>
      </c>
      <c r="N21" s="29">
        <v>29</v>
      </c>
      <c r="O21" s="26">
        <f t="shared" si="6"/>
        <v>0</v>
      </c>
      <c r="P21" s="35" t="s">
        <v>103</v>
      </c>
      <c r="Y21" s="3" t="s">
        <v>44</v>
      </c>
      <c r="Z21" s="28">
        <f t="shared" si="9"/>
        <v>190</v>
      </c>
      <c r="AA21" s="36">
        <v>190</v>
      </c>
      <c r="AB21" s="26">
        <f t="shared" si="10"/>
        <v>0</v>
      </c>
    </row>
    <row r="22" spans="2:28" ht="15.75" customHeight="1">
      <c r="B22" s="34" t="s">
        <v>156</v>
      </c>
      <c r="C22" s="3" t="s">
        <v>81</v>
      </c>
      <c r="K22" s="3" t="s">
        <v>157</v>
      </c>
      <c r="L22" s="33">
        <f t="shared" si="4"/>
        <v>12</v>
      </c>
      <c r="M22" s="34">
        <f t="shared" si="5"/>
        <v>12</v>
      </c>
      <c r="N22" s="29">
        <v>12</v>
      </c>
      <c r="O22" s="26">
        <f t="shared" si="6"/>
        <v>0</v>
      </c>
      <c r="P22" s="35" t="s">
        <v>103</v>
      </c>
      <c r="Y22" s="3" t="s">
        <v>45</v>
      </c>
      <c r="Z22" s="28">
        <f t="shared" si="9"/>
        <v>156</v>
      </c>
      <c r="AA22" s="36">
        <v>156</v>
      </c>
      <c r="AB22" s="26">
        <f t="shared" si="10"/>
        <v>0</v>
      </c>
    </row>
    <row r="23" spans="2:28" ht="15.75" customHeight="1">
      <c r="B23" s="1" t="s">
        <v>158</v>
      </c>
      <c r="C23" s="1" t="s">
        <v>159</v>
      </c>
      <c r="D23" s="1" t="s">
        <v>160</v>
      </c>
      <c r="E23" s="1" t="s">
        <v>161</v>
      </c>
      <c r="F23" s="1"/>
      <c r="I23" s="3"/>
      <c r="K23" s="3" t="s">
        <v>162</v>
      </c>
      <c r="L23" s="33">
        <f t="shared" si="4"/>
        <v>21</v>
      </c>
      <c r="M23" s="34">
        <f t="shared" si="5"/>
        <v>21</v>
      </c>
      <c r="N23" s="29">
        <v>21</v>
      </c>
      <c r="O23" s="26">
        <f t="shared" si="6"/>
        <v>0</v>
      </c>
      <c r="P23" s="35" t="s">
        <v>103</v>
      </c>
      <c r="Y23" s="3" t="s">
        <v>50</v>
      </c>
      <c r="Z23" s="28">
        <f t="shared" si="9"/>
        <v>35</v>
      </c>
      <c r="AA23" s="36">
        <v>35</v>
      </c>
      <c r="AB23" s="26">
        <f t="shared" si="10"/>
        <v>0</v>
      </c>
    </row>
    <row r="24" spans="2:28" ht="15.75" customHeight="1">
      <c r="B24" s="36">
        <v>7570000000</v>
      </c>
      <c r="C24" s="3" t="e">
        <f ca="1">E20*VLOOKUP("Maintenance kit",TblMarket,5,FALSE)</f>
        <v>#N/A</v>
      </c>
      <c r="D24" s="12">
        <f>B24/3</f>
        <v>2523333333.3333335</v>
      </c>
      <c r="E24" s="3"/>
      <c r="F24" s="36">
        <v>1</v>
      </c>
      <c r="I24" s="3"/>
      <c r="K24" s="3" t="s">
        <v>163</v>
      </c>
      <c r="L24" s="33">
        <f t="shared" si="4"/>
        <v>48</v>
      </c>
      <c r="M24" s="34">
        <f t="shared" si="5"/>
        <v>48</v>
      </c>
      <c r="N24" s="29">
        <v>48</v>
      </c>
      <c r="O24" s="26">
        <f t="shared" si="6"/>
        <v>0</v>
      </c>
      <c r="P24" s="35" t="s">
        <v>103</v>
      </c>
      <c r="Y24" s="3" t="s">
        <v>61</v>
      </c>
      <c r="Z24" s="28">
        <f t="shared" si="9"/>
        <v>50</v>
      </c>
      <c r="AA24" s="36">
        <v>50</v>
      </c>
      <c r="AB24" s="26">
        <f t="shared" si="10"/>
        <v>0</v>
      </c>
    </row>
    <row r="25" spans="2:28" ht="15.75" customHeight="1">
      <c r="B25" s="36" t="s">
        <v>150</v>
      </c>
      <c r="C25" s="166" t="s">
        <v>150</v>
      </c>
      <c r="D25" s="36" t="s">
        <v>150</v>
      </c>
      <c r="E25" s="3" t="s">
        <v>164</v>
      </c>
      <c r="I25" s="3"/>
      <c r="K25" s="3" t="s">
        <v>165</v>
      </c>
      <c r="L25" s="33">
        <f t="shared" si="4"/>
        <v>0</v>
      </c>
      <c r="M25" s="34">
        <f t="shared" si="5"/>
        <v>0</v>
      </c>
      <c r="N25" s="29">
        <v>0</v>
      </c>
      <c r="O25" s="26">
        <f t="shared" si="6"/>
        <v>0</v>
      </c>
      <c r="P25" s="35" t="s">
        <v>103</v>
      </c>
      <c r="Y25" s="3" t="s">
        <v>46</v>
      </c>
      <c r="Z25" s="28">
        <f t="shared" si="9"/>
        <v>36</v>
      </c>
      <c r="AA25" s="36">
        <v>36</v>
      </c>
      <c r="AB25" s="26">
        <f t="shared" si="10"/>
        <v>0</v>
      </c>
    </row>
    <row r="26" spans="2:28" ht="15.75" customHeight="1">
      <c r="B26">
        <f t="shared" ref="B26:D26" si="12">(IF(B25="Yes",B24,0))*$F$24</f>
        <v>0</v>
      </c>
      <c r="C26">
        <f t="shared" si="12"/>
        <v>0</v>
      </c>
      <c r="D26">
        <f t="shared" si="12"/>
        <v>0</v>
      </c>
      <c r="E26" s="3" t="s">
        <v>166</v>
      </c>
      <c r="I26" s="3"/>
      <c r="K26" s="3" t="s">
        <v>167</v>
      </c>
      <c r="L26" s="33">
        <f t="shared" si="4"/>
        <v>10</v>
      </c>
      <c r="M26" s="34">
        <f t="shared" si="5"/>
        <v>10</v>
      </c>
      <c r="N26" s="29">
        <v>10</v>
      </c>
      <c r="O26" s="26">
        <f t="shared" si="6"/>
        <v>0</v>
      </c>
      <c r="P26" s="35" t="s">
        <v>103</v>
      </c>
      <c r="Y26" s="3" t="s">
        <v>48</v>
      </c>
      <c r="Z26" s="28">
        <f t="shared" si="9"/>
        <v>102</v>
      </c>
      <c r="AA26" s="36">
        <v>102</v>
      </c>
      <c r="AB26" s="26">
        <f t="shared" si="10"/>
        <v>0</v>
      </c>
    </row>
    <row r="27" spans="2:28" ht="15.75" customHeight="1">
      <c r="E27" s="3" t="s">
        <v>168</v>
      </c>
      <c r="I27" s="3"/>
      <c r="Y27" s="3" t="s">
        <v>49</v>
      </c>
      <c r="Z27" s="28">
        <f t="shared" si="9"/>
        <v>84</v>
      </c>
      <c r="AA27" s="36">
        <v>84</v>
      </c>
      <c r="AB27" s="26">
        <f t="shared" si="10"/>
        <v>0</v>
      </c>
    </row>
    <row r="28" spans="2:28" ht="15.75" customHeight="1">
      <c r="E28" s="3" t="s">
        <v>169</v>
      </c>
      <c r="I28" s="3"/>
      <c r="Y28" s="3" t="s">
        <v>66</v>
      </c>
      <c r="Z28" s="28">
        <f t="shared" si="9"/>
        <v>20</v>
      </c>
      <c r="AA28" s="36">
        <v>20</v>
      </c>
      <c r="AB28" s="26">
        <f t="shared" si="10"/>
        <v>0</v>
      </c>
    </row>
    <row r="29" spans="2:28" ht="15.75" customHeight="1">
      <c r="E29" s="3" t="s">
        <v>170</v>
      </c>
      <c r="I29" s="3"/>
      <c r="Y29" s="3" t="s">
        <v>51</v>
      </c>
      <c r="Z29" s="28">
        <f t="shared" si="9"/>
        <v>43</v>
      </c>
      <c r="AA29" s="36">
        <v>43</v>
      </c>
      <c r="AB29" s="26">
        <f t="shared" si="10"/>
        <v>0</v>
      </c>
    </row>
    <row r="30" spans="2:28" ht="15.75" customHeight="1">
      <c r="E30" s="3" t="s">
        <v>171</v>
      </c>
      <c r="I30" s="3"/>
      <c r="Y30" s="3" t="s">
        <v>67</v>
      </c>
      <c r="Z30" s="28">
        <f t="shared" si="9"/>
        <v>28</v>
      </c>
      <c r="AA30" s="36">
        <v>28</v>
      </c>
      <c r="AB30" s="26">
        <f t="shared" si="10"/>
        <v>0</v>
      </c>
    </row>
    <row r="31" spans="2:28" ht="15.75" customHeight="1">
      <c r="E31" s="3" t="s">
        <v>172</v>
      </c>
      <c r="Y31" s="3" t="s">
        <v>54</v>
      </c>
      <c r="Z31" s="28">
        <f t="shared" si="9"/>
        <v>26</v>
      </c>
      <c r="AA31" s="36">
        <v>26</v>
      </c>
      <c r="AB31" s="26">
        <f t="shared" si="10"/>
        <v>0</v>
      </c>
    </row>
    <row r="32" spans="2:28" ht="15.75" customHeight="1">
      <c r="E32" s="3" t="s">
        <v>173</v>
      </c>
      <c r="Y32" s="3" t="s">
        <v>64</v>
      </c>
      <c r="Z32" s="28">
        <f t="shared" si="9"/>
        <v>17</v>
      </c>
      <c r="AA32" s="36">
        <v>17</v>
      </c>
      <c r="AB32" s="26">
        <f t="shared" si="10"/>
        <v>0</v>
      </c>
    </row>
    <row r="33" spans="5:28" ht="15.75" customHeight="1">
      <c r="E33" s="3" t="s">
        <v>174</v>
      </c>
      <c r="Y33" s="3" t="s">
        <v>53</v>
      </c>
      <c r="Z33" s="28">
        <f t="shared" si="9"/>
        <v>59</v>
      </c>
      <c r="AA33" s="36">
        <v>59</v>
      </c>
      <c r="AB33" s="26">
        <f t="shared" si="10"/>
        <v>0</v>
      </c>
    </row>
    <row r="34" spans="5:28" ht="15.75" customHeight="1">
      <c r="E34" s="3" t="s">
        <v>175</v>
      </c>
      <c r="Y34" s="3" t="s">
        <v>68</v>
      </c>
      <c r="Z34" s="28">
        <f t="shared" si="9"/>
        <v>1</v>
      </c>
      <c r="AA34" s="36">
        <v>1</v>
      </c>
      <c r="AB34" s="26">
        <f t="shared" si="10"/>
        <v>0</v>
      </c>
    </row>
    <row r="35" spans="5:28" ht="15.75" customHeight="1">
      <c r="E35" s="3" t="s">
        <v>176</v>
      </c>
      <c r="Y35" s="3" t="s">
        <v>57</v>
      </c>
      <c r="Z35" s="28">
        <f t="shared" si="9"/>
        <v>16</v>
      </c>
      <c r="AA35" s="36">
        <v>16</v>
      </c>
      <c r="AB35" s="26">
        <f t="shared" si="10"/>
        <v>0</v>
      </c>
    </row>
    <row r="36" spans="5:28" ht="15.75" customHeight="1">
      <c r="E36" s="3" t="s">
        <v>177</v>
      </c>
      <c r="Y36" s="3" t="s">
        <v>65</v>
      </c>
      <c r="Z36" s="28">
        <f t="shared" si="9"/>
        <v>201</v>
      </c>
      <c r="AA36" s="36">
        <v>201</v>
      </c>
      <c r="AB36" s="26">
        <f t="shared" si="10"/>
        <v>0</v>
      </c>
    </row>
    <row r="37" spans="5:28" ht="15.75" customHeight="1">
      <c r="Y37" s="3" t="s">
        <v>47</v>
      </c>
      <c r="Z37" s="28">
        <f t="shared" si="9"/>
        <v>64</v>
      </c>
      <c r="AA37" s="36">
        <v>64</v>
      </c>
      <c r="AB37" s="26">
        <f t="shared" si="10"/>
        <v>0</v>
      </c>
    </row>
    <row r="38" spans="5:28" ht="15.75" customHeight="1">
      <c r="Y38" s="3" t="s">
        <v>63</v>
      </c>
      <c r="Z38" s="28">
        <f t="shared" si="9"/>
        <v>32</v>
      </c>
      <c r="AA38" s="36">
        <v>32</v>
      </c>
      <c r="AB38" s="26">
        <f t="shared" si="10"/>
        <v>0</v>
      </c>
    </row>
    <row r="39" spans="5:28" ht="15.75" customHeight="1">
      <c r="Y39" s="3" t="s">
        <v>35</v>
      </c>
      <c r="Z39" s="28">
        <f t="shared" si="9"/>
        <v>30</v>
      </c>
      <c r="AA39" s="36">
        <v>30</v>
      </c>
      <c r="AB39" s="26">
        <f t="shared" si="10"/>
        <v>0</v>
      </c>
    </row>
    <row r="40" spans="5:28" ht="15.75" customHeight="1">
      <c r="Y40" s="3" t="s">
        <v>56</v>
      </c>
      <c r="Z40" s="28">
        <f t="shared" si="9"/>
        <v>15</v>
      </c>
      <c r="AA40" s="36">
        <v>15</v>
      </c>
      <c r="AB40" s="26">
        <f t="shared" si="10"/>
        <v>0</v>
      </c>
    </row>
    <row r="41" spans="5:28" ht="15.75" customHeight="1"/>
    <row r="42" spans="5:28" ht="15.75" customHeight="1"/>
    <row r="43" spans="5:28" ht="15.75" customHeight="1"/>
    <row r="44" spans="5:28" ht="15.75" customHeight="1"/>
    <row r="45" spans="5:28" ht="15.75" customHeight="1"/>
    <row r="46" spans="5:28" ht="15.75" customHeight="1"/>
    <row r="47" spans="5:28" ht="15.75" customHeight="1"/>
    <row r="48" spans="5:2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G2:K2"/>
  </mergeCells>
  <pageMargins left="0.7" right="0.7" top="0.78740157499999996" bottom="0.78740157499999996"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C9ADE-2036-41A9-81A8-0865B9ED82EB}">
  <dimension ref="A1:BX615"/>
  <sheetViews>
    <sheetView tabSelected="1" topLeftCell="AV1" workbookViewId="0">
      <selection activeCell="CF10" sqref="CF10"/>
    </sheetView>
  </sheetViews>
  <sheetFormatPr defaultRowHeight="13.2"/>
  <cols>
    <col min="1" max="1" width="11.109375" bestFit="1" customWidth="1"/>
    <col min="2" max="2" width="16.88671875" bestFit="1" customWidth="1"/>
    <col min="3" max="3" width="5.109375" bestFit="1" customWidth="1"/>
    <col min="4" max="4" width="8.109375" bestFit="1" customWidth="1"/>
    <col min="6" max="6" width="8.6640625" bestFit="1" customWidth="1"/>
    <col min="7" max="7" width="15" bestFit="1" customWidth="1"/>
    <col min="8" max="8" width="7.109375" bestFit="1" customWidth="1"/>
    <col min="9" max="9" width="12" bestFit="1" customWidth="1"/>
    <col min="11" max="11" width="10.21875" bestFit="1" customWidth="1"/>
    <col min="12" max="12" width="12.88671875" bestFit="1" customWidth="1"/>
    <col min="13" max="13" width="5.109375" bestFit="1" customWidth="1"/>
    <col min="15" max="15" width="8.6640625" bestFit="1" customWidth="1"/>
    <col min="16" max="16" width="21" bestFit="1" customWidth="1"/>
    <col min="17" max="17" width="41.6640625" bestFit="1" customWidth="1"/>
    <col min="19" max="19" width="9.88671875" bestFit="1" customWidth="1"/>
    <col min="20" max="20" width="20.77734375" bestFit="1" customWidth="1"/>
    <col min="21" max="21" width="61.77734375" bestFit="1" customWidth="1"/>
    <col min="22" max="22" width="8.6640625" bestFit="1" customWidth="1"/>
    <col min="23" max="23" width="11.109375" bestFit="1" customWidth="1"/>
    <col min="24" max="24" width="13.5546875" bestFit="1" customWidth="1"/>
    <col min="25" max="25" width="11.5546875" bestFit="1" customWidth="1"/>
    <col min="26" max="26" width="13" bestFit="1" customWidth="1"/>
    <col min="27" max="27" width="16" bestFit="1" customWidth="1"/>
    <col min="28" max="28" width="12.33203125" bestFit="1" customWidth="1"/>
    <col min="29" max="29" width="11.6640625" bestFit="1" customWidth="1"/>
    <col min="30" max="31" width="11" bestFit="1" customWidth="1"/>
    <col min="32" max="32" width="14" bestFit="1" customWidth="1"/>
    <col min="33" max="33" width="73.88671875" bestFit="1" customWidth="1"/>
    <col min="35" max="35" width="8.6640625" bestFit="1" customWidth="1"/>
    <col min="36" max="36" width="17.33203125" bestFit="1" customWidth="1"/>
    <col min="37" max="37" width="11.109375" bestFit="1" customWidth="1"/>
    <col min="38" max="39" width="21" bestFit="1" customWidth="1"/>
    <col min="40" max="40" width="16.88671875" bestFit="1" customWidth="1"/>
    <col min="41" max="41" width="17.109375" bestFit="1" customWidth="1"/>
    <col min="42" max="42" width="9.6640625" bestFit="1" customWidth="1"/>
    <col min="43" max="43" width="18.88671875" bestFit="1" customWidth="1"/>
    <col min="44" max="44" width="9.6640625" bestFit="1" customWidth="1"/>
    <col min="45" max="45" width="18.88671875" bestFit="1" customWidth="1"/>
    <col min="46" max="46" width="9.6640625" bestFit="1" customWidth="1"/>
    <col min="47" max="47" width="18.88671875" bestFit="1" customWidth="1"/>
    <col min="49" max="49" width="9.109375" bestFit="1" customWidth="1"/>
    <col min="50" max="51" width="10" bestFit="1" customWidth="1"/>
    <col min="52" max="52" width="11" bestFit="1" customWidth="1"/>
    <col min="53" max="53" width="9.21875" bestFit="1" customWidth="1"/>
    <col min="54" max="54" width="9.88671875" bestFit="1" customWidth="1"/>
    <col min="55" max="55" width="12.109375" bestFit="1" customWidth="1"/>
    <col min="56" max="56" width="15.5546875" bestFit="1" customWidth="1"/>
    <col min="57" max="57" width="11.21875" bestFit="1" customWidth="1"/>
    <col min="58" max="58" width="17.44140625" bestFit="1" customWidth="1"/>
    <col min="59" max="59" width="11.33203125" bestFit="1" customWidth="1"/>
    <col min="60" max="60" width="16" bestFit="1" customWidth="1"/>
    <col min="61" max="61" width="12.77734375" bestFit="1" customWidth="1"/>
    <col min="62" max="62" width="17.44140625" bestFit="1" customWidth="1"/>
    <col min="63" max="65" width="6.88671875" bestFit="1" customWidth="1"/>
    <col min="66" max="66" width="14.88671875" bestFit="1" customWidth="1"/>
    <col min="67" max="67" width="13.5546875" bestFit="1" customWidth="1"/>
    <col min="68" max="68" width="11.77734375" bestFit="1" customWidth="1"/>
    <col min="69" max="69" width="9" bestFit="1" customWidth="1"/>
    <col min="70" max="70" width="14.44140625" bestFit="1" customWidth="1"/>
    <col min="72" max="72" width="8.6640625" bestFit="1" customWidth="1"/>
    <col min="73" max="73" width="17.33203125" bestFit="1" customWidth="1"/>
    <col min="74" max="75" width="12" bestFit="1" customWidth="1"/>
    <col min="76" max="76" width="11" bestFit="1" customWidth="1"/>
  </cols>
  <sheetData>
    <row r="1" spans="1:76">
      <c r="A1" t="s">
        <v>1232</v>
      </c>
      <c r="B1" t="s">
        <v>1234</v>
      </c>
      <c r="C1" t="s">
        <v>1235</v>
      </c>
      <c r="D1" t="s">
        <v>1237</v>
      </c>
      <c r="F1" t="s">
        <v>1257</v>
      </c>
      <c r="G1" t="s">
        <v>1258</v>
      </c>
      <c r="H1" t="s">
        <v>1259</v>
      </c>
      <c r="I1" t="s">
        <v>1260</v>
      </c>
      <c r="K1" t="s">
        <v>1329</v>
      </c>
      <c r="L1" t="s">
        <v>1234</v>
      </c>
      <c r="M1" t="s">
        <v>1235</v>
      </c>
      <c r="O1" t="s">
        <v>1257</v>
      </c>
      <c r="P1" t="s">
        <v>1258</v>
      </c>
      <c r="Q1" t="s">
        <v>1330</v>
      </c>
      <c r="S1" t="s">
        <v>1449</v>
      </c>
      <c r="T1" t="s">
        <v>1450</v>
      </c>
      <c r="U1" t="s">
        <v>1451</v>
      </c>
      <c r="V1" t="s">
        <v>1452</v>
      </c>
      <c r="W1" t="s">
        <v>1453</v>
      </c>
      <c r="X1" t="s">
        <v>1454</v>
      </c>
      <c r="Y1" t="s">
        <v>1455</v>
      </c>
      <c r="Z1" t="s">
        <v>1456</v>
      </c>
      <c r="AA1" t="s">
        <v>1457</v>
      </c>
      <c r="AB1" t="s">
        <v>1458</v>
      </c>
      <c r="AC1" t="s">
        <v>1459</v>
      </c>
      <c r="AD1" t="s">
        <v>1460</v>
      </c>
      <c r="AE1" t="s">
        <v>1461</v>
      </c>
      <c r="AF1" t="s">
        <v>1462</v>
      </c>
      <c r="AG1" t="s">
        <v>1463</v>
      </c>
      <c r="AI1" t="s">
        <v>1257</v>
      </c>
      <c r="AJ1" t="s">
        <v>1517</v>
      </c>
      <c r="AK1" t="s">
        <v>1232</v>
      </c>
      <c r="AL1" t="s">
        <v>1518</v>
      </c>
      <c r="AM1" t="s">
        <v>1519</v>
      </c>
      <c r="AN1" t="s">
        <v>1520</v>
      </c>
      <c r="AO1" t="s">
        <v>1521</v>
      </c>
      <c r="AP1" t="s">
        <v>1522</v>
      </c>
      <c r="AQ1" t="s">
        <v>1523</v>
      </c>
      <c r="AR1" t="s">
        <v>1524</v>
      </c>
      <c r="AS1" t="s">
        <v>1525</v>
      </c>
      <c r="AT1" t="s">
        <v>1526</v>
      </c>
      <c r="AU1" t="s">
        <v>1527</v>
      </c>
      <c r="AW1" t="s">
        <v>1557</v>
      </c>
      <c r="AX1" t="s">
        <v>1558</v>
      </c>
      <c r="AY1" t="s">
        <v>1559</v>
      </c>
      <c r="AZ1" t="s">
        <v>1560</v>
      </c>
      <c r="BA1" t="s">
        <v>1561</v>
      </c>
      <c r="BB1" t="s">
        <v>1562</v>
      </c>
      <c r="BC1" t="s">
        <v>1563</v>
      </c>
      <c r="BD1" t="s">
        <v>1234</v>
      </c>
      <c r="BE1" t="s">
        <v>1564</v>
      </c>
      <c r="BF1" t="s">
        <v>1565</v>
      </c>
      <c r="BG1" t="s">
        <v>1566</v>
      </c>
      <c r="BH1" t="s">
        <v>1567</v>
      </c>
      <c r="BI1" t="s">
        <v>1568</v>
      </c>
      <c r="BJ1" t="s">
        <v>1569</v>
      </c>
      <c r="BK1" t="s">
        <v>1570</v>
      </c>
      <c r="BL1" t="s">
        <v>1571</v>
      </c>
      <c r="BM1" t="s">
        <v>1572</v>
      </c>
      <c r="BN1" t="s">
        <v>1573</v>
      </c>
      <c r="BO1" t="s">
        <v>1574</v>
      </c>
      <c r="BP1" t="s">
        <v>1575</v>
      </c>
      <c r="BQ1" t="s">
        <v>1576</v>
      </c>
      <c r="BR1" t="s">
        <v>1577</v>
      </c>
      <c r="BT1" t="s">
        <v>1257</v>
      </c>
      <c r="BU1" t="s">
        <v>1517</v>
      </c>
      <c r="BV1" t="s">
        <v>1578</v>
      </c>
      <c r="BW1" t="s">
        <v>1579</v>
      </c>
      <c r="BX1" t="s">
        <v>1580</v>
      </c>
    </row>
    <row r="2" spans="1:76">
      <c r="A2" t="s">
        <v>1233</v>
      </c>
      <c r="B2" t="s">
        <v>754</v>
      </c>
      <c r="C2" t="s">
        <v>1255</v>
      </c>
      <c r="D2" t="s">
        <v>1238</v>
      </c>
      <c r="F2" t="s">
        <v>1245</v>
      </c>
      <c r="G2" t="s">
        <v>1261</v>
      </c>
      <c r="H2" t="s">
        <v>1245</v>
      </c>
      <c r="I2" t="s">
        <v>1262</v>
      </c>
      <c r="K2">
        <v>65</v>
      </c>
      <c r="L2" t="s">
        <v>110</v>
      </c>
      <c r="M2">
        <v>2</v>
      </c>
      <c r="O2">
        <v>1</v>
      </c>
      <c r="P2" t="s">
        <v>1261</v>
      </c>
      <c r="Q2" s="167" t="s">
        <v>1331</v>
      </c>
      <c r="S2">
        <v>9</v>
      </c>
      <c r="T2" t="s">
        <v>1464</v>
      </c>
      <c r="U2" t="s">
        <v>1465</v>
      </c>
      <c r="V2">
        <v>0</v>
      </c>
      <c r="W2">
        <v>0</v>
      </c>
      <c r="X2">
        <v>470</v>
      </c>
      <c r="Y2">
        <v>96</v>
      </c>
      <c r="Z2">
        <v>48</v>
      </c>
      <c r="AA2">
        <v>10</v>
      </c>
      <c r="AB2">
        <v>39968000000</v>
      </c>
      <c r="AC2">
        <v>0</v>
      </c>
      <c r="AD2">
        <v>0</v>
      </c>
      <c r="AE2">
        <v>0</v>
      </c>
      <c r="AF2">
        <v>7</v>
      </c>
      <c r="AG2" t="s">
        <v>1466</v>
      </c>
      <c r="AI2">
        <v>7</v>
      </c>
      <c r="AJ2" t="s">
        <v>45</v>
      </c>
      <c r="AK2">
        <v>6</v>
      </c>
      <c r="AL2" t="s">
        <v>754</v>
      </c>
      <c r="AM2">
        <v>2100</v>
      </c>
      <c r="AN2">
        <v>14</v>
      </c>
      <c r="AO2">
        <v>20</v>
      </c>
      <c r="AP2">
        <v>3</v>
      </c>
      <c r="AQ2">
        <v>3</v>
      </c>
      <c r="AR2">
        <v>20</v>
      </c>
      <c r="AS2">
        <v>2</v>
      </c>
      <c r="AW2">
        <v>4</v>
      </c>
      <c r="AX2">
        <v>48.243971000000002</v>
      </c>
      <c r="AY2">
        <v>16.380043000000001</v>
      </c>
      <c r="AZ2">
        <v>1</v>
      </c>
      <c r="BA2">
        <v>1122</v>
      </c>
      <c r="BB2">
        <v>1122</v>
      </c>
      <c r="BC2">
        <v>1</v>
      </c>
      <c r="BD2" t="s">
        <v>1334</v>
      </c>
      <c r="BE2">
        <v>1771686087</v>
      </c>
      <c r="BF2">
        <v>1772135664</v>
      </c>
      <c r="BG2">
        <v>0.97154300000000005</v>
      </c>
      <c r="BH2" t="s">
        <v>21</v>
      </c>
      <c r="BI2">
        <v>2</v>
      </c>
      <c r="BJ2">
        <v>1771686087</v>
      </c>
      <c r="BK2">
        <v>200</v>
      </c>
      <c r="BL2">
        <v>5</v>
      </c>
      <c r="BM2">
        <v>2</v>
      </c>
      <c r="BN2">
        <v>1</v>
      </c>
      <c r="BO2">
        <v>0</v>
      </c>
      <c r="BP2">
        <v>0</v>
      </c>
      <c r="BQ2">
        <v>0.73329999999999995</v>
      </c>
      <c r="BR2">
        <v>0.73329999999999995</v>
      </c>
      <c r="BT2">
        <v>2</v>
      </c>
      <c r="BU2" s="197" t="s">
        <v>21</v>
      </c>
      <c r="BV2">
        <v>350</v>
      </c>
      <c r="BW2">
        <v>354</v>
      </c>
      <c r="BX2">
        <v>1772203036</v>
      </c>
    </row>
    <row r="3" spans="1:76">
      <c r="A3" t="s">
        <v>1240</v>
      </c>
      <c r="B3" t="s">
        <v>755</v>
      </c>
      <c r="C3" t="s">
        <v>1233</v>
      </c>
      <c r="D3" t="s">
        <v>1238</v>
      </c>
      <c r="F3" t="s">
        <v>1263</v>
      </c>
      <c r="G3" t="s">
        <v>21</v>
      </c>
      <c r="H3" t="s">
        <v>1264</v>
      </c>
      <c r="I3" t="s">
        <v>1306</v>
      </c>
      <c r="K3">
        <v>97</v>
      </c>
      <c r="L3" t="s">
        <v>991</v>
      </c>
      <c r="M3">
        <v>2</v>
      </c>
      <c r="O3">
        <v>2</v>
      </c>
      <c r="P3" t="s">
        <v>21</v>
      </c>
      <c r="Q3" t="s">
        <v>1332</v>
      </c>
      <c r="S3">
        <v>11</v>
      </c>
      <c r="T3" t="s">
        <v>1467</v>
      </c>
      <c r="U3" t="s">
        <v>1468</v>
      </c>
      <c r="V3">
        <v>0</v>
      </c>
      <c r="W3">
        <v>0</v>
      </c>
      <c r="X3">
        <v>1097300</v>
      </c>
      <c r="Y3">
        <v>24</v>
      </c>
      <c r="Z3">
        <v>44</v>
      </c>
      <c r="AA3">
        <v>40</v>
      </c>
      <c r="AB3">
        <v>31085000000</v>
      </c>
      <c r="AC3">
        <v>159719</v>
      </c>
      <c r="AD3">
        <v>0</v>
      </c>
      <c r="AE3">
        <v>0</v>
      </c>
      <c r="AF3">
        <v>2</v>
      </c>
      <c r="AG3" t="s">
        <v>1469</v>
      </c>
      <c r="AI3">
        <v>22</v>
      </c>
      <c r="AJ3" t="s">
        <v>46</v>
      </c>
      <c r="AK3">
        <v>23</v>
      </c>
      <c r="AL3" t="s">
        <v>755</v>
      </c>
      <c r="AM3">
        <v>1210</v>
      </c>
      <c r="AN3">
        <v>11</v>
      </c>
      <c r="AO3">
        <v>90</v>
      </c>
      <c r="AP3">
        <v>20</v>
      </c>
      <c r="AQ3">
        <v>8</v>
      </c>
      <c r="AW3">
        <v>4</v>
      </c>
      <c r="AX3">
        <v>48.243913999999997</v>
      </c>
      <c r="AY3">
        <v>16.380455000000001</v>
      </c>
      <c r="AZ3">
        <v>1</v>
      </c>
      <c r="BA3">
        <v>966</v>
      </c>
      <c r="BB3">
        <v>966</v>
      </c>
      <c r="BC3">
        <v>1</v>
      </c>
      <c r="BD3" t="s">
        <v>1334</v>
      </c>
      <c r="BE3">
        <v>1771686096</v>
      </c>
      <c r="BF3">
        <v>1772135664</v>
      </c>
      <c r="BG3">
        <v>0.97154300000000005</v>
      </c>
      <c r="BH3" t="s">
        <v>21</v>
      </c>
      <c r="BI3">
        <v>2</v>
      </c>
      <c r="BJ3">
        <v>1771686096</v>
      </c>
      <c r="BK3">
        <v>200</v>
      </c>
      <c r="BL3">
        <v>5</v>
      </c>
      <c r="BM3">
        <v>2</v>
      </c>
      <c r="BN3">
        <v>1</v>
      </c>
      <c r="BO3">
        <v>0</v>
      </c>
      <c r="BP3">
        <v>0</v>
      </c>
      <c r="BQ3">
        <v>0.63139999999999996</v>
      </c>
      <c r="BR3">
        <v>0.63139999999999996</v>
      </c>
      <c r="BT3">
        <v>3</v>
      </c>
      <c r="BU3" s="197" t="s">
        <v>23</v>
      </c>
      <c r="BV3">
        <v>474</v>
      </c>
      <c r="BW3">
        <v>478</v>
      </c>
      <c r="BX3">
        <v>1772203036</v>
      </c>
    </row>
    <row r="4" spans="1:76">
      <c r="A4" t="s">
        <v>1242</v>
      </c>
      <c r="B4" t="s">
        <v>752</v>
      </c>
      <c r="C4" t="s">
        <v>1256</v>
      </c>
      <c r="D4" t="s">
        <v>1238</v>
      </c>
      <c r="F4" t="s">
        <v>1247</v>
      </c>
      <c r="G4" t="s">
        <v>23</v>
      </c>
      <c r="H4" t="s">
        <v>1265</v>
      </c>
      <c r="I4" t="s">
        <v>1307</v>
      </c>
      <c r="K4">
        <v>62</v>
      </c>
      <c r="L4" t="s">
        <v>107</v>
      </c>
      <c r="M4">
        <v>3</v>
      </c>
      <c r="O4">
        <v>3</v>
      </c>
      <c r="P4" t="s">
        <v>23</v>
      </c>
      <c r="Q4" t="s">
        <v>1333</v>
      </c>
      <c r="S4">
        <v>12</v>
      </c>
      <c r="T4" t="s">
        <v>1470</v>
      </c>
      <c r="U4" t="s">
        <v>1471</v>
      </c>
      <c r="V4">
        <v>0</v>
      </c>
      <c r="W4">
        <v>0</v>
      </c>
      <c r="X4">
        <v>420</v>
      </c>
      <c r="Y4">
        <v>144</v>
      </c>
      <c r="Z4">
        <v>46</v>
      </c>
      <c r="AA4">
        <v>30</v>
      </c>
      <c r="AB4">
        <v>65376000000</v>
      </c>
      <c r="AC4">
        <v>0</v>
      </c>
      <c r="AD4">
        <v>0</v>
      </c>
      <c r="AE4">
        <v>0</v>
      </c>
      <c r="AF4">
        <v>6</v>
      </c>
      <c r="AG4" t="s">
        <v>1472</v>
      </c>
      <c r="AI4">
        <v>24</v>
      </c>
      <c r="AJ4" t="s">
        <v>44</v>
      </c>
      <c r="AK4">
        <v>25</v>
      </c>
      <c r="AL4" t="s">
        <v>752</v>
      </c>
      <c r="AM4">
        <v>800</v>
      </c>
      <c r="AN4">
        <v>2</v>
      </c>
      <c r="AO4">
        <v>10</v>
      </c>
      <c r="AP4">
        <v>2</v>
      </c>
      <c r="AQ4">
        <v>3</v>
      </c>
      <c r="AW4">
        <v>4</v>
      </c>
      <c r="AX4">
        <v>48.234625999999999</v>
      </c>
      <c r="AY4">
        <v>16.383156</v>
      </c>
      <c r="AZ4">
        <v>1</v>
      </c>
      <c r="BA4">
        <v>1122</v>
      </c>
      <c r="BB4">
        <v>1122</v>
      </c>
      <c r="BC4">
        <v>1</v>
      </c>
      <c r="BD4" t="s">
        <v>1334</v>
      </c>
      <c r="BE4">
        <v>1771686882</v>
      </c>
      <c r="BF4">
        <v>1772135664</v>
      </c>
      <c r="BG4">
        <v>0.97154300000000005</v>
      </c>
      <c r="BH4" t="s">
        <v>21</v>
      </c>
      <c r="BI4">
        <v>2</v>
      </c>
      <c r="BJ4">
        <v>1771686882</v>
      </c>
      <c r="BK4">
        <v>200</v>
      </c>
      <c r="BL4">
        <v>5</v>
      </c>
      <c r="BM4">
        <v>2</v>
      </c>
      <c r="BN4">
        <v>1</v>
      </c>
      <c r="BO4">
        <v>0</v>
      </c>
      <c r="BP4">
        <v>0</v>
      </c>
      <c r="BQ4">
        <v>0.73329999999999995</v>
      </c>
      <c r="BR4">
        <v>0.73329999999999995</v>
      </c>
      <c r="BT4">
        <v>7</v>
      </c>
      <c r="BU4" s="197" t="s">
        <v>45</v>
      </c>
      <c r="BV4">
        <v>4556</v>
      </c>
      <c r="BW4">
        <v>5262</v>
      </c>
      <c r="BX4">
        <v>1772203036</v>
      </c>
    </row>
    <row r="5" spans="1:76">
      <c r="A5" t="s">
        <v>1244</v>
      </c>
      <c r="B5" t="s">
        <v>759</v>
      </c>
      <c r="C5" t="s">
        <v>1245</v>
      </c>
      <c r="D5" t="s">
        <v>1238</v>
      </c>
      <c r="F5" t="s">
        <v>1266</v>
      </c>
      <c r="G5" t="s">
        <v>45</v>
      </c>
      <c r="H5" t="s">
        <v>1267</v>
      </c>
      <c r="I5" t="s">
        <v>1308</v>
      </c>
      <c r="O5">
        <v>4</v>
      </c>
      <c r="P5" t="s">
        <v>1334</v>
      </c>
      <c r="Q5" t="s">
        <v>1239</v>
      </c>
      <c r="S5">
        <v>14</v>
      </c>
      <c r="T5" t="s">
        <v>1473</v>
      </c>
      <c r="U5" t="s">
        <v>1474</v>
      </c>
      <c r="V5">
        <v>0</v>
      </c>
      <c r="W5">
        <v>0</v>
      </c>
      <c r="X5">
        <v>25</v>
      </c>
      <c r="Y5">
        <v>48</v>
      </c>
      <c r="Z5">
        <v>45</v>
      </c>
      <c r="AA5">
        <v>10</v>
      </c>
      <c r="AB5">
        <v>2247000000</v>
      </c>
      <c r="AC5">
        <v>217908</v>
      </c>
      <c r="AD5">
        <v>0</v>
      </c>
      <c r="AE5">
        <v>0</v>
      </c>
      <c r="AF5">
        <v>3</v>
      </c>
      <c r="AG5" t="s">
        <v>1475</v>
      </c>
      <c r="AI5">
        <v>28</v>
      </c>
      <c r="AJ5" t="s">
        <v>51</v>
      </c>
      <c r="AK5">
        <v>29</v>
      </c>
      <c r="AL5" t="s">
        <v>759</v>
      </c>
      <c r="AM5">
        <v>3500</v>
      </c>
      <c r="AN5">
        <v>35</v>
      </c>
      <c r="AO5">
        <v>2400</v>
      </c>
      <c r="AP5">
        <v>36</v>
      </c>
      <c r="AQ5">
        <v>1</v>
      </c>
      <c r="AR5">
        <v>20</v>
      </c>
      <c r="AS5">
        <v>3</v>
      </c>
      <c r="AW5">
        <v>4</v>
      </c>
      <c r="AX5">
        <v>48.198863000000003</v>
      </c>
      <c r="AY5">
        <v>16.386327000000001</v>
      </c>
      <c r="AZ5">
        <v>1</v>
      </c>
      <c r="BA5">
        <v>966</v>
      </c>
      <c r="BB5">
        <v>966</v>
      </c>
      <c r="BC5">
        <v>1</v>
      </c>
      <c r="BD5" t="s">
        <v>1334</v>
      </c>
      <c r="BE5">
        <v>1771687402</v>
      </c>
      <c r="BF5">
        <v>1772135664</v>
      </c>
      <c r="BG5">
        <v>0.97154300000000005</v>
      </c>
      <c r="BH5" t="s">
        <v>21</v>
      </c>
      <c r="BI5">
        <v>2</v>
      </c>
      <c r="BJ5">
        <v>1771687402</v>
      </c>
      <c r="BK5">
        <v>200</v>
      </c>
      <c r="BL5">
        <v>5</v>
      </c>
      <c r="BM5">
        <v>2</v>
      </c>
      <c r="BN5">
        <v>1</v>
      </c>
      <c r="BO5">
        <v>0</v>
      </c>
      <c r="BP5">
        <v>0</v>
      </c>
      <c r="BQ5">
        <v>0.63139999999999996</v>
      </c>
      <c r="BR5">
        <v>0.63139999999999996</v>
      </c>
      <c r="BT5">
        <v>8</v>
      </c>
      <c r="BU5" s="197" t="s">
        <v>24</v>
      </c>
      <c r="BV5">
        <v>2426</v>
      </c>
      <c r="BW5">
        <v>2452</v>
      </c>
      <c r="BX5">
        <v>1772203036</v>
      </c>
    </row>
    <row r="6" spans="1:76">
      <c r="A6" t="s">
        <v>1246</v>
      </c>
      <c r="B6" t="s">
        <v>113</v>
      </c>
      <c r="C6" t="s">
        <v>1247</v>
      </c>
      <c r="D6" t="s">
        <v>1238</v>
      </c>
      <c r="F6" t="s">
        <v>1268</v>
      </c>
      <c r="G6" t="s">
        <v>24</v>
      </c>
      <c r="H6" t="s">
        <v>1268</v>
      </c>
      <c r="I6" t="s">
        <v>1309</v>
      </c>
      <c r="O6">
        <v>5</v>
      </c>
      <c r="P6" t="s">
        <v>1335</v>
      </c>
      <c r="Q6" t="s">
        <v>1239</v>
      </c>
      <c r="S6">
        <v>17</v>
      </c>
      <c r="T6" t="s">
        <v>1476</v>
      </c>
      <c r="U6" t="s">
        <v>1477</v>
      </c>
      <c r="V6">
        <v>0</v>
      </c>
      <c r="W6">
        <v>0</v>
      </c>
      <c r="X6">
        <v>104</v>
      </c>
      <c r="Y6">
        <v>96</v>
      </c>
      <c r="Z6">
        <v>115</v>
      </c>
      <c r="AA6">
        <v>13000</v>
      </c>
      <c r="AB6">
        <v>415636000000</v>
      </c>
      <c r="AC6">
        <v>0</v>
      </c>
      <c r="AD6">
        <v>0</v>
      </c>
      <c r="AE6">
        <v>0</v>
      </c>
      <c r="AF6">
        <v>7</v>
      </c>
      <c r="AG6" t="s">
        <v>1478</v>
      </c>
      <c r="AI6">
        <v>30</v>
      </c>
      <c r="AJ6" t="s">
        <v>47</v>
      </c>
      <c r="AK6">
        <v>31</v>
      </c>
      <c r="AL6" t="s">
        <v>113</v>
      </c>
      <c r="AM6">
        <v>450</v>
      </c>
      <c r="AN6">
        <v>1</v>
      </c>
      <c r="AO6">
        <v>350</v>
      </c>
      <c r="AP6">
        <v>13</v>
      </c>
      <c r="AQ6">
        <v>7</v>
      </c>
      <c r="AR6">
        <v>8</v>
      </c>
      <c r="AS6">
        <v>10</v>
      </c>
      <c r="AW6">
        <v>4</v>
      </c>
      <c r="AX6">
        <v>48.138205999999997</v>
      </c>
      <c r="AY6">
        <v>16.445264999999999</v>
      </c>
      <c r="AZ6">
        <v>1</v>
      </c>
      <c r="BA6">
        <v>996</v>
      </c>
      <c r="BB6">
        <v>996</v>
      </c>
      <c r="BC6">
        <v>1</v>
      </c>
      <c r="BD6" t="s">
        <v>1334</v>
      </c>
      <c r="BE6">
        <v>1771724868</v>
      </c>
      <c r="BF6">
        <v>1772135664</v>
      </c>
      <c r="BG6">
        <v>0.97154300000000005</v>
      </c>
      <c r="BH6" t="s">
        <v>21</v>
      </c>
      <c r="BI6">
        <v>2</v>
      </c>
      <c r="BJ6">
        <v>1771724868</v>
      </c>
      <c r="BK6">
        <v>200</v>
      </c>
      <c r="BL6">
        <v>5</v>
      </c>
      <c r="BM6">
        <v>2</v>
      </c>
      <c r="BN6">
        <v>1</v>
      </c>
      <c r="BO6">
        <v>0</v>
      </c>
      <c r="BP6">
        <v>0</v>
      </c>
      <c r="BQ6">
        <v>0.65100000000000002</v>
      </c>
      <c r="BR6">
        <v>0.65100000000000002</v>
      </c>
      <c r="BT6">
        <v>10</v>
      </c>
      <c r="BU6" s="197" t="s">
        <v>26</v>
      </c>
      <c r="BV6">
        <v>2519</v>
      </c>
      <c r="BW6">
        <v>0</v>
      </c>
      <c r="BX6">
        <v>1772203036</v>
      </c>
    </row>
    <row r="7" spans="1:76">
      <c r="A7" t="s">
        <v>1248</v>
      </c>
      <c r="B7" t="s">
        <v>760</v>
      </c>
      <c r="C7" t="s">
        <v>1245</v>
      </c>
      <c r="D7" t="s">
        <v>1238</v>
      </c>
      <c r="F7" t="s">
        <v>1265</v>
      </c>
      <c r="G7" t="s">
        <v>26</v>
      </c>
      <c r="H7" t="s">
        <v>1247</v>
      </c>
      <c r="I7" t="s">
        <v>1310</v>
      </c>
      <c r="O7">
        <v>6</v>
      </c>
      <c r="P7" t="s">
        <v>754</v>
      </c>
      <c r="Q7" t="s">
        <v>1336</v>
      </c>
      <c r="S7">
        <v>22</v>
      </c>
      <c r="T7" t="s">
        <v>1479</v>
      </c>
      <c r="U7" t="s">
        <v>1480</v>
      </c>
      <c r="V7">
        <v>0</v>
      </c>
      <c r="W7">
        <v>0</v>
      </c>
      <c r="X7">
        <v>130</v>
      </c>
      <c r="Y7">
        <v>168</v>
      </c>
      <c r="Z7">
        <v>43</v>
      </c>
      <c r="AA7">
        <v>390</v>
      </c>
      <c r="AB7">
        <v>44341000000</v>
      </c>
      <c r="AC7">
        <v>0</v>
      </c>
      <c r="AD7">
        <v>0</v>
      </c>
      <c r="AE7">
        <v>0</v>
      </c>
      <c r="AF7">
        <v>7</v>
      </c>
      <c r="AG7" t="s">
        <v>1481</v>
      </c>
      <c r="AI7">
        <v>32</v>
      </c>
      <c r="AJ7" t="s">
        <v>52</v>
      </c>
      <c r="AK7">
        <v>33</v>
      </c>
      <c r="AL7" t="s">
        <v>760</v>
      </c>
      <c r="AM7">
        <v>320</v>
      </c>
      <c r="AN7">
        <v>4</v>
      </c>
      <c r="AO7">
        <v>5000</v>
      </c>
      <c r="AP7">
        <v>12</v>
      </c>
      <c r="AQ7">
        <v>24</v>
      </c>
      <c r="AW7">
        <v>4</v>
      </c>
      <c r="AX7">
        <v>48.140478999999999</v>
      </c>
      <c r="AY7">
        <v>16.434311000000001</v>
      </c>
      <c r="AZ7">
        <v>1</v>
      </c>
      <c r="BA7">
        <v>1188</v>
      </c>
      <c r="BB7">
        <v>1188</v>
      </c>
      <c r="BC7">
        <v>1</v>
      </c>
      <c r="BD7" t="s">
        <v>1334</v>
      </c>
      <c r="BE7">
        <v>1771724905</v>
      </c>
      <c r="BF7">
        <v>1772135664</v>
      </c>
      <c r="BG7">
        <v>0.97154300000000005</v>
      </c>
      <c r="BH7" t="s">
        <v>21</v>
      </c>
      <c r="BI7">
        <v>2</v>
      </c>
      <c r="BJ7">
        <v>1771724905</v>
      </c>
      <c r="BK7">
        <v>200</v>
      </c>
      <c r="BL7">
        <v>5</v>
      </c>
      <c r="BM7">
        <v>2</v>
      </c>
      <c r="BN7">
        <v>1</v>
      </c>
      <c r="BO7">
        <v>0</v>
      </c>
      <c r="BP7">
        <v>0</v>
      </c>
      <c r="BQ7">
        <v>0.77649999999999997</v>
      </c>
      <c r="BR7">
        <v>0.77649999999999997</v>
      </c>
      <c r="BT7">
        <v>12</v>
      </c>
      <c r="BU7" s="197" t="s">
        <v>29</v>
      </c>
      <c r="BV7">
        <v>2045</v>
      </c>
      <c r="BW7">
        <v>2086</v>
      </c>
      <c r="BX7">
        <v>1772203036</v>
      </c>
    </row>
    <row r="8" spans="1:76">
      <c r="A8" t="s">
        <v>1249</v>
      </c>
      <c r="B8" t="s">
        <v>758</v>
      </c>
      <c r="C8" t="s">
        <v>1245</v>
      </c>
      <c r="D8" t="s">
        <v>1238</v>
      </c>
      <c r="F8" t="s">
        <v>1269</v>
      </c>
      <c r="G8" t="s">
        <v>29</v>
      </c>
      <c r="H8" t="s">
        <v>1233</v>
      </c>
      <c r="I8" t="s">
        <v>1311</v>
      </c>
      <c r="O8">
        <v>7</v>
      </c>
      <c r="P8" t="s">
        <v>45</v>
      </c>
      <c r="Q8" t="s">
        <v>1337</v>
      </c>
      <c r="S8">
        <v>31</v>
      </c>
      <c r="T8" t="s">
        <v>1482</v>
      </c>
      <c r="U8" t="s">
        <v>1483</v>
      </c>
      <c r="V8">
        <v>0</v>
      </c>
      <c r="W8">
        <v>0</v>
      </c>
      <c r="X8">
        <v>1441650</v>
      </c>
      <c r="Y8">
        <v>72</v>
      </c>
      <c r="Z8">
        <v>42</v>
      </c>
      <c r="AA8">
        <v>1</v>
      </c>
      <c r="AB8">
        <v>95776000000</v>
      </c>
      <c r="AC8">
        <v>0</v>
      </c>
      <c r="AD8">
        <v>0</v>
      </c>
      <c r="AE8">
        <v>0</v>
      </c>
      <c r="AF8">
        <v>2</v>
      </c>
      <c r="AG8" s="167" t="s">
        <v>1484</v>
      </c>
      <c r="AI8">
        <v>35</v>
      </c>
      <c r="AJ8" t="s">
        <v>65</v>
      </c>
      <c r="AK8">
        <v>34</v>
      </c>
      <c r="AL8" t="s">
        <v>769</v>
      </c>
      <c r="AM8">
        <v>3000</v>
      </c>
      <c r="AN8">
        <v>50</v>
      </c>
      <c r="AO8">
        <v>10000</v>
      </c>
      <c r="AP8">
        <v>15</v>
      </c>
      <c r="AQ8">
        <v>8</v>
      </c>
      <c r="AW8">
        <v>4</v>
      </c>
      <c r="AX8">
        <v>48.146065</v>
      </c>
      <c r="AY8">
        <v>16.430752999999999</v>
      </c>
      <c r="AZ8">
        <v>1</v>
      </c>
      <c r="BA8">
        <v>1044</v>
      </c>
      <c r="BB8">
        <v>1044</v>
      </c>
      <c r="BC8">
        <v>1</v>
      </c>
      <c r="BD8" t="s">
        <v>1334</v>
      </c>
      <c r="BE8">
        <v>1771724934</v>
      </c>
      <c r="BF8">
        <v>1772135664</v>
      </c>
      <c r="BG8">
        <v>0.97154300000000005</v>
      </c>
      <c r="BH8" t="s">
        <v>21</v>
      </c>
      <c r="BI8">
        <v>2</v>
      </c>
      <c r="BJ8">
        <v>1771724934</v>
      </c>
      <c r="BK8">
        <v>200</v>
      </c>
      <c r="BL8">
        <v>5</v>
      </c>
      <c r="BM8">
        <v>2</v>
      </c>
      <c r="BN8">
        <v>1</v>
      </c>
      <c r="BO8">
        <v>0</v>
      </c>
      <c r="BP8">
        <v>0</v>
      </c>
      <c r="BQ8">
        <v>0.68240000000000001</v>
      </c>
      <c r="BR8">
        <v>0.68240000000000001</v>
      </c>
      <c r="BT8">
        <v>13</v>
      </c>
      <c r="BU8" s="197" t="s">
        <v>25</v>
      </c>
      <c r="BV8">
        <v>1267</v>
      </c>
      <c r="BW8">
        <v>1499</v>
      </c>
      <c r="BX8">
        <v>1772203036</v>
      </c>
    </row>
    <row r="9" spans="1:76">
      <c r="A9" t="s">
        <v>1250</v>
      </c>
      <c r="B9" t="s">
        <v>756</v>
      </c>
      <c r="C9" t="s">
        <v>1245</v>
      </c>
      <c r="D9" t="s">
        <v>1238</v>
      </c>
      <c r="F9" t="s">
        <v>1236</v>
      </c>
      <c r="G9" t="s">
        <v>25</v>
      </c>
      <c r="H9" t="s">
        <v>1247</v>
      </c>
      <c r="I9" t="s">
        <v>1312</v>
      </c>
      <c r="O9">
        <v>8</v>
      </c>
      <c r="P9" t="s">
        <v>24</v>
      </c>
      <c r="Q9" t="s">
        <v>1338</v>
      </c>
      <c r="S9">
        <v>32</v>
      </c>
      <c r="T9" t="s">
        <v>1485</v>
      </c>
      <c r="U9" t="s">
        <v>1486</v>
      </c>
      <c r="V9">
        <v>0</v>
      </c>
      <c r="W9">
        <v>0</v>
      </c>
      <c r="X9">
        <v>10</v>
      </c>
      <c r="Y9">
        <v>144</v>
      </c>
      <c r="Z9">
        <v>84</v>
      </c>
      <c r="AA9">
        <v>52000</v>
      </c>
      <c r="AB9">
        <v>220067000000</v>
      </c>
      <c r="AC9">
        <v>0</v>
      </c>
      <c r="AD9">
        <v>0</v>
      </c>
      <c r="AE9">
        <v>0</v>
      </c>
      <c r="AF9">
        <v>4</v>
      </c>
      <c r="AG9" t="s">
        <v>1487</v>
      </c>
      <c r="AI9">
        <v>36</v>
      </c>
      <c r="AJ9" t="s">
        <v>50</v>
      </c>
      <c r="AK9">
        <v>37</v>
      </c>
      <c r="AL9" t="s">
        <v>758</v>
      </c>
      <c r="AM9">
        <v>270</v>
      </c>
      <c r="AN9">
        <v>3</v>
      </c>
      <c r="AO9">
        <v>2500</v>
      </c>
      <c r="AP9">
        <v>26</v>
      </c>
      <c r="AQ9">
        <v>9</v>
      </c>
      <c r="AW9">
        <v>4</v>
      </c>
      <c r="AX9">
        <v>48.146715999999998</v>
      </c>
      <c r="AY9">
        <v>16.430304</v>
      </c>
      <c r="AZ9">
        <v>1</v>
      </c>
      <c r="BA9">
        <v>1476</v>
      </c>
      <c r="BB9">
        <v>1476</v>
      </c>
      <c r="BC9">
        <v>1</v>
      </c>
      <c r="BD9" t="s">
        <v>1334</v>
      </c>
      <c r="BE9">
        <v>1771724937</v>
      </c>
      <c r="BF9">
        <v>1772135664</v>
      </c>
      <c r="BG9">
        <v>0.97154300000000005</v>
      </c>
      <c r="BH9" t="s">
        <v>21</v>
      </c>
      <c r="BI9">
        <v>2</v>
      </c>
      <c r="BJ9">
        <v>1771724937</v>
      </c>
      <c r="BK9">
        <v>200</v>
      </c>
      <c r="BL9">
        <v>5</v>
      </c>
      <c r="BM9">
        <v>2</v>
      </c>
      <c r="BN9">
        <v>1</v>
      </c>
      <c r="BO9">
        <v>0</v>
      </c>
      <c r="BP9">
        <v>0</v>
      </c>
      <c r="BQ9">
        <v>0.9647</v>
      </c>
      <c r="BR9">
        <v>0.9647</v>
      </c>
      <c r="BT9">
        <v>14</v>
      </c>
      <c r="BU9" s="197" t="s">
        <v>33</v>
      </c>
      <c r="BV9">
        <v>956</v>
      </c>
      <c r="BW9">
        <v>0</v>
      </c>
      <c r="BX9">
        <v>1772203036</v>
      </c>
    </row>
    <row r="10" spans="1:76">
      <c r="A10" t="s">
        <v>1251</v>
      </c>
      <c r="B10" t="s">
        <v>1190</v>
      </c>
      <c r="C10" t="s">
        <v>1245</v>
      </c>
      <c r="D10" t="s">
        <v>1238</v>
      </c>
      <c r="F10" t="s">
        <v>1270</v>
      </c>
      <c r="G10" t="s">
        <v>22</v>
      </c>
      <c r="H10" t="s">
        <v>1271</v>
      </c>
      <c r="I10" t="s">
        <v>1313</v>
      </c>
      <c r="O10">
        <v>9</v>
      </c>
      <c r="P10" t="s">
        <v>1339</v>
      </c>
      <c r="Q10" t="s">
        <v>1239</v>
      </c>
      <c r="S10">
        <v>33</v>
      </c>
      <c r="T10" t="s">
        <v>1488</v>
      </c>
      <c r="U10" t="s">
        <v>1489</v>
      </c>
      <c r="V10">
        <v>0</v>
      </c>
      <c r="W10">
        <v>0</v>
      </c>
      <c r="X10">
        <v>20000</v>
      </c>
      <c r="Y10">
        <v>168</v>
      </c>
      <c r="Z10">
        <v>99</v>
      </c>
      <c r="AA10">
        <v>130</v>
      </c>
      <c r="AB10">
        <v>179657000000</v>
      </c>
      <c r="AC10">
        <v>0</v>
      </c>
      <c r="AD10">
        <v>0</v>
      </c>
      <c r="AE10">
        <v>0</v>
      </c>
      <c r="AF10">
        <v>7</v>
      </c>
      <c r="AG10" t="s">
        <v>1490</v>
      </c>
      <c r="AI10">
        <v>38</v>
      </c>
      <c r="AJ10" t="s">
        <v>782</v>
      </c>
      <c r="AK10">
        <v>39</v>
      </c>
      <c r="AL10" t="s">
        <v>756</v>
      </c>
      <c r="AM10">
        <v>640</v>
      </c>
      <c r="AN10">
        <v>4</v>
      </c>
      <c r="AO10">
        <v>150</v>
      </c>
      <c r="AP10">
        <v>10</v>
      </c>
      <c r="AQ10">
        <v>4</v>
      </c>
      <c r="AW10">
        <v>4</v>
      </c>
      <c r="AX10">
        <v>48.152380000000001</v>
      </c>
      <c r="AY10">
        <v>16.426931</v>
      </c>
      <c r="AZ10">
        <v>1</v>
      </c>
      <c r="BA10">
        <v>1020</v>
      </c>
      <c r="BB10">
        <v>1020</v>
      </c>
      <c r="BC10">
        <v>1</v>
      </c>
      <c r="BD10" t="s">
        <v>1334</v>
      </c>
      <c r="BE10">
        <v>1771724971</v>
      </c>
      <c r="BF10">
        <v>1772135664</v>
      </c>
      <c r="BG10">
        <v>0.97154300000000005</v>
      </c>
      <c r="BH10" t="s">
        <v>21</v>
      </c>
      <c r="BI10">
        <v>2</v>
      </c>
      <c r="BJ10">
        <v>1771724971</v>
      </c>
      <c r="BK10">
        <v>200</v>
      </c>
      <c r="BL10">
        <v>5</v>
      </c>
      <c r="BM10">
        <v>2</v>
      </c>
      <c r="BN10">
        <v>1</v>
      </c>
      <c r="BO10">
        <v>0</v>
      </c>
      <c r="BP10">
        <v>0</v>
      </c>
      <c r="BQ10">
        <v>0.66669999999999996</v>
      </c>
      <c r="BR10">
        <v>0.66669999999999996</v>
      </c>
      <c r="BT10">
        <v>15</v>
      </c>
      <c r="BU10" s="197" t="s">
        <v>32</v>
      </c>
      <c r="BV10">
        <v>1433</v>
      </c>
      <c r="BW10">
        <v>0</v>
      </c>
      <c r="BX10">
        <v>1772203036</v>
      </c>
    </row>
    <row r="11" spans="1:76">
      <c r="A11" t="s">
        <v>1252</v>
      </c>
      <c r="B11" t="s">
        <v>761</v>
      </c>
      <c r="C11" t="s">
        <v>1245</v>
      </c>
      <c r="D11" t="s">
        <v>1238</v>
      </c>
      <c r="F11" t="s">
        <v>1272</v>
      </c>
      <c r="G11" t="s">
        <v>46</v>
      </c>
      <c r="H11" t="s">
        <v>1273</v>
      </c>
      <c r="I11" t="s">
        <v>1314</v>
      </c>
      <c r="O11">
        <v>10</v>
      </c>
      <c r="P11" t="s">
        <v>26</v>
      </c>
      <c r="Q11" t="s">
        <v>1340</v>
      </c>
      <c r="S11">
        <v>35</v>
      </c>
      <c r="T11" t="s">
        <v>1491</v>
      </c>
      <c r="U11" t="s">
        <v>1492</v>
      </c>
      <c r="V11">
        <v>0</v>
      </c>
      <c r="W11">
        <v>0</v>
      </c>
      <c r="X11">
        <v>300</v>
      </c>
      <c r="Y11">
        <v>168</v>
      </c>
      <c r="Z11">
        <v>44</v>
      </c>
      <c r="AA11">
        <v>30</v>
      </c>
      <c r="AB11">
        <v>20723000000</v>
      </c>
      <c r="AC11">
        <v>0</v>
      </c>
      <c r="AD11">
        <v>0</v>
      </c>
      <c r="AE11">
        <v>0</v>
      </c>
      <c r="AF11">
        <v>7</v>
      </c>
      <c r="AG11" t="s">
        <v>1493</v>
      </c>
      <c r="AI11">
        <v>51</v>
      </c>
      <c r="AJ11" t="s">
        <v>63</v>
      </c>
      <c r="AK11">
        <v>52</v>
      </c>
      <c r="AL11" t="s">
        <v>767</v>
      </c>
      <c r="AM11">
        <v>320</v>
      </c>
      <c r="AN11">
        <v>4</v>
      </c>
      <c r="AO11">
        <v>10000</v>
      </c>
      <c r="AP11">
        <v>49</v>
      </c>
      <c r="AQ11">
        <v>8</v>
      </c>
      <c r="AW11">
        <v>4</v>
      </c>
      <c r="AX11">
        <v>48.161225000000002</v>
      </c>
      <c r="AY11">
        <v>16.421333000000001</v>
      </c>
      <c r="AZ11">
        <v>1</v>
      </c>
      <c r="BA11">
        <v>1020</v>
      </c>
      <c r="BB11">
        <v>1020</v>
      </c>
      <c r="BC11">
        <v>1</v>
      </c>
      <c r="BD11" t="s">
        <v>1334</v>
      </c>
      <c r="BE11">
        <v>1771725073</v>
      </c>
      <c r="BF11">
        <v>1772135664</v>
      </c>
      <c r="BG11">
        <v>0.97154300000000005</v>
      </c>
      <c r="BH11" t="s">
        <v>21</v>
      </c>
      <c r="BI11">
        <v>2</v>
      </c>
      <c r="BJ11">
        <v>1771725073</v>
      </c>
      <c r="BK11">
        <v>200</v>
      </c>
      <c r="BL11">
        <v>5</v>
      </c>
      <c r="BM11">
        <v>2</v>
      </c>
      <c r="BN11">
        <v>1</v>
      </c>
      <c r="BO11">
        <v>0</v>
      </c>
      <c r="BP11">
        <v>0</v>
      </c>
      <c r="BQ11">
        <v>0.66669999999999996</v>
      </c>
      <c r="BR11">
        <v>0.66669999999999996</v>
      </c>
      <c r="BT11">
        <v>20</v>
      </c>
      <c r="BU11" s="197" t="s">
        <v>22</v>
      </c>
      <c r="BV11">
        <v>496</v>
      </c>
      <c r="BW11">
        <v>515</v>
      </c>
      <c r="BX11">
        <v>1772203036</v>
      </c>
    </row>
    <row r="12" spans="1:76">
      <c r="A12" t="s">
        <v>1253</v>
      </c>
      <c r="B12" t="s">
        <v>762</v>
      </c>
      <c r="C12" t="s">
        <v>1245</v>
      </c>
      <c r="D12" t="s">
        <v>1238</v>
      </c>
      <c r="F12" t="s">
        <v>1274</v>
      </c>
      <c r="G12" t="s">
        <v>44</v>
      </c>
      <c r="H12" t="s">
        <v>1265</v>
      </c>
      <c r="I12" t="s">
        <v>1315</v>
      </c>
      <c r="O12">
        <v>11</v>
      </c>
      <c r="P12" t="s">
        <v>1341</v>
      </c>
      <c r="Q12" t="s">
        <v>1239</v>
      </c>
      <c r="S12">
        <v>37</v>
      </c>
      <c r="T12" t="s">
        <v>1494</v>
      </c>
      <c r="U12" t="s">
        <v>1495</v>
      </c>
      <c r="V12">
        <v>0</v>
      </c>
      <c r="W12">
        <v>0</v>
      </c>
      <c r="X12">
        <v>5</v>
      </c>
      <c r="Y12">
        <v>120</v>
      </c>
      <c r="Z12">
        <v>1</v>
      </c>
      <c r="AA12">
        <v>10400000000</v>
      </c>
      <c r="AB12">
        <v>20800000000</v>
      </c>
      <c r="AC12">
        <v>0</v>
      </c>
      <c r="AD12">
        <v>0</v>
      </c>
      <c r="AE12">
        <v>0</v>
      </c>
      <c r="AF12">
        <v>5</v>
      </c>
      <c r="AG12" t="s">
        <v>1496</v>
      </c>
      <c r="AI12">
        <v>60</v>
      </c>
      <c r="AJ12" t="s">
        <v>49</v>
      </c>
      <c r="AK12">
        <v>61</v>
      </c>
      <c r="AL12" t="s">
        <v>1190</v>
      </c>
      <c r="AM12">
        <v>640</v>
      </c>
      <c r="AN12">
        <v>8</v>
      </c>
      <c r="AO12">
        <v>3000</v>
      </c>
      <c r="AP12">
        <v>53</v>
      </c>
      <c r="AQ12">
        <v>6</v>
      </c>
      <c r="AR12">
        <v>38</v>
      </c>
      <c r="AS12">
        <v>8</v>
      </c>
      <c r="AT12">
        <v>20</v>
      </c>
      <c r="AU12">
        <v>4</v>
      </c>
      <c r="AW12">
        <v>4</v>
      </c>
      <c r="AX12">
        <v>48.163060000000002</v>
      </c>
      <c r="AY12">
        <v>16.419027</v>
      </c>
      <c r="AZ12">
        <v>1</v>
      </c>
      <c r="BA12">
        <v>1176</v>
      </c>
      <c r="BB12">
        <v>1176</v>
      </c>
      <c r="BC12">
        <v>1</v>
      </c>
      <c r="BD12" t="s">
        <v>1334</v>
      </c>
      <c r="BE12">
        <v>1771725081</v>
      </c>
      <c r="BF12">
        <v>1772135664</v>
      </c>
      <c r="BG12">
        <v>0.97154300000000005</v>
      </c>
      <c r="BH12" t="s">
        <v>21</v>
      </c>
      <c r="BI12">
        <v>2</v>
      </c>
      <c r="BJ12">
        <v>1771725081</v>
      </c>
      <c r="BK12">
        <v>200</v>
      </c>
      <c r="BL12">
        <v>5</v>
      </c>
      <c r="BM12">
        <v>2</v>
      </c>
      <c r="BN12">
        <v>1</v>
      </c>
      <c r="BO12">
        <v>0</v>
      </c>
      <c r="BP12">
        <v>0</v>
      </c>
      <c r="BQ12">
        <v>0.76859999999999995</v>
      </c>
      <c r="BR12">
        <v>0.76859999999999995</v>
      </c>
      <c r="BT12">
        <v>22</v>
      </c>
      <c r="BU12" s="197" t="s">
        <v>46</v>
      </c>
      <c r="BV12">
        <v>2169</v>
      </c>
      <c r="BW12">
        <v>0</v>
      </c>
      <c r="BX12">
        <v>1772203036</v>
      </c>
    </row>
    <row r="13" spans="1:76">
      <c r="A13" t="s">
        <v>1254</v>
      </c>
      <c r="B13" t="s">
        <v>763</v>
      </c>
      <c r="C13" t="s">
        <v>1245</v>
      </c>
      <c r="D13" t="s">
        <v>1238</v>
      </c>
      <c r="F13" t="s">
        <v>1275</v>
      </c>
      <c r="G13" t="s">
        <v>28</v>
      </c>
      <c r="H13" t="s">
        <v>1233</v>
      </c>
      <c r="I13" t="s">
        <v>1316</v>
      </c>
      <c r="O13">
        <v>12</v>
      </c>
      <c r="P13" t="s">
        <v>29</v>
      </c>
      <c r="Q13" t="s">
        <v>1342</v>
      </c>
      <c r="S13">
        <v>38</v>
      </c>
      <c r="T13" t="s">
        <v>156</v>
      </c>
      <c r="U13" t="s">
        <v>1497</v>
      </c>
      <c r="V13">
        <v>0</v>
      </c>
      <c r="W13">
        <v>0</v>
      </c>
      <c r="X13">
        <v>40</v>
      </c>
      <c r="Y13">
        <v>48</v>
      </c>
      <c r="Z13">
        <v>84</v>
      </c>
      <c r="AA13">
        <v>1560</v>
      </c>
      <c r="AB13">
        <v>33010000000</v>
      </c>
      <c r="AC13">
        <v>0</v>
      </c>
      <c r="AD13">
        <v>0</v>
      </c>
      <c r="AE13">
        <v>0</v>
      </c>
      <c r="AF13">
        <v>2</v>
      </c>
      <c r="AG13" t="s">
        <v>1498</v>
      </c>
      <c r="AI13">
        <v>58</v>
      </c>
      <c r="AJ13" t="s">
        <v>53</v>
      </c>
      <c r="AK13">
        <v>63</v>
      </c>
      <c r="AL13" t="s">
        <v>761</v>
      </c>
      <c r="AM13">
        <v>1800</v>
      </c>
      <c r="AN13">
        <v>10</v>
      </c>
      <c r="AO13">
        <v>400</v>
      </c>
      <c r="AP13">
        <v>10</v>
      </c>
      <c r="AQ13">
        <v>1</v>
      </c>
      <c r="AW13">
        <v>4</v>
      </c>
      <c r="AX13">
        <v>48.163251000000002</v>
      </c>
      <c r="AY13">
        <v>16.418665000000001</v>
      </c>
      <c r="AZ13">
        <v>1</v>
      </c>
      <c r="BA13">
        <v>1332</v>
      </c>
      <c r="BB13">
        <v>1332</v>
      </c>
      <c r="BC13">
        <v>1</v>
      </c>
      <c r="BD13" t="s">
        <v>1334</v>
      </c>
      <c r="BE13">
        <v>1771725086</v>
      </c>
      <c r="BF13">
        <v>1772135664</v>
      </c>
      <c r="BG13">
        <v>0.97154300000000005</v>
      </c>
      <c r="BH13" t="s">
        <v>21</v>
      </c>
      <c r="BI13">
        <v>2</v>
      </c>
      <c r="BJ13">
        <v>1771725086</v>
      </c>
      <c r="BK13">
        <v>200</v>
      </c>
      <c r="BL13">
        <v>5</v>
      </c>
      <c r="BM13">
        <v>2</v>
      </c>
      <c r="BN13">
        <v>1</v>
      </c>
      <c r="BO13">
        <v>0</v>
      </c>
      <c r="BP13">
        <v>0</v>
      </c>
      <c r="BQ13">
        <v>0.87060000000000004</v>
      </c>
      <c r="BR13">
        <v>0.87060000000000004</v>
      </c>
      <c r="BT13">
        <v>24</v>
      </c>
      <c r="BU13" s="197" t="s">
        <v>44</v>
      </c>
      <c r="BV13">
        <v>2795</v>
      </c>
      <c r="BW13">
        <v>3245</v>
      </c>
      <c r="BX13">
        <v>1772203036</v>
      </c>
    </row>
    <row r="14" spans="1:76">
      <c r="F14" t="s">
        <v>1276</v>
      </c>
      <c r="G14" t="s">
        <v>51</v>
      </c>
      <c r="H14" t="s">
        <v>1273</v>
      </c>
      <c r="I14" t="s">
        <v>1317</v>
      </c>
      <c r="O14">
        <v>13</v>
      </c>
      <c r="P14" t="s">
        <v>25</v>
      </c>
      <c r="Q14" t="s">
        <v>1343</v>
      </c>
      <c r="S14">
        <v>41</v>
      </c>
      <c r="T14" t="s">
        <v>1499</v>
      </c>
      <c r="U14" t="s">
        <v>1500</v>
      </c>
      <c r="V14">
        <v>0</v>
      </c>
      <c r="W14">
        <v>0</v>
      </c>
      <c r="X14">
        <v>1</v>
      </c>
      <c r="Y14">
        <v>120</v>
      </c>
      <c r="Z14">
        <v>1</v>
      </c>
      <c r="AA14">
        <v>5200000000</v>
      </c>
      <c r="AB14">
        <v>1041000000</v>
      </c>
      <c r="AC14">
        <v>0</v>
      </c>
      <c r="AD14">
        <v>0</v>
      </c>
      <c r="AE14">
        <v>0</v>
      </c>
      <c r="AF14">
        <v>0</v>
      </c>
      <c r="AG14" t="s">
        <v>1501</v>
      </c>
      <c r="AI14">
        <v>67</v>
      </c>
      <c r="AJ14" t="s">
        <v>57</v>
      </c>
      <c r="AK14">
        <v>68</v>
      </c>
      <c r="AL14" t="s">
        <v>765</v>
      </c>
      <c r="AM14">
        <v>120</v>
      </c>
      <c r="AN14">
        <v>2</v>
      </c>
      <c r="AO14">
        <v>49500</v>
      </c>
      <c r="AP14">
        <v>53</v>
      </c>
      <c r="AQ14">
        <v>20</v>
      </c>
      <c r="AR14">
        <v>2</v>
      </c>
      <c r="AS14">
        <v>1</v>
      </c>
      <c r="AT14">
        <v>38</v>
      </c>
      <c r="AU14">
        <v>5</v>
      </c>
      <c r="AW14">
        <v>4</v>
      </c>
      <c r="AX14">
        <v>48.163553999999998</v>
      </c>
      <c r="AY14">
        <v>16.418837</v>
      </c>
      <c r="AZ14">
        <v>1</v>
      </c>
      <c r="BA14">
        <v>1122</v>
      </c>
      <c r="BB14">
        <v>1122</v>
      </c>
      <c r="BC14">
        <v>1</v>
      </c>
      <c r="BD14" t="s">
        <v>1334</v>
      </c>
      <c r="BE14">
        <v>1771725089</v>
      </c>
      <c r="BF14">
        <v>1772135664</v>
      </c>
      <c r="BG14">
        <v>0.97154300000000005</v>
      </c>
      <c r="BH14" t="s">
        <v>21</v>
      </c>
      <c r="BI14">
        <v>2</v>
      </c>
      <c r="BJ14">
        <v>1771725089</v>
      </c>
      <c r="BK14">
        <v>200</v>
      </c>
      <c r="BL14">
        <v>5</v>
      </c>
      <c r="BM14">
        <v>2</v>
      </c>
      <c r="BN14">
        <v>1</v>
      </c>
      <c r="BO14">
        <v>0</v>
      </c>
      <c r="BP14">
        <v>0</v>
      </c>
      <c r="BQ14">
        <v>0.73329999999999995</v>
      </c>
      <c r="BR14">
        <v>0.73329999999999995</v>
      </c>
      <c r="BT14">
        <v>26</v>
      </c>
      <c r="BU14" s="197" t="s">
        <v>28</v>
      </c>
      <c r="BV14">
        <v>1350</v>
      </c>
      <c r="BW14">
        <v>1350</v>
      </c>
      <c r="BX14">
        <v>1772203036</v>
      </c>
    </row>
    <row r="15" spans="1:76">
      <c r="F15" t="s">
        <v>1264</v>
      </c>
      <c r="G15" t="s">
        <v>47</v>
      </c>
      <c r="H15" t="s">
        <v>1263</v>
      </c>
      <c r="I15" t="s">
        <v>1318</v>
      </c>
      <c r="O15">
        <v>14</v>
      </c>
      <c r="P15" t="s">
        <v>33</v>
      </c>
      <c r="Q15" t="s">
        <v>1344</v>
      </c>
      <c r="S15">
        <v>42</v>
      </c>
      <c r="T15" t="s">
        <v>1502</v>
      </c>
      <c r="U15" t="s">
        <v>1503</v>
      </c>
      <c r="V15">
        <v>0</v>
      </c>
      <c r="W15">
        <v>0</v>
      </c>
      <c r="X15">
        <v>1</v>
      </c>
      <c r="Y15">
        <v>120</v>
      </c>
      <c r="Z15">
        <v>1</v>
      </c>
      <c r="AA15">
        <v>7800000000</v>
      </c>
      <c r="AB15">
        <v>1561000000</v>
      </c>
      <c r="AC15">
        <v>0</v>
      </c>
      <c r="AD15">
        <v>0</v>
      </c>
      <c r="AE15">
        <v>0</v>
      </c>
      <c r="AF15">
        <v>0</v>
      </c>
      <c r="AG15" t="s">
        <v>1504</v>
      </c>
      <c r="AI15">
        <v>66</v>
      </c>
      <c r="AJ15" t="s">
        <v>61</v>
      </c>
      <c r="AK15">
        <v>69</v>
      </c>
      <c r="AL15" t="s">
        <v>766</v>
      </c>
      <c r="AM15">
        <v>480</v>
      </c>
      <c r="AN15">
        <v>8</v>
      </c>
      <c r="AO15">
        <v>5000</v>
      </c>
      <c r="AP15">
        <v>58</v>
      </c>
      <c r="AQ15">
        <v>4</v>
      </c>
      <c r="AR15">
        <v>36</v>
      </c>
      <c r="AS15">
        <v>3</v>
      </c>
      <c r="AT15">
        <v>67</v>
      </c>
      <c r="AU15">
        <v>1</v>
      </c>
      <c r="AW15">
        <v>4</v>
      </c>
      <c r="AX15">
        <v>48.163342</v>
      </c>
      <c r="AY15">
        <v>16.419149999999998</v>
      </c>
      <c r="AZ15">
        <v>1</v>
      </c>
      <c r="BA15">
        <v>1008</v>
      </c>
      <c r="BB15">
        <v>1008</v>
      </c>
      <c r="BC15">
        <v>1</v>
      </c>
      <c r="BD15" t="s">
        <v>1334</v>
      </c>
      <c r="BE15">
        <v>1771725093</v>
      </c>
      <c r="BF15">
        <v>1772135664</v>
      </c>
      <c r="BG15">
        <v>0.97154300000000005</v>
      </c>
      <c r="BH15" t="s">
        <v>21</v>
      </c>
      <c r="BI15">
        <v>2</v>
      </c>
      <c r="BJ15">
        <v>1771725093</v>
      </c>
      <c r="BK15">
        <v>200</v>
      </c>
      <c r="BL15">
        <v>5</v>
      </c>
      <c r="BM15">
        <v>2</v>
      </c>
      <c r="BN15">
        <v>1</v>
      </c>
      <c r="BO15">
        <v>0</v>
      </c>
      <c r="BP15">
        <v>0</v>
      </c>
      <c r="BQ15">
        <v>0.65880000000000005</v>
      </c>
      <c r="BR15">
        <v>0.65880000000000005</v>
      </c>
      <c r="BT15">
        <v>28</v>
      </c>
      <c r="BU15" s="197" t="s">
        <v>51</v>
      </c>
      <c r="BV15">
        <v>4259</v>
      </c>
      <c r="BW15">
        <v>4302</v>
      </c>
      <c r="BX15">
        <v>1772203036</v>
      </c>
    </row>
    <row r="16" spans="1:76">
      <c r="F16" t="s">
        <v>1277</v>
      </c>
      <c r="G16" t="s">
        <v>52</v>
      </c>
      <c r="H16" t="s">
        <v>1273</v>
      </c>
      <c r="I16" t="s">
        <v>1319</v>
      </c>
      <c r="O16">
        <v>15</v>
      </c>
      <c r="P16" t="s">
        <v>32</v>
      </c>
      <c r="Q16" t="s">
        <v>1345</v>
      </c>
      <c r="S16">
        <v>43</v>
      </c>
      <c r="T16" t="s">
        <v>1505</v>
      </c>
      <c r="U16" t="s">
        <v>1506</v>
      </c>
      <c r="V16">
        <v>1</v>
      </c>
      <c r="W16">
        <v>2172</v>
      </c>
      <c r="X16">
        <v>6335</v>
      </c>
      <c r="Y16">
        <v>192</v>
      </c>
      <c r="Z16">
        <v>1</v>
      </c>
      <c r="AA16">
        <v>2600000000</v>
      </c>
      <c r="AB16">
        <v>0</v>
      </c>
      <c r="AC16">
        <v>0</v>
      </c>
      <c r="AD16">
        <v>1772097546</v>
      </c>
      <c r="AE16">
        <v>1772788746</v>
      </c>
      <c r="AF16">
        <v>1</v>
      </c>
      <c r="AG16" t="s">
        <v>1507</v>
      </c>
      <c r="AI16">
        <v>75</v>
      </c>
      <c r="AJ16" t="s">
        <v>999</v>
      </c>
      <c r="AK16">
        <v>76</v>
      </c>
      <c r="AL16" t="s">
        <v>1402</v>
      </c>
      <c r="AM16">
        <v>400</v>
      </c>
      <c r="AN16">
        <v>10</v>
      </c>
      <c r="AO16">
        <v>90000</v>
      </c>
      <c r="AP16">
        <v>51</v>
      </c>
      <c r="AQ16">
        <v>4</v>
      </c>
      <c r="AR16">
        <v>58</v>
      </c>
      <c r="AS16">
        <v>2</v>
      </c>
      <c r="AT16">
        <v>66</v>
      </c>
      <c r="AU16">
        <v>2</v>
      </c>
      <c r="AW16">
        <v>4</v>
      </c>
      <c r="AX16">
        <v>48.163125000000001</v>
      </c>
      <c r="AY16">
        <v>16.419453000000001</v>
      </c>
      <c r="AZ16">
        <v>1</v>
      </c>
      <c r="BA16">
        <v>996</v>
      </c>
      <c r="BB16">
        <v>996</v>
      </c>
      <c r="BC16">
        <v>1</v>
      </c>
      <c r="BD16" t="s">
        <v>1334</v>
      </c>
      <c r="BE16">
        <v>1771725097</v>
      </c>
      <c r="BF16">
        <v>1772135664</v>
      </c>
      <c r="BG16">
        <v>0.97154300000000005</v>
      </c>
      <c r="BH16" t="s">
        <v>21</v>
      </c>
      <c r="BI16">
        <v>2</v>
      </c>
      <c r="BJ16">
        <v>1771725097</v>
      </c>
      <c r="BK16">
        <v>200</v>
      </c>
      <c r="BL16">
        <v>5</v>
      </c>
      <c r="BM16">
        <v>2</v>
      </c>
      <c r="BN16">
        <v>1</v>
      </c>
      <c r="BO16">
        <v>0</v>
      </c>
      <c r="BP16">
        <v>0</v>
      </c>
      <c r="BQ16">
        <v>0.65100000000000002</v>
      </c>
      <c r="BR16">
        <v>0.65100000000000002</v>
      </c>
      <c r="BT16">
        <v>30</v>
      </c>
      <c r="BU16" s="197" t="s">
        <v>47</v>
      </c>
      <c r="BV16">
        <v>43334</v>
      </c>
      <c r="BW16">
        <v>49988</v>
      </c>
      <c r="BX16">
        <v>1772203036</v>
      </c>
    </row>
    <row r="17" spans="6:76">
      <c r="F17" t="s">
        <v>1278</v>
      </c>
      <c r="G17" t="s">
        <v>50</v>
      </c>
      <c r="H17" t="s">
        <v>1273</v>
      </c>
      <c r="I17" t="s">
        <v>1320</v>
      </c>
      <c r="O17">
        <v>16</v>
      </c>
      <c r="P17" t="s">
        <v>1346</v>
      </c>
      <c r="Q17" t="s">
        <v>1239</v>
      </c>
      <c r="S17">
        <v>44</v>
      </c>
      <c r="T17" t="s">
        <v>1508</v>
      </c>
      <c r="U17" t="s">
        <v>1509</v>
      </c>
      <c r="V17">
        <v>0</v>
      </c>
      <c r="W17">
        <v>0</v>
      </c>
      <c r="X17">
        <v>510</v>
      </c>
      <c r="Y17">
        <v>72</v>
      </c>
      <c r="Z17">
        <v>1</v>
      </c>
      <c r="AA17">
        <v>1300000000</v>
      </c>
      <c r="AB17">
        <v>1300000000</v>
      </c>
      <c r="AC17">
        <v>0</v>
      </c>
      <c r="AD17">
        <v>0</v>
      </c>
      <c r="AE17">
        <v>0</v>
      </c>
      <c r="AF17">
        <v>1</v>
      </c>
      <c r="AG17" t="s">
        <v>1510</v>
      </c>
      <c r="AI17">
        <v>79</v>
      </c>
      <c r="AJ17" t="s">
        <v>66</v>
      </c>
      <c r="AK17">
        <v>80</v>
      </c>
      <c r="AL17" t="s">
        <v>770</v>
      </c>
      <c r="AM17">
        <v>240</v>
      </c>
      <c r="AN17">
        <v>3</v>
      </c>
      <c r="AO17">
        <v>20000</v>
      </c>
      <c r="AP17">
        <v>14</v>
      </c>
      <c r="AQ17">
        <v>20</v>
      </c>
      <c r="AW17">
        <v>4</v>
      </c>
      <c r="AX17">
        <v>48.178356000000001</v>
      </c>
      <c r="AY17">
        <v>16.408768999999999</v>
      </c>
      <c r="AZ17">
        <v>1</v>
      </c>
      <c r="BA17">
        <v>1110</v>
      </c>
      <c r="BB17">
        <v>1110</v>
      </c>
      <c r="BC17">
        <v>1</v>
      </c>
      <c r="BD17" t="s">
        <v>1334</v>
      </c>
      <c r="BE17">
        <v>1771725234</v>
      </c>
      <c r="BF17">
        <v>1772135664</v>
      </c>
      <c r="BG17">
        <v>0.97154300000000005</v>
      </c>
      <c r="BH17" t="s">
        <v>21</v>
      </c>
      <c r="BI17">
        <v>2</v>
      </c>
      <c r="BJ17">
        <v>1771725234</v>
      </c>
      <c r="BK17">
        <v>200</v>
      </c>
      <c r="BL17">
        <v>5</v>
      </c>
      <c r="BM17">
        <v>2</v>
      </c>
      <c r="BN17">
        <v>1</v>
      </c>
      <c r="BO17">
        <v>0</v>
      </c>
      <c r="BP17">
        <v>0</v>
      </c>
      <c r="BQ17">
        <v>0.72550000000000003</v>
      </c>
      <c r="BR17">
        <v>0.72550000000000003</v>
      </c>
      <c r="BT17">
        <v>32</v>
      </c>
      <c r="BU17" s="197" t="s">
        <v>52</v>
      </c>
      <c r="BV17">
        <v>91432</v>
      </c>
      <c r="BW17">
        <v>94900</v>
      </c>
      <c r="BX17">
        <v>1772203036</v>
      </c>
    </row>
    <row r="18" spans="6:76">
      <c r="F18" t="s">
        <v>1279</v>
      </c>
      <c r="G18" t="s">
        <v>782</v>
      </c>
      <c r="H18" t="s">
        <v>1273</v>
      </c>
      <c r="I18" t="s">
        <v>1321</v>
      </c>
      <c r="O18">
        <v>17</v>
      </c>
      <c r="P18" t="s">
        <v>1347</v>
      </c>
      <c r="Q18" t="s">
        <v>1239</v>
      </c>
      <c r="S18">
        <v>50</v>
      </c>
      <c r="T18" t="s">
        <v>1511</v>
      </c>
      <c r="U18" t="s">
        <v>1512</v>
      </c>
      <c r="V18">
        <v>0</v>
      </c>
      <c r="W18">
        <v>0</v>
      </c>
      <c r="X18">
        <v>40000</v>
      </c>
      <c r="Y18">
        <v>48</v>
      </c>
      <c r="Z18">
        <v>1</v>
      </c>
      <c r="AA18">
        <v>3640000000</v>
      </c>
      <c r="AB18">
        <v>18200000000</v>
      </c>
      <c r="AC18">
        <v>0</v>
      </c>
      <c r="AD18">
        <v>0</v>
      </c>
      <c r="AE18">
        <v>0</v>
      </c>
      <c r="AF18">
        <v>3</v>
      </c>
      <c r="AG18" t="s">
        <v>1513</v>
      </c>
      <c r="AI18">
        <v>84</v>
      </c>
      <c r="AJ18" t="s">
        <v>67</v>
      </c>
      <c r="AK18">
        <v>85</v>
      </c>
      <c r="AL18" t="s">
        <v>163</v>
      </c>
      <c r="AM18">
        <v>100</v>
      </c>
      <c r="AN18">
        <v>2</v>
      </c>
      <c r="AO18">
        <v>50000</v>
      </c>
      <c r="AP18">
        <v>81</v>
      </c>
      <c r="AQ18">
        <v>1000</v>
      </c>
      <c r="AR18">
        <v>79</v>
      </c>
      <c r="AS18">
        <v>1</v>
      </c>
      <c r="AT18">
        <v>35</v>
      </c>
      <c r="AU18">
        <v>1</v>
      </c>
      <c r="AW18">
        <v>4</v>
      </c>
      <c r="AX18">
        <v>48.239367999999999</v>
      </c>
      <c r="AY18">
        <v>16.381789000000001</v>
      </c>
      <c r="AZ18">
        <v>1</v>
      </c>
      <c r="BA18">
        <v>1152</v>
      </c>
      <c r="BB18">
        <v>1152</v>
      </c>
      <c r="BC18">
        <v>1</v>
      </c>
      <c r="BD18" t="s">
        <v>1334</v>
      </c>
      <c r="BE18">
        <v>1771726134</v>
      </c>
      <c r="BF18">
        <v>1772135664</v>
      </c>
      <c r="BG18">
        <v>0.97154300000000005</v>
      </c>
      <c r="BH18" t="s">
        <v>21</v>
      </c>
      <c r="BI18">
        <v>2</v>
      </c>
      <c r="BJ18">
        <v>1771726134</v>
      </c>
      <c r="BK18">
        <v>200</v>
      </c>
      <c r="BL18">
        <v>5</v>
      </c>
      <c r="BM18">
        <v>2</v>
      </c>
      <c r="BN18">
        <v>1</v>
      </c>
      <c r="BO18">
        <v>0</v>
      </c>
      <c r="BP18">
        <v>0</v>
      </c>
      <c r="BQ18">
        <v>0.75290000000000001</v>
      </c>
      <c r="BR18">
        <v>0.75290000000000001</v>
      </c>
      <c r="BT18">
        <v>35</v>
      </c>
      <c r="BU18" s="197" t="s">
        <v>65</v>
      </c>
      <c r="BV18">
        <v>1645</v>
      </c>
      <c r="BW18">
        <v>1661</v>
      </c>
      <c r="BX18">
        <v>1772203036</v>
      </c>
    </row>
    <row r="19" spans="6:76">
      <c r="F19" t="s">
        <v>1280</v>
      </c>
      <c r="G19" t="s">
        <v>1039</v>
      </c>
      <c r="H19" t="s">
        <v>1273</v>
      </c>
      <c r="I19" t="s">
        <v>1281</v>
      </c>
      <c r="O19">
        <v>18</v>
      </c>
      <c r="P19" t="s">
        <v>1348</v>
      </c>
      <c r="Q19" t="s">
        <v>1239</v>
      </c>
      <c r="S19">
        <v>55</v>
      </c>
      <c r="T19" t="s">
        <v>1514</v>
      </c>
      <c r="U19" t="s">
        <v>1515</v>
      </c>
      <c r="V19">
        <v>0</v>
      </c>
      <c r="W19">
        <v>0</v>
      </c>
      <c r="X19">
        <v>400</v>
      </c>
      <c r="Y19">
        <v>48</v>
      </c>
      <c r="Z19">
        <v>1</v>
      </c>
      <c r="AA19">
        <v>1040000000</v>
      </c>
      <c r="AB19">
        <v>5200000000</v>
      </c>
      <c r="AC19">
        <v>0</v>
      </c>
      <c r="AD19">
        <v>0</v>
      </c>
      <c r="AE19">
        <v>0</v>
      </c>
      <c r="AF19">
        <v>3</v>
      </c>
      <c r="AG19" t="s">
        <v>1516</v>
      </c>
      <c r="AI19">
        <v>92</v>
      </c>
      <c r="AJ19" t="s">
        <v>54</v>
      </c>
      <c r="AK19">
        <v>91</v>
      </c>
      <c r="AL19" t="s">
        <v>762</v>
      </c>
      <c r="AM19">
        <v>750</v>
      </c>
      <c r="AN19">
        <v>5</v>
      </c>
      <c r="AO19">
        <v>5000</v>
      </c>
      <c r="AP19">
        <v>90</v>
      </c>
      <c r="AQ19">
        <v>115</v>
      </c>
      <c r="AW19">
        <v>4</v>
      </c>
      <c r="AX19">
        <v>48.237487000000002</v>
      </c>
      <c r="AY19">
        <v>16.378734999999999</v>
      </c>
      <c r="AZ19">
        <v>1</v>
      </c>
      <c r="BA19">
        <v>1086</v>
      </c>
      <c r="BB19">
        <v>1086</v>
      </c>
      <c r="BC19">
        <v>1</v>
      </c>
      <c r="BD19" t="s">
        <v>1334</v>
      </c>
      <c r="BE19">
        <v>1771726816</v>
      </c>
      <c r="BF19">
        <v>1772135664</v>
      </c>
      <c r="BG19">
        <v>0.97154300000000005</v>
      </c>
      <c r="BH19" t="s">
        <v>21</v>
      </c>
      <c r="BI19">
        <v>2</v>
      </c>
      <c r="BJ19">
        <v>1771726816</v>
      </c>
      <c r="BK19">
        <v>200</v>
      </c>
      <c r="BL19">
        <v>5</v>
      </c>
      <c r="BM19">
        <v>2</v>
      </c>
      <c r="BN19">
        <v>1</v>
      </c>
      <c r="BO19">
        <v>0</v>
      </c>
      <c r="BP19">
        <v>0</v>
      </c>
      <c r="BQ19">
        <v>0.70979999999999999</v>
      </c>
      <c r="BR19">
        <v>0.70979999999999999</v>
      </c>
      <c r="BT19">
        <v>36</v>
      </c>
      <c r="BU19" s="197" t="s">
        <v>50</v>
      </c>
      <c r="BV19">
        <v>87230</v>
      </c>
      <c r="BW19">
        <v>87231</v>
      </c>
      <c r="BX19">
        <v>1772203036</v>
      </c>
    </row>
    <row r="20" spans="6:76">
      <c r="F20" t="s">
        <v>1282</v>
      </c>
      <c r="G20" t="s">
        <v>840</v>
      </c>
      <c r="H20" t="s">
        <v>1233</v>
      </c>
      <c r="I20" t="s">
        <v>1283</v>
      </c>
      <c r="O20">
        <v>19</v>
      </c>
      <c r="P20" t="s">
        <v>1349</v>
      </c>
      <c r="Q20" t="s">
        <v>1239</v>
      </c>
      <c r="AI20">
        <v>93</v>
      </c>
      <c r="AJ20" t="s">
        <v>55</v>
      </c>
      <c r="AK20">
        <v>95</v>
      </c>
      <c r="AL20" t="s">
        <v>763</v>
      </c>
      <c r="AM20">
        <v>600</v>
      </c>
      <c r="AN20">
        <v>10</v>
      </c>
      <c r="AO20">
        <v>75000</v>
      </c>
      <c r="AP20">
        <v>92</v>
      </c>
      <c r="AQ20">
        <v>20</v>
      </c>
      <c r="AR20">
        <v>58</v>
      </c>
      <c r="AS20">
        <v>40</v>
      </c>
      <c r="AT20">
        <v>32</v>
      </c>
      <c r="AU20">
        <v>10</v>
      </c>
      <c r="AW20">
        <v>4</v>
      </c>
      <c r="AX20">
        <v>48.238542000000002</v>
      </c>
      <c r="AY20">
        <v>16.377994000000001</v>
      </c>
      <c r="AZ20">
        <v>1</v>
      </c>
      <c r="BA20">
        <v>1086</v>
      </c>
      <c r="BB20">
        <v>1086</v>
      </c>
      <c r="BC20">
        <v>1</v>
      </c>
      <c r="BD20" t="s">
        <v>1334</v>
      </c>
      <c r="BE20">
        <v>1771726834</v>
      </c>
      <c r="BF20">
        <v>1772135664</v>
      </c>
      <c r="BG20">
        <v>0.97154300000000005</v>
      </c>
      <c r="BH20" t="s">
        <v>21</v>
      </c>
      <c r="BI20">
        <v>2</v>
      </c>
      <c r="BJ20">
        <v>1771726834</v>
      </c>
      <c r="BK20">
        <v>200</v>
      </c>
      <c r="BL20">
        <v>5</v>
      </c>
      <c r="BM20">
        <v>2</v>
      </c>
      <c r="BN20">
        <v>1</v>
      </c>
      <c r="BO20">
        <v>0</v>
      </c>
      <c r="BP20">
        <v>0</v>
      </c>
      <c r="BQ20">
        <v>0.70979999999999999</v>
      </c>
      <c r="BR20">
        <v>0.70979999999999999</v>
      </c>
      <c r="BT20">
        <v>38</v>
      </c>
      <c r="BU20" s="197" t="s">
        <v>782</v>
      </c>
      <c r="BV20">
        <v>28209</v>
      </c>
      <c r="BW20">
        <v>29550</v>
      </c>
      <c r="BX20">
        <v>1772203036</v>
      </c>
    </row>
    <row r="21" spans="6:76">
      <c r="F21" t="s">
        <v>1284</v>
      </c>
      <c r="G21" t="s">
        <v>1285</v>
      </c>
      <c r="H21" t="s">
        <v>1245</v>
      </c>
      <c r="I21" t="s">
        <v>1241</v>
      </c>
      <c r="O21">
        <v>20</v>
      </c>
      <c r="P21" t="s">
        <v>22</v>
      </c>
      <c r="Q21" t="s">
        <v>1350</v>
      </c>
      <c r="AI21">
        <v>87</v>
      </c>
      <c r="AJ21" t="s">
        <v>56</v>
      </c>
      <c r="AK21">
        <v>101</v>
      </c>
      <c r="AL21" t="s">
        <v>764</v>
      </c>
      <c r="AM21">
        <v>125</v>
      </c>
      <c r="AN21">
        <v>25</v>
      </c>
      <c r="AO21">
        <v>250000</v>
      </c>
      <c r="AP21">
        <v>30</v>
      </c>
      <c r="AQ21">
        <v>1</v>
      </c>
      <c r="AR21">
        <v>32</v>
      </c>
      <c r="AS21">
        <v>1</v>
      </c>
      <c r="AT21">
        <v>93</v>
      </c>
      <c r="AU21">
        <v>1</v>
      </c>
      <c r="AW21">
        <v>4</v>
      </c>
      <c r="AX21">
        <v>48.238740999999997</v>
      </c>
      <c r="AY21">
        <v>16.377676000000001</v>
      </c>
      <c r="AZ21">
        <v>1</v>
      </c>
      <c r="BA21">
        <v>1098</v>
      </c>
      <c r="BB21">
        <v>1098</v>
      </c>
      <c r="BC21">
        <v>1</v>
      </c>
      <c r="BD21" t="s">
        <v>1334</v>
      </c>
      <c r="BE21">
        <v>1771726837</v>
      </c>
      <c r="BF21">
        <v>1772135664</v>
      </c>
      <c r="BG21">
        <v>0.97154300000000005</v>
      </c>
      <c r="BH21" t="s">
        <v>21</v>
      </c>
      <c r="BI21">
        <v>2</v>
      </c>
      <c r="BJ21">
        <v>1771726837</v>
      </c>
      <c r="BK21">
        <v>200</v>
      </c>
      <c r="BL21">
        <v>5</v>
      </c>
      <c r="BM21">
        <v>2</v>
      </c>
      <c r="BN21">
        <v>1</v>
      </c>
      <c r="BO21">
        <v>0</v>
      </c>
      <c r="BP21">
        <v>0</v>
      </c>
      <c r="BQ21">
        <v>0.71760000000000002</v>
      </c>
      <c r="BR21">
        <v>0.71760000000000002</v>
      </c>
      <c r="BT21">
        <v>40</v>
      </c>
      <c r="BU21" s="197" t="s">
        <v>1039</v>
      </c>
      <c r="BV21">
        <v>56771</v>
      </c>
      <c r="BW21">
        <v>65651</v>
      </c>
      <c r="BX21">
        <v>1772203036</v>
      </c>
    </row>
    <row r="22" spans="6:76">
      <c r="F22" t="s">
        <v>1286</v>
      </c>
      <c r="G22" t="s">
        <v>1031</v>
      </c>
      <c r="H22" t="s">
        <v>1245</v>
      </c>
      <c r="I22" t="s">
        <v>1287</v>
      </c>
      <c r="O22">
        <v>21</v>
      </c>
      <c r="P22" t="s">
        <v>1351</v>
      </c>
      <c r="Q22" t="s">
        <v>1239</v>
      </c>
      <c r="AI22">
        <v>117</v>
      </c>
      <c r="AJ22" t="s">
        <v>988</v>
      </c>
      <c r="AK22">
        <v>118</v>
      </c>
      <c r="AL22" t="s">
        <v>771</v>
      </c>
      <c r="AM22">
        <v>1</v>
      </c>
      <c r="AN22">
        <v>1</v>
      </c>
      <c r="AO22">
        <v>25000000</v>
      </c>
      <c r="AP22">
        <v>66</v>
      </c>
      <c r="AQ22">
        <v>25</v>
      </c>
      <c r="AR22">
        <v>51</v>
      </c>
      <c r="AS22">
        <v>50</v>
      </c>
      <c r="AT22">
        <v>93</v>
      </c>
      <c r="AU22">
        <v>250</v>
      </c>
      <c r="AW22">
        <v>4</v>
      </c>
      <c r="AX22">
        <v>48.238961000000003</v>
      </c>
      <c r="AY22">
        <v>16.377405</v>
      </c>
      <c r="AZ22">
        <v>1</v>
      </c>
      <c r="BA22">
        <v>1098</v>
      </c>
      <c r="BB22">
        <v>1098</v>
      </c>
      <c r="BC22">
        <v>1</v>
      </c>
      <c r="BD22" t="s">
        <v>1334</v>
      </c>
      <c r="BE22">
        <v>1771726840</v>
      </c>
      <c r="BF22">
        <v>1772135664</v>
      </c>
      <c r="BG22">
        <v>0.97154300000000005</v>
      </c>
      <c r="BH22" t="s">
        <v>21</v>
      </c>
      <c r="BI22">
        <v>2</v>
      </c>
      <c r="BJ22">
        <v>1771726840</v>
      </c>
      <c r="BK22">
        <v>200</v>
      </c>
      <c r="BL22">
        <v>5</v>
      </c>
      <c r="BM22">
        <v>2</v>
      </c>
      <c r="BN22">
        <v>1</v>
      </c>
      <c r="BO22">
        <v>0</v>
      </c>
      <c r="BP22">
        <v>0</v>
      </c>
      <c r="BQ22">
        <v>0.71760000000000002</v>
      </c>
      <c r="BR22">
        <v>0.71760000000000002</v>
      </c>
      <c r="BT22">
        <v>41</v>
      </c>
      <c r="BU22" s="197" t="s">
        <v>840</v>
      </c>
      <c r="BV22">
        <v>11066</v>
      </c>
      <c r="BW22">
        <v>13954</v>
      </c>
      <c r="BX22">
        <v>1772203036</v>
      </c>
    </row>
    <row r="23" spans="6:76">
      <c r="F23" t="s">
        <v>1243</v>
      </c>
      <c r="G23" t="s">
        <v>1040</v>
      </c>
      <c r="H23" t="s">
        <v>1245</v>
      </c>
      <c r="I23" t="s">
        <v>1265</v>
      </c>
      <c r="O23">
        <v>22</v>
      </c>
      <c r="P23" t="s">
        <v>46</v>
      </c>
      <c r="Q23" t="s">
        <v>1352</v>
      </c>
      <c r="AI23">
        <v>124</v>
      </c>
      <c r="AJ23" t="s">
        <v>35</v>
      </c>
      <c r="AK23">
        <v>125</v>
      </c>
      <c r="AL23" t="s">
        <v>167</v>
      </c>
      <c r="AM23">
        <v>100</v>
      </c>
      <c r="AN23">
        <v>50</v>
      </c>
      <c r="AO23">
        <v>2500000</v>
      </c>
      <c r="AP23">
        <v>30</v>
      </c>
      <c r="AQ23">
        <v>100</v>
      </c>
      <c r="AR23">
        <v>93</v>
      </c>
      <c r="AS23">
        <v>25</v>
      </c>
      <c r="AT23">
        <v>35</v>
      </c>
      <c r="AU23">
        <v>50</v>
      </c>
      <c r="AW23">
        <v>4</v>
      </c>
      <c r="AX23">
        <v>48.239184000000002</v>
      </c>
      <c r="AY23">
        <v>16.377115</v>
      </c>
      <c r="AZ23">
        <v>1</v>
      </c>
      <c r="BA23">
        <v>1122</v>
      </c>
      <c r="BB23">
        <v>1122</v>
      </c>
      <c r="BC23">
        <v>1</v>
      </c>
      <c r="BD23" t="s">
        <v>1334</v>
      </c>
      <c r="BE23">
        <v>1771726844</v>
      </c>
      <c r="BF23">
        <v>1772135664</v>
      </c>
      <c r="BG23">
        <v>0.97154300000000005</v>
      </c>
      <c r="BH23" t="s">
        <v>21</v>
      </c>
      <c r="BI23">
        <v>2</v>
      </c>
      <c r="BJ23">
        <v>1771726844</v>
      </c>
      <c r="BK23">
        <v>200</v>
      </c>
      <c r="BL23">
        <v>5</v>
      </c>
      <c r="BM23">
        <v>2</v>
      </c>
      <c r="BN23">
        <v>1</v>
      </c>
      <c r="BO23">
        <v>0</v>
      </c>
      <c r="BP23">
        <v>0</v>
      </c>
      <c r="BQ23">
        <v>0.73329999999999995</v>
      </c>
      <c r="BR23">
        <v>0.73329999999999995</v>
      </c>
      <c r="BT23">
        <v>42</v>
      </c>
      <c r="BU23" s="197" t="s">
        <v>1285</v>
      </c>
      <c r="BV23">
        <v>957950133</v>
      </c>
      <c r="BW23">
        <v>0</v>
      </c>
      <c r="BX23">
        <v>1772203036</v>
      </c>
    </row>
    <row r="24" spans="6:76">
      <c r="F24" t="s">
        <v>1288</v>
      </c>
      <c r="G24" t="s">
        <v>31</v>
      </c>
      <c r="H24" t="s">
        <v>1273</v>
      </c>
      <c r="I24" t="s">
        <v>1322</v>
      </c>
      <c r="O24">
        <v>23</v>
      </c>
      <c r="P24" t="s">
        <v>755</v>
      </c>
      <c r="Q24" t="s">
        <v>1353</v>
      </c>
      <c r="AW24">
        <v>4</v>
      </c>
      <c r="AX24">
        <v>48.239348</v>
      </c>
      <c r="AY24">
        <v>16.376757999999999</v>
      </c>
      <c r="AZ24">
        <v>1</v>
      </c>
      <c r="BA24">
        <v>1272</v>
      </c>
      <c r="BB24">
        <v>1272</v>
      </c>
      <c r="BC24">
        <v>1</v>
      </c>
      <c r="BD24" t="s">
        <v>1334</v>
      </c>
      <c r="BE24">
        <v>1771726847</v>
      </c>
      <c r="BF24">
        <v>1772135664</v>
      </c>
      <c r="BG24">
        <v>0.97154300000000005</v>
      </c>
      <c r="BH24" t="s">
        <v>21</v>
      </c>
      <c r="BI24">
        <v>2</v>
      </c>
      <c r="BJ24">
        <v>1771726847</v>
      </c>
      <c r="BK24">
        <v>200</v>
      </c>
      <c r="BL24">
        <v>5</v>
      </c>
      <c r="BM24">
        <v>2</v>
      </c>
      <c r="BN24">
        <v>1</v>
      </c>
      <c r="BO24">
        <v>0</v>
      </c>
      <c r="BP24">
        <v>0</v>
      </c>
      <c r="BQ24">
        <v>0.83140000000000003</v>
      </c>
      <c r="BR24">
        <v>0.83140000000000003</v>
      </c>
      <c r="BT24">
        <v>43</v>
      </c>
      <c r="BU24" s="197" t="s">
        <v>1002</v>
      </c>
      <c r="BV24">
        <v>56876282</v>
      </c>
      <c r="BW24">
        <v>63428000</v>
      </c>
      <c r="BX24">
        <v>1772203036</v>
      </c>
    </row>
    <row r="25" spans="6:76">
      <c r="F25" t="s">
        <v>1289</v>
      </c>
      <c r="G25" t="s">
        <v>27</v>
      </c>
      <c r="H25" t="s">
        <v>1268</v>
      </c>
      <c r="I25" t="s">
        <v>1323</v>
      </c>
      <c r="O25">
        <v>24</v>
      </c>
      <c r="P25" t="s">
        <v>44</v>
      </c>
      <c r="Q25" t="s">
        <v>1354</v>
      </c>
      <c r="AW25">
        <v>4</v>
      </c>
      <c r="AX25">
        <v>48.239609999999999</v>
      </c>
      <c r="AY25">
        <v>16.376550999999999</v>
      </c>
      <c r="AZ25">
        <v>1</v>
      </c>
      <c r="BA25">
        <v>1230</v>
      </c>
      <c r="BB25">
        <v>1230</v>
      </c>
      <c r="BC25">
        <v>1</v>
      </c>
      <c r="BD25" t="s">
        <v>1334</v>
      </c>
      <c r="BE25">
        <v>1771726850</v>
      </c>
      <c r="BF25">
        <v>1772135664</v>
      </c>
      <c r="BG25">
        <v>0.97154300000000005</v>
      </c>
      <c r="BH25" t="s">
        <v>21</v>
      </c>
      <c r="BI25">
        <v>2</v>
      </c>
      <c r="BJ25">
        <v>1771726850</v>
      </c>
      <c r="BK25">
        <v>200</v>
      </c>
      <c r="BL25">
        <v>5</v>
      </c>
      <c r="BM25">
        <v>2</v>
      </c>
      <c r="BN25">
        <v>1</v>
      </c>
      <c r="BO25">
        <v>0</v>
      </c>
      <c r="BP25">
        <v>0</v>
      </c>
      <c r="BQ25">
        <v>0.80389999999999995</v>
      </c>
      <c r="BR25">
        <v>0.80389999999999995</v>
      </c>
      <c r="BT25">
        <v>44</v>
      </c>
      <c r="BU25" s="197" t="s">
        <v>1031</v>
      </c>
      <c r="BV25">
        <v>79761236</v>
      </c>
      <c r="BW25">
        <v>81500000</v>
      </c>
      <c r="BX25">
        <v>1772203036</v>
      </c>
    </row>
    <row r="26" spans="6:76">
      <c r="F26" t="s">
        <v>1290</v>
      </c>
      <c r="G26" t="s">
        <v>1030</v>
      </c>
      <c r="H26" t="s">
        <v>1273</v>
      </c>
      <c r="I26" t="s">
        <v>1291</v>
      </c>
      <c r="O26">
        <v>25</v>
      </c>
      <c r="P26" t="s">
        <v>752</v>
      </c>
      <c r="Q26" t="s">
        <v>1355</v>
      </c>
      <c r="AW26">
        <v>4</v>
      </c>
      <c r="AX26">
        <v>48.239876000000002</v>
      </c>
      <c r="AY26">
        <v>16.376588999999999</v>
      </c>
      <c r="AZ26">
        <v>1</v>
      </c>
      <c r="BA26">
        <v>1332</v>
      </c>
      <c r="BB26">
        <v>1332</v>
      </c>
      <c r="BC26">
        <v>1</v>
      </c>
      <c r="BD26" t="s">
        <v>1334</v>
      </c>
      <c r="BE26">
        <v>1771726854</v>
      </c>
      <c r="BF26">
        <v>1772135664</v>
      </c>
      <c r="BG26">
        <v>0.97154300000000005</v>
      </c>
      <c r="BH26" t="s">
        <v>21</v>
      </c>
      <c r="BI26">
        <v>2</v>
      </c>
      <c r="BJ26">
        <v>1771726854</v>
      </c>
      <c r="BK26">
        <v>200</v>
      </c>
      <c r="BL26">
        <v>5</v>
      </c>
      <c r="BM26">
        <v>2</v>
      </c>
      <c r="BN26">
        <v>1</v>
      </c>
      <c r="BO26">
        <v>0</v>
      </c>
      <c r="BP26">
        <v>0</v>
      </c>
      <c r="BQ26">
        <v>0.87060000000000004</v>
      </c>
      <c r="BR26">
        <v>0.87060000000000004</v>
      </c>
      <c r="BT26">
        <v>45</v>
      </c>
      <c r="BU26" s="197" t="s">
        <v>1040</v>
      </c>
      <c r="BV26">
        <v>224349572</v>
      </c>
      <c r="BW26">
        <v>262165702</v>
      </c>
      <c r="BX26">
        <v>1772203036</v>
      </c>
    </row>
    <row r="27" spans="6:76">
      <c r="F27" t="s">
        <v>1292</v>
      </c>
      <c r="G27" t="s">
        <v>1017</v>
      </c>
      <c r="H27" t="s">
        <v>1273</v>
      </c>
      <c r="I27" t="s">
        <v>1293</v>
      </c>
      <c r="O27">
        <v>26</v>
      </c>
      <c r="P27" t="s">
        <v>28</v>
      </c>
      <c r="Q27" t="s">
        <v>1356</v>
      </c>
      <c r="AW27">
        <v>4</v>
      </c>
      <c r="AX27">
        <v>48.239866999999997</v>
      </c>
      <c r="AY27">
        <v>16.376169999999998</v>
      </c>
      <c r="AZ27">
        <v>1</v>
      </c>
      <c r="BA27">
        <v>1476</v>
      </c>
      <c r="BB27">
        <v>1476</v>
      </c>
      <c r="BC27">
        <v>1</v>
      </c>
      <c r="BD27" t="s">
        <v>1334</v>
      </c>
      <c r="BE27">
        <v>1771726857</v>
      </c>
      <c r="BF27">
        <v>1772135664</v>
      </c>
      <c r="BG27">
        <v>0.97154300000000005</v>
      </c>
      <c r="BH27" t="s">
        <v>21</v>
      </c>
      <c r="BI27">
        <v>2</v>
      </c>
      <c r="BJ27">
        <v>1771726857</v>
      </c>
      <c r="BK27">
        <v>200</v>
      </c>
      <c r="BL27">
        <v>5</v>
      </c>
      <c r="BM27">
        <v>2</v>
      </c>
      <c r="BN27">
        <v>1</v>
      </c>
      <c r="BO27">
        <v>0</v>
      </c>
      <c r="BP27">
        <v>0</v>
      </c>
      <c r="BQ27">
        <v>0.9647</v>
      </c>
      <c r="BR27">
        <v>0.9647</v>
      </c>
      <c r="BT27">
        <v>46</v>
      </c>
      <c r="BU27" s="197" t="s">
        <v>1041</v>
      </c>
      <c r="BV27">
        <v>251990064</v>
      </c>
      <c r="BW27">
        <v>281171204</v>
      </c>
      <c r="BX27">
        <v>1772203036</v>
      </c>
    </row>
    <row r="28" spans="6:76">
      <c r="F28" t="s">
        <v>1294</v>
      </c>
      <c r="G28" t="s">
        <v>53</v>
      </c>
      <c r="H28" t="s">
        <v>1273</v>
      </c>
      <c r="I28" t="s">
        <v>1324</v>
      </c>
      <c r="O28">
        <v>27</v>
      </c>
      <c r="P28" t="s">
        <v>1357</v>
      </c>
      <c r="Q28" t="s">
        <v>1239</v>
      </c>
      <c r="AW28">
        <v>4</v>
      </c>
      <c r="AX28">
        <v>48.240122999999997</v>
      </c>
      <c r="AY28">
        <v>16.375952999999999</v>
      </c>
      <c r="AZ28">
        <v>1</v>
      </c>
      <c r="BA28">
        <v>1530</v>
      </c>
      <c r="BB28">
        <v>1530</v>
      </c>
      <c r="BC28">
        <v>1</v>
      </c>
      <c r="BD28" t="s">
        <v>1334</v>
      </c>
      <c r="BE28">
        <v>1771726861</v>
      </c>
      <c r="BF28">
        <v>1772135664</v>
      </c>
      <c r="BG28">
        <v>0.97154300000000005</v>
      </c>
      <c r="BH28" t="s">
        <v>21</v>
      </c>
      <c r="BI28">
        <v>2</v>
      </c>
      <c r="BJ28">
        <v>1771726861</v>
      </c>
      <c r="BK28">
        <v>200</v>
      </c>
      <c r="BL28">
        <v>5</v>
      </c>
      <c r="BM28">
        <v>2</v>
      </c>
      <c r="BN28">
        <v>1</v>
      </c>
      <c r="BO28">
        <v>0</v>
      </c>
      <c r="BP28">
        <v>0</v>
      </c>
      <c r="BQ28">
        <v>1</v>
      </c>
      <c r="BR28">
        <v>1</v>
      </c>
      <c r="BT28">
        <v>48</v>
      </c>
      <c r="BU28" s="197" t="s">
        <v>1042</v>
      </c>
      <c r="BV28">
        <v>104048340</v>
      </c>
      <c r="BW28">
        <v>0</v>
      </c>
      <c r="BX28">
        <v>1772203036</v>
      </c>
    </row>
    <row r="29" spans="6:76">
      <c r="F29" t="s">
        <v>1295</v>
      </c>
      <c r="G29" t="s">
        <v>49</v>
      </c>
      <c r="H29" t="s">
        <v>1273</v>
      </c>
      <c r="I29" t="s">
        <v>1325</v>
      </c>
      <c r="O29">
        <v>28</v>
      </c>
      <c r="P29" t="s">
        <v>51</v>
      </c>
      <c r="Q29" t="s">
        <v>1358</v>
      </c>
      <c r="AW29">
        <v>4</v>
      </c>
      <c r="AX29">
        <v>48.240374000000003</v>
      </c>
      <c r="AY29">
        <v>16.376080000000002</v>
      </c>
      <c r="AZ29">
        <v>1</v>
      </c>
      <c r="BA29">
        <v>1464</v>
      </c>
      <c r="BB29">
        <v>1464</v>
      </c>
      <c r="BC29">
        <v>1</v>
      </c>
      <c r="BD29" t="s">
        <v>1334</v>
      </c>
      <c r="BE29">
        <v>1771726864</v>
      </c>
      <c r="BF29">
        <v>1772135664</v>
      </c>
      <c r="BG29">
        <v>0.97154300000000005</v>
      </c>
      <c r="BH29" t="s">
        <v>21</v>
      </c>
      <c r="BI29">
        <v>2</v>
      </c>
      <c r="BJ29">
        <v>1771726864</v>
      </c>
      <c r="BK29">
        <v>200</v>
      </c>
      <c r="BL29">
        <v>5</v>
      </c>
      <c r="BM29">
        <v>2</v>
      </c>
      <c r="BN29">
        <v>1</v>
      </c>
      <c r="BO29">
        <v>0</v>
      </c>
      <c r="BP29">
        <v>0</v>
      </c>
      <c r="BQ29">
        <v>0.95689999999999997</v>
      </c>
      <c r="BR29">
        <v>0.95689999999999997</v>
      </c>
      <c r="BT29">
        <v>49</v>
      </c>
      <c r="BU29" s="197" t="s">
        <v>31</v>
      </c>
      <c r="BV29">
        <v>309</v>
      </c>
      <c r="BW29">
        <v>312</v>
      </c>
      <c r="BX29">
        <v>1772203036</v>
      </c>
    </row>
    <row r="30" spans="6:76">
      <c r="F30" t="s">
        <v>1296</v>
      </c>
      <c r="G30" t="s">
        <v>34</v>
      </c>
      <c r="H30" t="s">
        <v>1263</v>
      </c>
      <c r="I30" t="s">
        <v>1297</v>
      </c>
      <c r="O30">
        <v>29</v>
      </c>
      <c r="P30" t="s">
        <v>759</v>
      </c>
      <c r="Q30" t="s">
        <v>1359</v>
      </c>
      <c r="AW30">
        <v>4</v>
      </c>
      <c r="AX30">
        <v>48.240378999999997</v>
      </c>
      <c r="AY30">
        <v>16.375647000000001</v>
      </c>
      <c r="AZ30">
        <v>1</v>
      </c>
      <c r="BA30">
        <v>1386</v>
      </c>
      <c r="BB30">
        <v>1386</v>
      </c>
      <c r="BC30">
        <v>1</v>
      </c>
      <c r="BD30" t="s">
        <v>1334</v>
      </c>
      <c r="BE30">
        <v>1771726868</v>
      </c>
      <c r="BF30">
        <v>1772135664</v>
      </c>
      <c r="BG30">
        <v>0.97154300000000005</v>
      </c>
      <c r="BH30" t="s">
        <v>21</v>
      </c>
      <c r="BI30">
        <v>2</v>
      </c>
      <c r="BJ30">
        <v>1771726868</v>
      </c>
      <c r="BK30">
        <v>200</v>
      </c>
      <c r="BL30">
        <v>5</v>
      </c>
      <c r="BM30">
        <v>2</v>
      </c>
      <c r="BN30">
        <v>1</v>
      </c>
      <c r="BO30">
        <v>0</v>
      </c>
      <c r="BP30">
        <v>0</v>
      </c>
      <c r="BQ30">
        <v>0.90590000000000004</v>
      </c>
      <c r="BR30">
        <v>0.90590000000000004</v>
      </c>
      <c r="BT30">
        <v>51</v>
      </c>
      <c r="BU30" s="197" t="s">
        <v>63</v>
      </c>
      <c r="BV30">
        <v>35998</v>
      </c>
      <c r="BW30">
        <v>36155</v>
      </c>
      <c r="BX30">
        <v>1772203036</v>
      </c>
    </row>
    <row r="31" spans="6:76">
      <c r="F31" t="s">
        <v>1298</v>
      </c>
      <c r="G31" t="s">
        <v>30</v>
      </c>
      <c r="H31" t="s">
        <v>1273</v>
      </c>
      <c r="I31" t="s">
        <v>1326</v>
      </c>
      <c r="O31">
        <v>30</v>
      </c>
      <c r="P31" t="s">
        <v>47</v>
      </c>
      <c r="Q31" t="s">
        <v>1360</v>
      </c>
      <c r="AW31">
        <v>4</v>
      </c>
      <c r="AX31">
        <v>48.240651</v>
      </c>
      <c r="AY31">
        <v>16.375767</v>
      </c>
      <c r="AZ31">
        <v>1</v>
      </c>
      <c r="BA31">
        <v>1074</v>
      </c>
      <c r="BB31">
        <v>1074</v>
      </c>
      <c r="BC31">
        <v>1</v>
      </c>
      <c r="BD31" t="s">
        <v>1334</v>
      </c>
      <c r="BE31">
        <v>1771726871</v>
      </c>
      <c r="BF31">
        <v>1772135664</v>
      </c>
      <c r="BG31">
        <v>0.97154300000000005</v>
      </c>
      <c r="BH31" t="s">
        <v>21</v>
      </c>
      <c r="BI31">
        <v>2</v>
      </c>
      <c r="BJ31">
        <v>1771726871</v>
      </c>
      <c r="BK31">
        <v>200</v>
      </c>
      <c r="BL31">
        <v>5</v>
      </c>
      <c r="BM31">
        <v>2</v>
      </c>
      <c r="BN31">
        <v>1</v>
      </c>
      <c r="BO31">
        <v>0</v>
      </c>
      <c r="BP31">
        <v>0</v>
      </c>
      <c r="BQ31">
        <v>0.70199999999999996</v>
      </c>
      <c r="BR31">
        <v>0.70199999999999996</v>
      </c>
      <c r="BT31">
        <v>53</v>
      </c>
      <c r="BU31" s="197" t="s">
        <v>27</v>
      </c>
      <c r="BV31">
        <v>357</v>
      </c>
      <c r="BW31">
        <v>0</v>
      </c>
      <c r="BX31">
        <v>1772203036</v>
      </c>
    </row>
    <row r="32" spans="6:76">
      <c r="F32" t="s">
        <v>1299</v>
      </c>
      <c r="G32" t="s">
        <v>54</v>
      </c>
      <c r="H32" t="s">
        <v>1273</v>
      </c>
      <c r="I32" t="s">
        <v>1327</v>
      </c>
      <c r="O32">
        <v>31</v>
      </c>
      <c r="P32" t="s">
        <v>113</v>
      </c>
      <c r="Q32" t="s">
        <v>1361</v>
      </c>
      <c r="AW32">
        <v>4</v>
      </c>
      <c r="AX32">
        <v>48.244112999999999</v>
      </c>
      <c r="AY32">
        <v>16.379694000000001</v>
      </c>
      <c r="AZ32">
        <v>1</v>
      </c>
      <c r="BA32">
        <v>1176</v>
      </c>
      <c r="BB32">
        <v>1176</v>
      </c>
      <c r="BC32">
        <v>1</v>
      </c>
      <c r="BD32" t="s">
        <v>1334</v>
      </c>
      <c r="BE32">
        <v>1771758658</v>
      </c>
      <c r="BF32">
        <v>1772135664</v>
      </c>
      <c r="BG32">
        <v>0.97154300000000005</v>
      </c>
      <c r="BH32" t="s">
        <v>21</v>
      </c>
      <c r="BI32">
        <v>2</v>
      </c>
      <c r="BJ32">
        <v>1771758658</v>
      </c>
      <c r="BK32">
        <v>200</v>
      </c>
      <c r="BL32">
        <v>5</v>
      </c>
      <c r="BM32">
        <v>2</v>
      </c>
      <c r="BN32">
        <v>1</v>
      </c>
      <c r="BO32">
        <v>0</v>
      </c>
      <c r="BP32">
        <v>0</v>
      </c>
      <c r="BQ32">
        <v>0.76859999999999995</v>
      </c>
      <c r="BR32">
        <v>0.76859999999999995</v>
      </c>
      <c r="BT32">
        <v>55</v>
      </c>
      <c r="BU32" s="197" t="s">
        <v>1030</v>
      </c>
      <c r="BV32">
        <v>20060</v>
      </c>
      <c r="BW32">
        <v>23355</v>
      </c>
      <c r="BX32">
        <v>1772203036</v>
      </c>
    </row>
    <row r="33" spans="6:76">
      <c r="F33" t="s">
        <v>1300</v>
      </c>
      <c r="G33" t="s">
        <v>55</v>
      </c>
      <c r="H33" t="s">
        <v>1273</v>
      </c>
      <c r="I33" t="s">
        <v>1328</v>
      </c>
      <c r="O33">
        <v>32</v>
      </c>
      <c r="P33" t="s">
        <v>52</v>
      </c>
      <c r="Q33" t="s">
        <v>1362</v>
      </c>
      <c r="AW33">
        <v>4</v>
      </c>
      <c r="AX33">
        <v>48.244245999999997</v>
      </c>
      <c r="AY33">
        <v>16.380074</v>
      </c>
      <c r="AZ33">
        <v>1</v>
      </c>
      <c r="BA33">
        <v>1122</v>
      </c>
      <c r="BB33">
        <v>1122</v>
      </c>
      <c r="BC33">
        <v>1</v>
      </c>
      <c r="BD33" t="s">
        <v>1334</v>
      </c>
      <c r="BE33">
        <v>1771758662</v>
      </c>
      <c r="BF33">
        <v>1772135664</v>
      </c>
      <c r="BG33">
        <v>0.97154300000000005</v>
      </c>
      <c r="BH33" t="s">
        <v>21</v>
      </c>
      <c r="BI33">
        <v>2</v>
      </c>
      <c r="BJ33">
        <v>1771758662</v>
      </c>
      <c r="BK33">
        <v>200</v>
      </c>
      <c r="BL33">
        <v>5</v>
      </c>
      <c r="BM33">
        <v>2</v>
      </c>
      <c r="BN33">
        <v>1</v>
      </c>
      <c r="BO33">
        <v>0</v>
      </c>
      <c r="BP33">
        <v>0</v>
      </c>
      <c r="BQ33">
        <v>0.73329999999999995</v>
      </c>
      <c r="BR33">
        <v>0.73329999999999995</v>
      </c>
      <c r="BT33">
        <v>57</v>
      </c>
      <c r="BU33" s="197" t="s">
        <v>1017</v>
      </c>
      <c r="BV33">
        <v>19973</v>
      </c>
      <c r="BW33">
        <v>21561</v>
      </c>
      <c r="BX33">
        <v>1772203036</v>
      </c>
    </row>
    <row r="34" spans="6:76">
      <c r="F34" t="s">
        <v>1301</v>
      </c>
      <c r="G34" t="s">
        <v>1024</v>
      </c>
      <c r="H34" t="s">
        <v>1245</v>
      </c>
      <c r="I34" t="s">
        <v>1302</v>
      </c>
      <c r="O34">
        <v>33</v>
      </c>
      <c r="P34" t="s">
        <v>760</v>
      </c>
      <c r="Q34" t="s">
        <v>1363</v>
      </c>
      <c r="AW34">
        <v>4</v>
      </c>
      <c r="AX34">
        <v>48.244185999999999</v>
      </c>
      <c r="AY34">
        <v>16.380517000000001</v>
      </c>
      <c r="AZ34">
        <v>1</v>
      </c>
      <c r="BA34">
        <v>1020</v>
      </c>
      <c r="BB34">
        <v>1020</v>
      </c>
      <c r="BC34">
        <v>1</v>
      </c>
      <c r="BD34" t="s">
        <v>1334</v>
      </c>
      <c r="BE34">
        <v>1771758667</v>
      </c>
      <c r="BF34">
        <v>1772135664</v>
      </c>
      <c r="BG34">
        <v>0.97154300000000005</v>
      </c>
      <c r="BH34" t="s">
        <v>21</v>
      </c>
      <c r="BI34">
        <v>2</v>
      </c>
      <c r="BJ34">
        <v>1771758667</v>
      </c>
      <c r="BK34">
        <v>200</v>
      </c>
      <c r="BL34">
        <v>5</v>
      </c>
      <c r="BM34">
        <v>2</v>
      </c>
      <c r="BN34">
        <v>1</v>
      </c>
      <c r="BO34">
        <v>0</v>
      </c>
      <c r="BP34">
        <v>0</v>
      </c>
      <c r="BQ34">
        <v>0.66669999999999996</v>
      </c>
      <c r="BR34">
        <v>0.66669999999999996</v>
      </c>
      <c r="BT34">
        <v>58</v>
      </c>
      <c r="BU34" s="197" t="s">
        <v>53</v>
      </c>
      <c r="BV34">
        <v>4268</v>
      </c>
      <c r="BW34">
        <v>4785</v>
      </c>
      <c r="BX34">
        <v>1772203036</v>
      </c>
    </row>
    <row r="35" spans="6:76">
      <c r="F35" t="s">
        <v>1303</v>
      </c>
      <c r="G35" t="s">
        <v>1304</v>
      </c>
      <c r="H35" t="s">
        <v>1245</v>
      </c>
      <c r="I35" t="s">
        <v>1305</v>
      </c>
      <c r="O35">
        <v>34</v>
      </c>
      <c r="P35" t="s">
        <v>769</v>
      </c>
      <c r="Q35" t="s">
        <v>1364</v>
      </c>
      <c r="AW35">
        <v>4</v>
      </c>
      <c r="AX35">
        <v>48.244444000000001</v>
      </c>
      <c r="AY35">
        <v>16.38034</v>
      </c>
      <c r="AZ35">
        <v>1</v>
      </c>
      <c r="BA35">
        <v>1044</v>
      </c>
      <c r="BB35">
        <v>1044</v>
      </c>
      <c r="BC35">
        <v>1</v>
      </c>
      <c r="BD35" t="s">
        <v>1334</v>
      </c>
      <c r="BE35">
        <v>1771758672</v>
      </c>
      <c r="BF35">
        <v>1772135664</v>
      </c>
      <c r="BG35">
        <v>0.97154300000000005</v>
      </c>
      <c r="BH35" t="s">
        <v>21</v>
      </c>
      <c r="BI35">
        <v>2</v>
      </c>
      <c r="BJ35">
        <v>1771758672</v>
      </c>
      <c r="BK35">
        <v>200</v>
      </c>
      <c r="BL35">
        <v>5</v>
      </c>
      <c r="BM35">
        <v>2</v>
      </c>
      <c r="BN35">
        <v>1</v>
      </c>
      <c r="BO35">
        <v>0</v>
      </c>
      <c r="BP35">
        <v>0</v>
      </c>
      <c r="BQ35">
        <v>0.68240000000000001</v>
      </c>
      <c r="BR35">
        <v>0.68240000000000001</v>
      </c>
      <c r="BT35">
        <v>60</v>
      </c>
      <c r="BU35" s="197" t="s">
        <v>49</v>
      </c>
      <c r="BV35">
        <v>43144</v>
      </c>
      <c r="BW35">
        <v>49183</v>
      </c>
      <c r="BX35">
        <v>1772203036</v>
      </c>
    </row>
    <row r="36" spans="6:76">
      <c r="O36">
        <v>35</v>
      </c>
      <c r="P36" t="s">
        <v>65</v>
      </c>
      <c r="Q36" t="s">
        <v>1365</v>
      </c>
      <c r="AW36">
        <v>4</v>
      </c>
      <c r="AX36">
        <v>48.235402999999998</v>
      </c>
      <c r="AY36">
        <v>16.382939</v>
      </c>
      <c r="AZ36">
        <v>1</v>
      </c>
      <c r="BA36">
        <v>1032</v>
      </c>
      <c r="BB36">
        <v>1032</v>
      </c>
      <c r="BC36">
        <v>1</v>
      </c>
      <c r="BD36" t="s">
        <v>1334</v>
      </c>
      <c r="BE36">
        <v>1771759049</v>
      </c>
      <c r="BF36">
        <v>1772135664</v>
      </c>
      <c r="BG36">
        <v>0.97154300000000005</v>
      </c>
      <c r="BH36" t="s">
        <v>21</v>
      </c>
      <c r="BI36">
        <v>2</v>
      </c>
      <c r="BJ36">
        <v>1771759049</v>
      </c>
      <c r="BK36">
        <v>200</v>
      </c>
      <c r="BL36">
        <v>5</v>
      </c>
      <c r="BM36">
        <v>2</v>
      </c>
      <c r="BN36">
        <v>1</v>
      </c>
      <c r="BO36">
        <v>0</v>
      </c>
      <c r="BP36">
        <v>0</v>
      </c>
      <c r="BQ36">
        <v>0.67449999999999999</v>
      </c>
      <c r="BR36">
        <v>0.67449999999999999</v>
      </c>
      <c r="BT36">
        <v>66</v>
      </c>
      <c r="BU36" s="197" t="s">
        <v>61</v>
      </c>
      <c r="BV36">
        <v>63711</v>
      </c>
      <c r="BW36">
        <v>65150</v>
      </c>
      <c r="BX36">
        <v>1772203036</v>
      </c>
    </row>
    <row r="37" spans="6:76">
      <c r="O37">
        <v>36</v>
      </c>
      <c r="P37" t="s">
        <v>50</v>
      </c>
      <c r="Q37" t="s">
        <v>1366</v>
      </c>
      <c r="AW37">
        <v>4</v>
      </c>
      <c r="AX37">
        <v>48.228458000000003</v>
      </c>
      <c r="AY37">
        <v>16.389524000000002</v>
      </c>
      <c r="AZ37">
        <v>1</v>
      </c>
      <c r="BA37">
        <v>1218</v>
      </c>
      <c r="BB37">
        <v>1218</v>
      </c>
      <c r="BC37">
        <v>1</v>
      </c>
      <c r="BD37" t="s">
        <v>1334</v>
      </c>
      <c r="BE37">
        <v>1771759170</v>
      </c>
      <c r="BF37">
        <v>1772135664</v>
      </c>
      <c r="BG37">
        <v>0.97154300000000005</v>
      </c>
      <c r="BH37" t="s">
        <v>21</v>
      </c>
      <c r="BI37">
        <v>2</v>
      </c>
      <c r="BJ37">
        <v>1771759170</v>
      </c>
      <c r="BK37">
        <v>200</v>
      </c>
      <c r="BL37">
        <v>5</v>
      </c>
      <c r="BM37">
        <v>2</v>
      </c>
      <c r="BN37">
        <v>1</v>
      </c>
      <c r="BO37">
        <v>0</v>
      </c>
      <c r="BP37">
        <v>0</v>
      </c>
      <c r="BQ37">
        <v>0.79610000000000003</v>
      </c>
      <c r="BR37">
        <v>0.79610000000000003</v>
      </c>
      <c r="BT37">
        <v>67</v>
      </c>
      <c r="BU37" s="197" t="s">
        <v>57</v>
      </c>
      <c r="BV37">
        <v>117430</v>
      </c>
      <c r="BW37">
        <v>117431</v>
      </c>
      <c r="BX37">
        <v>1772203036</v>
      </c>
    </row>
    <row r="38" spans="6:76">
      <c r="O38">
        <v>37</v>
      </c>
      <c r="P38" t="s">
        <v>758</v>
      </c>
      <c r="Q38" t="s">
        <v>1367</v>
      </c>
      <c r="AW38">
        <v>4</v>
      </c>
      <c r="AX38">
        <v>48.228180999999999</v>
      </c>
      <c r="AY38">
        <v>16.389548999999999</v>
      </c>
      <c r="AZ38">
        <v>1</v>
      </c>
      <c r="BA38">
        <v>1152</v>
      </c>
      <c r="BB38">
        <v>1152</v>
      </c>
      <c r="BC38">
        <v>1</v>
      </c>
      <c r="BD38" t="s">
        <v>1334</v>
      </c>
      <c r="BE38">
        <v>1771759173</v>
      </c>
      <c r="BF38">
        <v>1772135664</v>
      </c>
      <c r="BG38">
        <v>0.97154300000000005</v>
      </c>
      <c r="BH38" t="s">
        <v>21</v>
      </c>
      <c r="BI38">
        <v>2</v>
      </c>
      <c r="BJ38">
        <v>1771759173</v>
      </c>
      <c r="BK38">
        <v>200</v>
      </c>
      <c r="BL38">
        <v>5</v>
      </c>
      <c r="BM38">
        <v>2</v>
      </c>
      <c r="BN38">
        <v>1</v>
      </c>
      <c r="BO38">
        <v>0</v>
      </c>
      <c r="BP38">
        <v>0</v>
      </c>
      <c r="BQ38">
        <v>0.75290000000000001</v>
      </c>
      <c r="BR38">
        <v>0.75290000000000001</v>
      </c>
      <c r="BT38">
        <v>70</v>
      </c>
      <c r="BU38" s="197" t="s">
        <v>983</v>
      </c>
      <c r="BV38">
        <v>24372</v>
      </c>
      <c r="BW38">
        <v>30197</v>
      </c>
      <c r="BX38">
        <v>1772203036</v>
      </c>
    </row>
    <row r="39" spans="6:76">
      <c r="O39">
        <v>38</v>
      </c>
      <c r="P39" t="s">
        <v>782</v>
      </c>
      <c r="Q39" t="s">
        <v>1368</v>
      </c>
      <c r="AW39">
        <v>4</v>
      </c>
      <c r="AX39">
        <v>48.227409999999999</v>
      </c>
      <c r="AY39">
        <v>16.389713</v>
      </c>
      <c r="AZ39">
        <v>1</v>
      </c>
      <c r="BA39">
        <v>1044</v>
      </c>
      <c r="BB39">
        <v>1044</v>
      </c>
      <c r="BC39">
        <v>1</v>
      </c>
      <c r="BD39" t="s">
        <v>1334</v>
      </c>
      <c r="BE39">
        <v>1771759179</v>
      </c>
      <c r="BF39">
        <v>1772135664</v>
      </c>
      <c r="BG39">
        <v>0.97154300000000005</v>
      </c>
      <c r="BH39" t="s">
        <v>21</v>
      </c>
      <c r="BI39">
        <v>2</v>
      </c>
      <c r="BJ39">
        <v>1771759179</v>
      </c>
      <c r="BK39">
        <v>200</v>
      </c>
      <c r="BL39">
        <v>5</v>
      </c>
      <c r="BM39">
        <v>2</v>
      </c>
      <c r="BN39">
        <v>1</v>
      </c>
      <c r="BO39">
        <v>0</v>
      </c>
      <c r="BP39">
        <v>0</v>
      </c>
      <c r="BQ39">
        <v>0.68240000000000001</v>
      </c>
      <c r="BR39">
        <v>0.68240000000000001</v>
      </c>
      <c r="BT39">
        <v>74</v>
      </c>
      <c r="BU39" s="197" t="s">
        <v>974</v>
      </c>
      <c r="BV39">
        <v>10356</v>
      </c>
      <c r="BW39">
        <v>12723</v>
      </c>
      <c r="BX39">
        <v>1772203036</v>
      </c>
    </row>
    <row r="40" spans="6:76">
      <c r="O40">
        <v>39</v>
      </c>
      <c r="P40" t="s">
        <v>756</v>
      </c>
      <c r="Q40" t="s">
        <v>1369</v>
      </c>
      <c r="AW40">
        <v>4</v>
      </c>
      <c r="AX40">
        <v>48.196772000000003</v>
      </c>
      <c r="AY40">
        <v>16.385904</v>
      </c>
      <c r="AZ40">
        <v>1</v>
      </c>
      <c r="BA40">
        <v>1284</v>
      </c>
      <c r="BB40">
        <v>1284</v>
      </c>
      <c r="BC40">
        <v>1</v>
      </c>
      <c r="BD40" t="s">
        <v>1334</v>
      </c>
      <c r="BE40">
        <v>1771759602</v>
      </c>
      <c r="BF40">
        <v>1772135664</v>
      </c>
      <c r="BG40">
        <v>0.97154300000000005</v>
      </c>
      <c r="BH40" t="s">
        <v>21</v>
      </c>
      <c r="BI40">
        <v>2</v>
      </c>
      <c r="BJ40">
        <v>1771759602</v>
      </c>
      <c r="BK40">
        <v>200</v>
      </c>
      <c r="BL40">
        <v>5</v>
      </c>
      <c r="BM40">
        <v>2</v>
      </c>
      <c r="BN40">
        <v>1</v>
      </c>
      <c r="BO40">
        <v>0</v>
      </c>
      <c r="BP40">
        <v>0</v>
      </c>
      <c r="BQ40">
        <v>0.83919999999999995</v>
      </c>
      <c r="BR40">
        <v>0.83919999999999995</v>
      </c>
      <c r="BT40">
        <v>75</v>
      </c>
      <c r="BU40" s="197" t="s">
        <v>999</v>
      </c>
      <c r="BV40">
        <v>171496</v>
      </c>
      <c r="BW40">
        <v>0</v>
      </c>
      <c r="BX40">
        <v>1772203036</v>
      </c>
    </row>
    <row r="41" spans="6:76">
      <c r="O41">
        <v>40</v>
      </c>
      <c r="P41" t="s">
        <v>1039</v>
      </c>
      <c r="Q41" t="s">
        <v>1370</v>
      </c>
      <c r="AW41">
        <v>4</v>
      </c>
      <c r="AX41">
        <v>48.196755000000003</v>
      </c>
      <c r="AY41">
        <v>16.385480000000001</v>
      </c>
      <c r="AZ41">
        <v>1</v>
      </c>
      <c r="BA41">
        <v>1284</v>
      </c>
      <c r="BB41">
        <v>1284</v>
      </c>
      <c r="BC41">
        <v>1</v>
      </c>
      <c r="BD41" t="s">
        <v>1334</v>
      </c>
      <c r="BE41">
        <v>1771759605</v>
      </c>
      <c r="BF41">
        <v>1772135664</v>
      </c>
      <c r="BG41">
        <v>0.97154300000000005</v>
      </c>
      <c r="BH41" t="s">
        <v>21</v>
      </c>
      <c r="BI41">
        <v>2</v>
      </c>
      <c r="BJ41">
        <v>1771759605</v>
      </c>
      <c r="BK41">
        <v>200</v>
      </c>
      <c r="BL41">
        <v>5</v>
      </c>
      <c r="BM41">
        <v>2</v>
      </c>
      <c r="BN41">
        <v>1</v>
      </c>
      <c r="BO41">
        <v>0</v>
      </c>
      <c r="BP41">
        <v>0</v>
      </c>
      <c r="BQ41">
        <v>0.83919999999999995</v>
      </c>
      <c r="BR41">
        <v>0.83919999999999995</v>
      </c>
      <c r="BT41">
        <v>77</v>
      </c>
      <c r="BU41" s="197" t="s">
        <v>1018</v>
      </c>
      <c r="BV41">
        <v>9569</v>
      </c>
      <c r="BW41">
        <v>10968</v>
      </c>
      <c r="BX41">
        <v>1772203036</v>
      </c>
    </row>
    <row r="42" spans="6:76">
      <c r="O42">
        <v>41</v>
      </c>
      <c r="P42" t="s">
        <v>840</v>
      </c>
      <c r="Q42" t="s">
        <v>1371</v>
      </c>
      <c r="AW42">
        <v>4</v>
      </c>
      <c r="AX42">
        <v>48.19294</v>
      </c>
      <c r="AY42">
        <v>16.388850999999999</v>
      </c>
      <c r="AZ42">
        <v>1</v>
      </c>
      <c r="BA42">
        <v>1362</v>
      </c>
      <c r="BB42">
        <v>1362</v>
      </c>
      <c r="BC42">
        <v>1</v>
      </c>
      <c r="BD42" t="s">
        <v>1334</v>
      </c>
      <c r="BE42">
        <v>1771759692</v>
      </c>
      <c r="BF42">
        <v>1772135664</v>
      </c>
      <c r="BG42">
        <v>0.97154300000000005</v>
      </c>
      <c r="BH42" t="s">
        <v>21</v>
      </c>
      <c r="BI42">
        <v>2</v>
      </c>
      <c r="BJ42">
        <v>1771759692</v>
      </c>
      <c r="BK42">
        <v>200</v>
      </c>
      <c r="BL42">
        <v>5</v>
      </c>
      <c r="BM42">
        <v>2</v>
      </c>
      <c r="BN42">
        <v>1</v>
      </c>
      <c r="BO42">
        <v>0</v>
      </c>
      <c r="BP42">
        <v>0</v>
      </c>
      <c r="BQ42">
        <v>0.89019999999999999</v>
      </c>
      <c r="BR42">
        <v>0.89019999999999999</v>
      </c>
      <c r="BT42">
        <v>78</v>
      </c>
      <c r="BU42" s="197" t="s">
        <v>1034</v>
      </c>
      <c r="BV42">
        <v>159787</v>
      </c>
      <c r="BW42">
        <v>191392</v>
      </c>
      <c r="BX42">
        <v>1772203036</v>
      </c>
    </row>
    <row r="43" spans="6:76">
      <c r="O43">
        <v>42</v>
      </c>
      <c r="P43" t="s">
        <v>1285</v>
      </c>
      <c r="Q43" t="s">
        <v>1372</v>
      </c>
      <c r="AW43">
        <v>4</v>
      </c>
      <c r="AX43">
        <v>48.187635999999998</v>
      </c>
      <c r="AY43">
        <v>16.390423999999999</v>
      </c>
      <c r="AZ43">
        <v>1</v>
      </c>
      <c r="BA43">
        <v>1284</v>
      </c>
      <c r="BB43">
        <v>1284</v>
      </c>
      <c r="BC43">
        <v>1</v>
      </c>
      <c r="BD43" t="s">
        <v>1334</v>
      </c>
      <c r="BE43">
        <v>1771759751</v>
      </c>
      <c r="BF43">
        <v>1772135664</v>
      </c>
      <c r="BG43">
        <v>0.97154300000000005</v>
      </c>
      <c r="BH43" t="s">
        <v>21</v>
      </c>
      <c r="BI43">
        <v>2</v>
      </c>
      <c r="BJ43">
        <v>1771759751</v>
      </c>
      <c r="BK43">
        <v>200</v>
      </c>
      <c r="BL43">
        <v>5</v>
      </c>
      <c r="BM43">
        <v>2</v>
      </c>
      <c r="BN43">
        <v>1</v>
      </c>
      <c r="BO43">
        <v>0</v>
      </c>
      <c r="BP43">
        <v>0</v>
      </c>
      <c r="BQ43">
        <v>0.83919999999999995</v>
      </c>
      <c r="BR43">
        <v>0.83919999999999995</v>
      </c>
      <c r="BT43">
        <v>79</v>
      </c>
      <c r="BU43" s="197" t="s">
        <v>66</v>
      </c>
      <c r="BV43">
        <v>61076</v>
      </c>
      <c r="BW43">
        <v>61076</v>
      </c>
      <c r="BX43">
        <v>1772203036</v>
      </c>
    </row>
    <row r="44" spans="6:76">
      <c r="O44">
        <v>43</v>
      </c>
      <c r="P44" t="s">
        <v>1002</v>
      </c>
      <c r="Q44" t="s">
        <v>1373</v>
      </c>
      <c r="AW44">
        <v>4</v>
      </c>
      <c r="AX44">
        <v>48.187294999999999</v>
      </c>
      <c r="AY44">
        <v>16.389721000000002</v>
      </c>
      <c r="AZ44">
        <v>1</v>
      </c>
      <c r="BA44">
        <v>1206</v>
      </c>
      <c r="BB44">
        <v>1206</v>
      </c>
      <c r="BC44">
        <v>1</v>
      </c>
      <c r="BD44" t="s">
        <v>1334</v>
      </c>
      <c r="BE44">
        <v>1771759755</v>
      </c>
      <c r="BF44">
        <v>1772135664</v>
      </c>
      <c r="BG44">
        <v>0.97154300000000005</v>
      </c>
      <c r="BH44" t="s">
        <v>21</v>
      </c>
      <c r="BI44">
        <v>2</v>
      </c>
      <c r="BJ44">
        <v>1771759755</v>
      </c>
      <c r="BK44">
        <v>200</v>
      </c>
      <c r="BL44">
        <v>5</v>
      </c>
      <c r="BM44">
        <v>2</v>
      </c>
      <c r="BN44">
        <v>1</v>
      </c>
      <c r="BO44">
        <v>0</v>
      </c>
      <c r="BP44">
        <v>0</v>
      </c>
      <c r="BQ44">
        <v>0.78820000000000001</v>
      </c>
      <c r="BR44">
        <v>0.78820000000000001</v>
      </c>
      <c r="BT44">
        <v>81</v>
      </c>
      <c r="BU44" s="197" t="s">
        <v>34</v>
      </c>
      <c r="BV44">
        <v>3014</v>
      </c>
      <c r="BW44">
        <v>3391</v>
      </c>
      <c r="BX44">
        <v>1772203036</v>
      </c>
    </row>
    <row r="45" spans="6:76">
      <c r="O45">
        <v>44</v>
      </c>
      <c r="P45" t="s">
        <v>1031</v>
      </c>
      <c r="Q45" t="s">
        <v>1374</v>
      </c>
      <c r="AW45">
        <v>4</v>
      </c>
      <c r="AX45">
        <v>48.185617999999998</v>
      </c>
      <c r="AY45">
        <v>16.397310000000001</v>
      </c>
      <c r="AZ45">
        <v>1</v>
      </c>
      <c r="BA45">
        <v>1386</v>
      </c>
      <c r="BB45">
        <v>1386</v>
      </c>
      <c r="BC45">
        <v>1</v>
      </c>
      <c r="BD45" t="s">
        <v>1334</v>
      </c>
      <c r="BE45">
        <v>1771762197</v>
      </c>
      <c r="BF45">
        <v>1772135664</v>
      </c>
      <c r="BG45">
        <v>0.97154300000000005</v>
      </c>
      <c r="BH45" t="s">
        <v>21</v>
      </c>
      <c r="BI45">
        <v>2</v>
      </c>
      <c r="BJ45">
        <v>1771762197</v>
      </c>
      <c r="BK45">
        <v>200</v>
      </c>
      <c r="BL45">
        <v>5</v>
      </c>
      <c r="BM45">
        <v>2</v>
      </c>
      <c r="BN45">
        <v>1</v>
      </c>
      <c r="BO45">
        <v>0</v>
      </c>
      <c r="BP45">
        <v>0</v>
      </c>
      <c r="BQ45">
        <v>0.90590000000000004</v>
      </c>
      <c r="BR45">
        <v>0.90590000000000004</v>
      </c>
      <c r="BT45">
        <v>84</v>
      </c>
      <c r="BU45" s="197" t="s">
        <v>67</v>
      </c>
      <c r="BV45">
        <v>2092699</v>
      </c>
      <c r="BW45">
        <v>2092699</v>
      </c>
      <c r="BX45">
        <v>1772203036</v>
      </c>
    </row>
    <row r="46" spans="6:76">
      <c r="O46">
        <v>45</v>
      </c>
      <c r="P46" t="s">
        <v>1040</v>
      </c>
      <c r="Q46" t="s">
        <v>1375</v>
      </c>
      <c r="AW46">
        <v>4</v>
      </c>
      <c r="AX46">
        <v>48.188000000000002</v>
      </c>
      <c r="AY46">
        <v>16.409108</v>
      </c>
      <c r="AZ46">
        <v>1</v>
      </c>
      <c r="BA46">
        <v>978</v>
      </c>
      <c r="BB46">
        <v>978</v>
      </c>
      <c r="BC46">
        <v>1</v>
      </c>
      <c r="BD46" t="s">
        <v>1334</v>
      </c>
      <c r="BE46">
        <v>1771762302</v>
      </c>
      <c r="BF46">
        <v>1772135664</v>
      </c>
      <c r="BG46">
        <v>0.97154300000000005</v>
      </c>
      <c r="BH46" t="s">
        <v>21</v>
      </c>
      <c r="BI46">
        <v>2</v>
      </c>
      <c r="BJ46">
        <v>1771762302</v>
      </c>
      <c r="BK46">
        <v>200</v>
      </c>
      <c r="BL46">
        <v>5</v>
      </c>
      <c r="BM46">
        <v>2</v>
      </c>
      <c r="BN46">
        <v>1</v>
      </c>
      <c r="BO46">
        <v>0</v>
      </c>
      <c r="BP46">
        <v>0</v>
      </c>
      <c r="BQ46">
        <v>0.63919999999999999</v>
      </c>
      <c r="BR46">
        <v>0.63919999999999999</v>
      </c>
      <c r="BT46">
        <v>87</v>
      </c>
      <c r="BU46" s="197" t="s">
        <v>56</v>
      </c>
      <c r="BV46">
        <v>277789</v>
      </c>
      <c r="BW46">
        <v>280566</v>
      </c>
      <c r="BX46">
        <v>1772203036</v>
      </c>
    </row>
    <row r="47" spans="6:76">
      <c r="O47">
        <v>46</v>
      </c>
      <c r="P47" t="s">
        <v>1041</v>
      </c>
      <c r="Q47" t="s">
        <v>1376</v>
      </c>
      <c r="AW47">
        <v>4</v>
      </c>
      <c r="AX47">
        <v>48.189864</v>
      </c>
      <c r="AY47">
        <v>16.411908</v>
      </c>
      <c r="AZ47">
        <v>1</v>
      </c>
      <c r="BA47">
        <v>1284</v>
      </c>
      <c r="BB47">
        <v>1284</v>
      </c>
      <c r="BC47">
        <v>1</v>
      </c>
      <c r="BD47" t="s">
        <v>1334</v>
      </c>
      <c r="BE47">
        <v>1771762314</v>
      </c>
      <c r="BF47">
        <v>1772135664</v>
      </c>
      <c r="BG47">
        <v>0.97154300000000005</v>
      </c>
      <c r="BH47" t="s">
        <v>21</v>
      </c>
      <c r="BI47">
        <v>2</v>
      </c>
      <c r="BJ47">
        <v>1771762314</v>
      </c>
      <c r="BK47">
        <v>200</v>
      </c>
      <c r="BL47">
        <v>5</v>
      </c>
      <c r="BM47">
        <v>2</v>
      </c>
      <c r="BN47">
        <v>1</v>
      </c>
      <c r="BO47">
        <v>0</v>
      </c>
      <c r="BP47">
        <v>0</v>
      </c>
      <c r="BQ47">
        <v>0.83919999999999995</v>
      </c>
      <c r="BR47">
        <v>0.83919999999999995</v>
      </c>
      <c r="BT47">
        <v>90</v>
      </c>
      <c r="BU47" s="197" t="s">
        <v>30</v>
      </c>
      <c r="BV47">
        <v>460</v>
      </c>
      <c r="BW47">
        <v>501</v>
      </c>
      <c r="BX47">
        <v>1772203036</v>
      </c>
    </row>
    <row r="48" spans="6:76">
      <c r="O48">
        <v>48</v>
      </c>
      <c r="P48" t="s">
        <v>1042</v>
      </c>
      <c r="Q48" t="s">
        <v>1377</v>
      </c>
      <c r="AW48">
        <v>4</v>
      </c>
      <c r="AX48">
        <v>48.190353000000002</v>
      </c>
      <c r="AY48">
        <v>16.412393999999999</v>
      </c>
      <c r="AZ48">
        <v>1</v>
      </c>
      <c r="BA48">
        <v>966</v>
      </c>
      <c r="BB48">
        <v>966</v>
      </c>
      <c r="BC48">
        <v>1</v>
      </c>
      <c r="BD48" t="s">
        <v>1334</v>
      </c>
      <c r="BE48">
        <v>1771762317</v>
      </c>
      <c r="BF48">
        <v>1772135664</v>
      </c>
      <c r="BG48">
        <v>0.97154300000000005</v>
      </c>
      <c r="BH48" t="s">
        <v>21</v>
      </c>
      <c r="BI48">
        <v>2</v>
      </c>
      <c r="BJ48">
        <v>1771762317</v>
      </c>
      <c r="BK48">
        <v>200</v>
      </c>
      <c r="BL48">
        <v>5</v>
      </c>
      <c r="BM48">
        <v>2</v>
      </c>
      <c r="BN48">
        <v>1</v>
      </c>
      <c r="BO48">
        <v>0</v>
      </c>
      <c r="BP48">
        <v>0</v>
      </c>
      <c r="BQ48">
        <v>0.63139999999999996</v>
      </c>
      <c r="BR48">
        <v>0.63139999999999996</v>
      </c>
      <c r="BT48">
        <v>92</v>
      </c>
      <c r="BU48" s="197" t="s">
        <v>54</v>
      </c>
      <c r="BV48">
        <v>28131</v>
      </c>
      <c r="BW48">
        <v>30603</v>
      </c>
      <c r="BX48">
        <v>1772203036</v>
      </c>
    </row>
    <row r="49" spans="15:76">
      <c r="O49">
        <v>49</v>
      </c>
      <c r="P49" t="s">
        <v>31</v>
      </c>
      <c r="Q49" t="s">
        <v>1378</v>
      </c>
      <c r="AW49">
        <v>4</v>
      </c>
      <c r="AX49">
        <v>48.213403</v>
      </c>
      <c r="AY49">
        <v>16.445713000000001</v>
      </c>
      <c r="AZ49">
        <v>1</v>
      </c>
      <c r="BA49">
        <v>1176</v>
      </c>
      <c r="BB49">
        <v>1176</v>
      </c>
      <c r="BC49">
        <v>1</v>
      </c>
      <c r="BD49" t="s">
        <v>1334</v>
      </c>
      <c r="BE49">
        <v>1771762487</v>
      </c>
      <c r="BF49">
        <v>1772135664</v>
      </c>
      <c r="BG49">
        <v>0.97154300000000005</v>
      </c>
      <c r="BH49" t="s">
        <v>21</v>
      </c>
      <c r="BI49">
        <v>2</v>
      </c>
      <c r="BJ49">
        <v>1771762487</v>
      </c>
      <c r="BK49">
        <v>200</v>
      </c>
      <c r="BL49">
        <v>5</v>
      </c>
      <c r="BM49">
        <v>2</v>
      </c>
      <c r="BN49">
        <v>1</v>
      </c>
      <c r="BO49">
        <v>0</v>
      </c>
      <c r="BP49">
        <v>0</v>
      </c>
      <c r="BQ49">
        <v>0.76859999999999995</v>
      </c>
      <c r="BR49">
        <v>0.76859999999999995</v>
      </c>
      <c r="BT49">
        <v>93</v>
      </c>
      <c r="BU49" s="197" t="s">
        <v>55</v>
      </c>
      <c r="BV49">
        <v>205031</v>
      </c>
      <c r="BW49">
        <v>207151</v>
      </c>
      <c r="BX49">
        <v>1772203036</v>
      </c>
    </row>
    <row r="50" spans="15:76">
      <c r="O50">
        <v>50</v>
      </c>
      <c r="P50" t="s">
        <v>1379</v>
      </c>
      <c r="Q50" t="s">
        <v>1239</v>
      </c>
      <c r="AW50">
        <v>4</v>
      </c>
      <c r="AX50">
        <v>48.217440000000003</v>
      </c>
      <c r="AY50">
        <v>16.447018</v>
      </c>
      <c r="AZ50">
        <v>1</v>
      </c>
      <c r="BA50">
        <v>1296</v>
      </c>
      <c r="BB50">
        <v>1296</v>
      </c>
      <c r="BC50">
        <v>1</v>
      </c>
      <c r="BD50" t="s">
        <v>1334</v>
      </c>
      <c r="BE50">
        <v>1771762509</v>
      </c>
      <c r="BF50">
        <v>1772135664</v>
      </c>
      <c r="BG50">
        <v>0.97154300000000005</v>
      </c>
      <c r="BH50" t="s">
        <v>21</v>
      </c>
      <c r="BI50">
        <v>2</v>
      </c>
      <c r="BJ50">
        <v>1771762509</v>
      </c>
      <c r="BK50">
        <v>200</v>
      </c>
      <c r="BL50">
        <v>5</v>
      </c>
      <c r="BM50">
        <v>2</v>
      </c>
      <c r="BN50">
        <v>1</v>
      </c>
      <c r="BO50">
        <v>0</v>
      </c>
      <c r="BP50">
        <v>0</v>
      </c>
      <c r="BQ50">
        <v>0.84709999999999996</v>
      </c>
      <c r="BR50">
        <v>0.84709999999999996</v>
      </c>
      <c r="BT50">
        <v>96</v>
      </c>
      <c r="BU50" s="197" t="s">
        <v>1024</v>
      </c>
      <c r="BV50">
        <v>901960</v>
      </c>
      <c r="BW50">
        <v>1074300</v>
      </c>
      <c r="BX50">
        <v>1772203036</v>
      </c>
    </row>
    <row r="51" spans="15:76">
      <c r="O51">
        <v>51</v>
      </c>
      <c r="P51" t="s">
        <v>63</v>
      </c>
      <c r="Q51" t="s">
        <v>1380</v>
      </c>
      <c r="AW51">
        <v>4</v>
      </c>
      <c r="AX51">
        <v>48.232132</v>
      </c>
      <c r="AY51">
        <v>16.45402</v>
      </c>
      <c r="AZ51">
        <v>1</v>
      </c>
      <c r="BA51">
        <v>1098</v>
      </c>
      <c r="BB51">
        <v>1098</v>
      </c>
      <c r="BC51">
        <v>1</v>
      </c>
      <c r="BD51" t="s">
        <v>1334</v>
      </c>
      <c r="BE51">
        <v>1771762594</v>
      </c>
      <c r="BF51">
        <v>1772135664</v>
      </c>
      <c r="BG51">
        <v>0.97154300000000005</v>
      </c>
      <c r="BH51" t="s">
        <v>21</v>
      </c>
      <c r="BI51">
        <v>2</v>
      </c>
      <c r="BJ51">
        <v>1771762594</v>
      </c>
      <c r="BK51">
        <v>200</v>
      </c>
      <c r="BL51">
        <v>5</v>
      </c>
      <c r="BM51">
        <v>2</v>
      </c>
      <c r="BN51">
        <v>1</v>
      </c>
      <c r="BO51">
        <v>0</v>
      </c>
      <c r="BP51">
        <v>0</v>
      </c>
      <c r="BQ51">
        <v>0.71760000000000002</v>
      </c>
      <c r="BR51">
        <v>0.71760000000000002</v>
      </c>
      <c r="BT51">
        <v>98</v>
      </c>
      <c r="BU51" s="197" t="s">
        <v>820</v>
      </c>
      <c r="BV51">
        <v>9015284</v>
      </c>
      <c r="BW51">
        <v>10828000</v>
      </c>
      <c r="BX51">
        <v>1772203036</v>
      </c>
    </row>
    <row r="52" spans="15:76">
      <c r="O52">
        <v>52</v>
      </c>
      <c r="P52" t="s">
        <v>767</v>
      </c>
      <c r="Q52" t="s">
        <v>1381</v>
      </c>
      <c r="AW52">
        <v>4</v>
      </c>
      <c r="AX52">
        <v>48.232419</v>
      </c>
      <c r="AY52">
        <v>16.454270999999999</v>
      </c>
      <c r="AZ52">
        <v>1</v>
      </c>
      <c r="BA52">
        <v>1176</v>
      </c>
      <c r="BB52">
        <v>1176</v>
      </c>
      <c r="BC52">
        <v>1</v>
      </c>
      <c r="BD52" t="s">
        <v>1334</v>
      </c>
      <c r="BE52">
        <v>1771762603</v>
      </c>
      <c r="BF52">
        <v>1772135664</v>
      </c>
      <c r="BG52">
        <v>0.97154300000000005</v>
      </c>
      <c r="BH52" t="s">
        <v>21</v>
      </c>
      <c r="BI52">
        <v>2</v>
      </c>
      <c r="BJ52">
        <v>1771762603</v>
      </c>
      <c r="BK52">
        <v>200</v>
      </c>
      <c r="BL52">
        <v>5</v>
      </c>
      <c r="BM52">
        <v>2</v>
      </c>
      <c r="BN52">
        <v>1</v>
      </c>
      <c r="BO52">
        <v>0</v>
      </c>
      <c r="BP52">
        <v>0</v>
      </c>
      <c r="BQ52">
        <v>0.76859999999999995</v>
      </c>
      <c r="BR52">
        <v>0.76859999999999995</v>
      </c>
      <c r="BT52">
        <v>99</v>
      </c>
      <c r="BU52" s="197" t="s">
        <v>1000</v>
      </c>
      <c r="BV52">
        <v>27606409</v>
      </c>
      <c r="BW52">
        <v>34372901</v>
      </c>
      <c r="BX52">
        <v>1772203036</v>
      </c>
    </row>
    <row r="53" spans="15:76">
      <c r="O53">
        <v>53</v>
      </c>
      <c r="P53" t="s">
        <v>27</v>
      </c>
      <c r="Q53" t="s">
        <v>1382</v>
      </c>
      <c r="AW53">
        <v>4</v>
      </c>
      <c r="AX53">
        <v>48.237132000000003</v>
      </c>
      <c r="AY53">
        <v>16.458268</v>
      </c>
      <c r="AZ53">
        <v>1</v>
      </c>
      <c r="BA53">
        <v>1230</v>
      </c>
      <c r="BB53">
        <v>1230</v>
      </c>
      <c r="BC53">
        <v>1</v>
      </c>
      <c r="BD53" t="s">
        <v>1334</v>
      </c>
      <c r="BE53">
        <v>1771762618</v>
      </c>
      <c r="BF53">
        <v>1772135664</v>
      </c>
      <c r="BG53">
        <v>0.97154300000000005</v>
      </c>
      <c r="BH53" t="s">
        <v>21</v>
      </c>
      <c r="BI53">
        <v>2</v>
      </c>
      <c r="BJ53">
        <v>1771762618</v>
      </c>
      <c r="BK53">
        <v>200</v>
      </c>
      <c r="BL53">
        <v>5</v>
      </c>
      <c r="BM53">
        <v>2</v>
      </c>
      <c r="BN53">
        <v>1</v>
      </c>
      <c r="BO53">
        <v>0</v>
      </c>
      <c r="BP53">
        <v>0</v>
      </c>
      <c r="BQ53">
        <v>0.80389999999999995</v>
      </c>
      <c r="BR53">
        <v>0.80389999999999995</v>
      </c>
      <c r="BT53">
        <v>102</v>
      </c>
      <c r="BU53" s="197" t="s">
        <v>1023</v>
      </c>
      <c r="BV53">
        <v>988590</v>
      </c>
      <c r="BW53">
        <v>1363500</v>
      </c>
      <c r="BX53">
        <v>1772203036</v>
      </c>
    </row>
    <row r="54" spans="15:76">
      <c r="O54">
        <v>54</v>
      </c>
      <c r="P54" t="s">
        <v>1383</v>
      </c>
      <c r="Q54" t="s">
        <v>1239</v>
      </c>
      <c r="AW54">
        <v>4</v>
      </c>
      <c r="AX54">
        <v>48.237780999999998</v>
      </c>
      <c r="AY54">
        <v>16.458417000000001</v>
      </c>
      <c r="AZ54">
        <v>1</v>
      </c>
      <c r="BA54">
        <v>1320</v>
      </c>
      <c r="BB54">
        <v>1320</v>
      </c>
      <c r="BC54">
        <v>1</v>
      </c>
      <c r="BD54" t="s">
        <v>1334</v>
      </c>
      <c r="BE54">
        <v>1771762624</v>
      </c>
      <c r="BF54">
        <v>1772135664</v>
      </c>
      <c r="BG54">
        <v>0.97154300000000005</v>
      </c>
      <c r="BH54" t="s">
        <v>21</v>
      </c>
      <c r="BI54">
        <v>2</v>
      </c>
      <c r="BJ54">
        <v>1771762624</v>
      </c>
      <c r="BK54">
        <v>200</v>
      </c>
      <c r="BL54">
        <v>5</v>
      </c>
      <c r="BM54">
        <v>2</v>
      </c>
      <c r="BN54">
        <v>1</v>
      </c>
      <c r="BO54">
        <v>0</v>
      </c>
      <c r="BP54">
        <v>0</v>
      </c>
      <c r="BQ54">
        <v>0.86270000000000002</v>
      </c>
      <c r="BR54">
        <v>0.86270000000000002</v>
      </c>
      <c r="BT54">
        <v>103</v>
      </c>
      <c r="BU54" s="197" t="s">
        <v>818</v>
      </c>
      <c r="BV54">
        <v>10854366</v>
      </c>
      <c r="BW54">
        <v>12400000</v>
      </c>
      <c r="BX54">
        <v>1772203036</v>
      </c>
    </row>
    <row r="55" spans="15:76">
      <c r="O55">
        <v>55</v>
      </c>
      <c r="P55" t="s">
        <v>1030</v>
      </c>
      <c r="Q55" t="s">
        <v>1384</v>
      </c>
      <c r="AW55">
        <v>4</v>
      </c>
      <c r="AX55">
        <v>48.264820999999998</v>
      </c>
      <c r="AY55">
        <v>16.476383999999999</v>
      </c>
      <c r="AZ55">
        <v>1</v>
      </c>
      <c r="BA55">
        <v>1062</v>
      </c>
      <c r="BB55">
        <v>1062</v>
      </c>
      <c r="BC55">
        <v>1</v>
      </c>
      <c r="BD55" t="s">
        <v>1334</v>
      </c>
      <c r="BE55">
        <v>1771762779</v>
      </c>
      <c r="BF55">
        <v>1772135664</v>
      </c>
      <c r="BG55">
        <v>0.97154300000000005</v>
      </c>
      <c r="BH55" t="s">
        <v>21</v>
      </c>
      <c r="BI55">
        <v>2</v>
      </c>
      <c r="BJ55">
        <v>1771762779</v>
      </c>
      <c r="BK55">
        <v>200</v>
      </c>
      <c r="BL55">
        <v>5</v>
      </c>
      <c r="BM55">
        <v>2</v>
      </c>
      <c r="BN55">
        <v>1</v>
      </c>
      <c r="BO55">
        <v>0</v>
      </c>
      <c r="BP55">
        <v>0</v>
      </c>
      <c r="BQ55">
        <v>0.69410000000000005</v>
      </c>
      <c r="BR55">
        <v>0.69410000000000005</v>
      </c>
      <c r="BT55">
        <v>104</v>
      </c>
      <c r="BU55" s="197" t="s">
        <v>1001</v>
      </c>
      <c r="BV55">
        <v>37803242</v>
      </c>
      <c r="BW55">
        <v>48424148</v>
      </c>
      <c r="BX55">
        <v>1772203036</v>
      </c>
    </row>
    <row r="56" spans="15:76">
      <c r="O56">
        <v>57</v>
      </c>
      <c r="P56" t="s">
        <v>1017</v>
      </c>
      <c r="Q56" t="s">
        <v>1385</v>
      </c>
      <c r="AW56">
        <v>4</v>
      </c>
      <c r="AX56">
        <v>48.265360000000001</v>
      </c>
      <c r="AY56">
        <v>16.476614999999999</v>
      </c>
      <c r="AZ56">
        <v>1</v>
      </c>
      <c r="BA56">
        <v>1020</v>
      </c>
      <c r="BB56">
        <v>1020</v>
      </c>
      <c r="BC56">
        <v>1</v>
      </c>
      <c r="BD56" t="s">
        <v>1334</v>
      </c>
      <c r="BE56">
        <v>1771762783</v>
      </c>
      <c r="BF56">
        <v>1772135664</v>
      </c>
      <c r="BG56">
        <v>0.97154300000000005</v>
      </c>
      <c r="BH56" t="s">
        <v>21</v>
      </c>
      <c r="BI56">
        <v>2</v>
      </c>
      <c r="BJ56">
        <v>1771762783</v>
      </c>
      <c r="BK56">
        <v>200</v>
      </c>
      <c r="BL56">
        <v>5</v>
      </c>
      <c r="BM56">
        <v>2</v>
      </c>
      <c r="BN56">
        <v>1</v>
      </c>
      <c r="BO56">
        <v>0</v>
      </c>
      <c r="BP56">
        <v>0</v>
      </c>
      <c r="BQ56">
        <v>0.66669999999999996</v>
      </c>
      <c r="BR56">
        <v>0.66669999999999996</v>
      </c>
      <c r="BT56">
        <v>115</v>
      </c>
      <c r="BU56" s="197" t="s">
        <v>1007</v>
      </c>
      <c r="BV56">
        <v>32002</v>
      </c>
      <c r="BW56">
        <v>39188</v>
      </c>
      <c r="BX56">
        <v>1772203036</v>
      </c>
    </row>
    <row r="57" spans="15:76">
      <c r="O57">
        <v>58</v>
      </c>
      <c r="P57" t="s">
        <v>53</v>
      </c>
      <c r="Q57" t="s">
        <v>1386</v>
      </c>
      <c r="AW57">
        <v>4</v>
      </c>
      <c r="AX57">
        <v>48.267189999999999</v>
      </c>
      <c r="AY57">
        <v>16.498518000000001</v>
      </c>
      <c r="AZ57">
        <v>1</v>
      </c>
      <c r="BA57">
        <v>1176</v>
      </c>
      <c r="BB57">
        <v>1176</v>
      </c>
      <c r="BC57">
        <v>1</v>
      </c>
      <c r="BD57" t="s">
        <v>1334</v>
      </c>
      <c r="BE57">
        <v>1771762859</v>
      </c>
      <c r="BF57">
        <v>1772135664</v>
      </c>
      <c r="BG57">
        <v>0.97154300000000005</v>
      </c>
      <c r="BH57" t="s">
        <v>21</v>
      </c>
      <c r="BI57">
        <v>2</v>
      </c>
      <c r="BJ57">
        <v>1771762859</v>
      </c>
      <c r="BK57">
        <v>200</v>
      </c>
      <c r="BL57">
        <v>5</v>
      </c>
      <c r="BM57">
        <v>2</v>
      </c>
      <c r="BN57">
        <v>1</v>
      </c>
      <c r="BO57">
        <v>0</v>
      </c>
      <c r="BP57">
        <v>0</v>
      </c>
      <c r="BQ57">
        <v>0.76859999999999995</v>
      </c>
      <c r="BR57">
        <v>0.76859999999999995</v>
      </c>
      <c r="BT57">
        <v>117</v>
      </c>
      <c r="BU57" s="197" t="s">
        <v>988</v>
      </c>
      <c r="BV57">
        <v>95975976</v>
      </c>
      <c r="BW57">
        <v>0</v>
      </c>
      <c r="BX57">
        <v>1772203036</v>
      </c>
    </row>
    <row r="58" spans="15:76">
      <c r="O58">
        <v>59</v>
      </c>
      <c r="P58" t="s">
        <v>1037</v>
      </c>
      <c r="Q58" t="s">
        <v>1387</v>
      </c>
      <c r="AW58">
        <v>4</v>
      </c>
      <c r="AX58">
        <v>48.297842000000003</v>
      </c>
      <c r="AY58">
        <v>16.509616000000001</v>
      </c>
      <c r="AZ58">
        <v>1</v>
      </c>
      <c r="BA58">
        <v>1044</v>
      </c>
      <c r="BB58">
        <v>1044</v>
      </c>
      <c r="BC58">
        <v>1</v>
      </c>
      <c r="BD58" t="s">
        <v>1334</v>
      </c>
      <c r="BE58">
        <v>1771763002</v>
      </c>
      <c r="BF58">
        <v>1772135664</v>
      </c>
      <c r="BG58">
        <v>0.97154300000000005</v>
      </c>
      <c r="BH58" t="s">
        <v>21</v>
      </c>
      <c r="BI58">
        <v>2</v>
      </c>
      <c r="BJ58">
        <v>1771763002</v>
      </c>
      <c r="BK58">
        <v>200</v>
      </c>
      <c r="BL58">
        <v>5</v>
      </c>
      <c r="BM58">
        <v>2</v>
      </c>
      <c r="BN58">
        <v>1</v>
      </c>
      <c r="BO58">
        <v>0</v>
      </c>
      <c r="BP58">
        <v>0</v>
      </c>
      <c r="BQ58">
        <v>0.68240000000000001</v>
      </c>
      <c r="BR58">
        <v>0.68240000000000001</v>
      </c>
      <c r="BT58">
        <v>120</v>
      </c>
      <c r="BU58" s="197" t="s">
        <v>1032</v>
      </c>
      <c r="BV58">
        <v>9738851</v>
      </c>
      <c r="BW58">
        <v>11539372</v>
      </c>
      <c r="BX58">
        <v>1772203036</v>
      </c>
    </row>
    <row r="59" spans="15:76">
      <c r="O59">
        <v>60</v>
      </c>
      <c r="P59" t="s">
        <v>49</v>
      </c>
      <c r="Q59" t="s">
        <v>1388</v>
      </c>
      <c r="AW59">
        <v>4</v>
      </c>
      <c r="AX59">
        <v>48.298971999999999</v>
      </c>
      <c r="AY59">
        <v>16.509308999999998</v>
      </c>
      <c r="AZ59">
        <v>1</v>
      </c>
      <c r="BA59">
        <v>1008</v>
      </c>
      <c r="BB59">
        <v>1008</v>
      </c>
      <c r="BC59">
        <v>1</v>
      </c>
      <c r="BD59" t="s">
        <v>1334</v>
      </c>
      <c r="BE59">
        <v>1771763006</v>
      </c>
      <c r="BF59">
        <v>1772135664</v>
      </c>
      <c r="BG59">
        <v>0.97154300000000005</v>
      </c>
      <c r="BH59" t="s">
        <v>21</v>
      </c>
      <c r="BI59">
        <v>2</v>
      </c>
      <c r="BJ59">
        <v>1771763006</v>
      </c>
      <c r="BK59">
        <v>200</v>
      </c>
      <c r="BL59">
        <v>5</v>
      </c>
      <c r="BM59">
        <v>2</v>
      </c>
      <c r="BN59">
        <v>1</v>
      </c>
      <c r="BO59">
        <v>0</v>
      </c>
      <c r="BP59">
        <v>0</v>
      </c>
      <c r="BQ59">
        <v>0.65880000000000005</v>
      </c>
      <c r="BR59">
        <v>0.65880000000000005</v>
      </c>
      <c r="BT59">
        <v>124</v>
      </c>
      <c r="BU59" s="197" t="s">
        <v>35</v>
      </c>
      <c r="BV59">
        <v>293067</v>
      </c>
      <c r="BW59">
        <v>293375</v>
      </c>
      <c r="BX59">
        <v>1772203036</v>
      </c>
    </row>
    <row r="60" spans="15:76">
      <c r="O60">
        <v>61</v>
      </c>
      <c r="P60" t="s">
        <v>1190</v>
      </c>
      <c r="Q60" t="s">
        <v>1389</v>
      </c>
      <c r="AW60">
        <v>4</v>
      </c>
      <c r="AX60">
        <v>48.352176</v>
      </c>
      <c r="AY60">
        <v>16.483148</v>
      </c>
      <c r="AZ60">
        <v>1</v>
      </c>
      <c r="BA60">
        <v>1464</v>
      </c>
      <c r="BB60">
        <v>1464</v>
      </c>
      <c r="BC60">
        <v>1</v>
      </c>
      <c r="BD60" t="s">
        <v>1334</v>
      </c>
      <c r="BE60">
        <v>1771763270</v>
      </c>
      <c r="BF60">
        <v>1772135664</v>
      </c>
      <c r="BG60">
        <v>0.97154300000000005</v>
      </c>
      <c r="BH60" t="s">
        <v>21</v>
      </c>
      <c r="BI60">
        <v>2</v>
      </c>
      <c r="BJ60">
        <v>1771763270</v>
      </c>
      <c r="BK60">
        <v>200</v>
      </c>
      <c r="BL60">
        <v>5</v>
      </c>
      <c r="BM60">
        <v>2</v>
      </c>
      <c r="BN60">
        <v>1</v>
      </c>
      <c r="BO60">
        <v>0</v>
      </c>
      <c r="BP60">
        <v>0</v>
      </c>
      <c r="BQ60">
        <v>0.95689999999999997</v>
      </c>
      <c r="BR60">
        <v>0.95689999999999997</v>
      </c>
      <c r="BT60">
        <v>158</v>
      </c>
      <c r="BU60" s="197" t="s">
        <v>1442</v>
      </c>
      <c r="BV60">
        <v>5936962629</v>
      </c>
      <c r="BW60">
        <v>7373000000</v>
      </c>
      <c r="BX60">
        <v>1772203036</v>
      </c>
    </row>
    <row r="61" spans="15:76">
      <c r="O61">
        <v>62</v>
      </c>
      <c r="P61" t="s">
        <v>107</v>
      </c>
      <c r="Q61" t="s">
        <v>1390</v>
      </c>
      <c r="AW61">
        <v>4</v>
      </c>
      <c r="AX61">
        <v>48.397013999999999</v>
      </c>
      <c r="AY61">
        <v>16.514596000000001</v>
      </c>
      <c r="AZ61">
        <v>1</v>
      </c>
      <c r="BA61">
        <v>1464</v>
      </c>
      <c r="BB61">
        <v>1464</v>
      </c>
      <c r="BC61">
        <v>1</v>
      </c>
      <c r="BD61" t="s">
        <v>1334</v>
      </c>
      <c r="BE61">
        <v>1771763486</v>
      </c>
      <c r="BF61">
        <v>1772135664</v>
      </c>
      <c r="BG61">
        <v>0.97154300000000005</v>
      </c>
      <c r="BH61" t="s">
        <v>21</v>
      </c>
      <c r="BI61">
        <v>2</v>
      </c>
      <c r="BJ61">
        <v>1771763486</v>
      </c>
      <c r="BK61">
        <v>200</v>
      </c>
      <c r="BL61">
        <v>5</v>
      </c>
      <c r="BM61">
        <v>2</v>
      </c>
      <c r="BN61">
        <v>1</v>
      </c>
      <c r="BO61">
        <v>0</v>
      </c>
      <c r="BP61">
        <v>0</v>
      </c>
      <c r="BQ61">
        <v>0.95689999999999997</v>
      </c>
      <c r="BR61">
        <v>0.95689999999999997</v>
      </c>
      <c r="BT61">
        <v>159</v>
      </c>
      <c r="BU61" s="197" t="s">
        <v>1444</v>
      </c>
      <c r="BV61">
        <v>8391908029</v>
      </c>
      <c r="BW61">
        <v>10302083759</v>
      </c>
      <c r="BX61">
        <v>1772203036</v>
      </c>
    </row>
    <row r="62" spans="15:76">
      <c r="O62">
        <v>63</v>
      </c>
      <c r="P62" t="s">
        <v>761</v>
      </c>
      <c r="Q62" t="s">
        <v>1391</v>
      </c>
      <c r="AW62">
        <v>4</v>
      </c>
      <c r="AX62">
        <v>48.427788999999997</v>
      </c>
      <c r="AY62">
        <v>16.548463000000002</v>
      </c>
      <c r="AZ62">
        <v>1</v>
      </c>
      <c r="BA62">
        <v>1032</v>
      </c>
      <c r="BB62">
        <v>1032</v>
      </c>
      <c r="BC62">
        <v>1</v>
      </c>
      <c r="BD62" t="s">
        <v>1334</v>
      </c>
      <c r="BE62">
        <v>1771763647</v>
      </c>
      <c r="BF62">
        <v>1772135664</v>
      </c>
      <c r="BG62">
        <v>0.97154300000000005</v>
      </c>
      <c r="BH62" t="s">
        <v>21</v>
      </c>
      <c r="BI62">
        <v>2</v>
      </c>
      <c r="BJ62">
        <v>1771763647</v>
      </c>
      <c r="BK62">
        <v>200</v>
      </c>
      <c r="BL62">
        <v>5</v>
      </c>
      <c r="BM62">
        <v>2</v>
      </c>
      <c r="BN62">
        <v>1</v>
      </c>
      <c r="BO62">
        <v>0</v>
      </c>
      <c r="BP62">
        <v>0</v>
      </c>
      <c r="BQ62">
        <v>0.67449999999999999</v>
      </c>
      <c r="BR62">
        <v>0.67449999999999999</v>
      </c>
      <c r="BT62">
        <v>160</v>
      </c>
      <c r="BU62" s="197" t="s">
        <v>1304</v>
      </c>
      <c r="BV62">
        <v>27599847754</v>
      </c>
      <c r="BW62">
        <v>31025300000</v>
      </c>
      <c r="BX62">
        <v>1772203036</v>
      </c>
    </row>
    <row r="63" spans="15:76">
      <c r="O63">
        <v>65</v>
      </c>
      <c r="P63" t="s">
        <v>110</v>
      </c>
      <c r="Q63" t="s">
        <v>1392</v>
      </c>
      <c r="AW63">
        <v>4</v>
      </c>
      <c r="AX63">
        <v>48.446444</v>
      </c>
      <c r="AY63">
        <v>16.555064999999999</v>
      </c>
      <c r="AZ63">
        <v>1</v>
      </c>
      <c r="BA63">
        <v>1206</v>
      </c>
      <c r="BB63">
        <v>1206</v>
      </c>
      <c r="BC63">
        <v>1</v>
      </c>
      <c r="BD63" t="s">
        <v>1334</v>
      </c>
      <c r="BE63">
        <v>1771763727</v>
      </c>
      <c r="BF63">
        <v>1772135664</v>
      </c>
      <c r="BG63">
        <v>0.97154300000000005</v>
      </c>
      <c r="BH63" t="s">
        <v>21</v>
      </c>
      <c r="BI63">
        <v>2</v>
      </c>
      <c r="BJ63">
        <v>1771763727</v>
      </c>
      <c r="BK63">
        <v>200</v>
      </c>
      <c r="BL63">
        <v>5</v>
      </c>
      <c r="BM63">
        <v>2</v>
      </c>
      <c r="BN63">
        <v>1</v>
      </c>
      <c r="BO63">
        <v>0</v>
      </c>
      <c r="BP63">
        <v>0</v>
      </c>
      <c r="BQ63">
        <v>0.78820000000000001</v>
      </c>
      <c r="BR63">
        <v>0.78820000000000001</v>
      </c>
      <c r="BT63">
        <v>161</v>
      </c>
      <c r="BU63" s="197" t="s">
        <v>1447</v>
      </c>
      <c r="BV63">
        <v>76762929932</v>
      </c>
      <c r="BW63">
        <v>90690000000</v>
      </c>
      <c r="BX63">
        <v>1772203036</v>
      </c>
    </row>
    <row r="64" spans="15:76">
      <c r="O64">
        <v>66</v>
      </c>
      <c r="P64" t="s">
        <v>61</v>
      </c>
      <c r="Q64" t="s">
        <v>1393</v>
      </c>
      <c r="AW64">
        <v>4</v>
      </c>
      <c r="AX64">
        <v>48.447364</v>
      </c>
      <c r="AY64">
        <v>16.554801000000001</v>
      </c>
      <c r="AZ64">
        <v>1</v>
      </c>
      <c r="BA64">
        <v>1254</v>
      </c>
      <c r="BB64">
        <v>1254</v>
      </c>
      <c r="BC64">
        <v>1</v>
      </c>
      <c r="BD64" t="s">
        <v>1334</v>
      </c>
      <c r="BE64">
        <v>1771763733</v>
      </c>
      <c r="BF64">
        <v>1772135664</v>
      </c>
      <c r="BG64">
        <v>0.97154300000000005</v>
      </c>
      <c r="BH64" t="s">
        <v>21</v>
      </c>
      <c r="BI64">
        <v>2</v>
      </c>
      <c r="BJ64">
        <v>1771763733</v>
      </c>
      <c r="BK64">
        <v>200</v>
      </c>
      <c r="BL64">
        <v>5</v>
      </c>
      <c r="BM64">
        <v>2</v>
      </c>
      <c r="BN64">
        <v>1</v>
      </c>
      <c r="BO64">
        <v>0</v>
      </c>
      <c r="BP64">
        <v>0</v>
      </c>
      <c r="BQ64">
        <v>0.8196</v>
      </c>
      <c r="BR64">
        <v>0.8196</v>
      </c>
    </row>
    <row r="65" spans="15:70">
      <c r="O65">
        <v>67</v>
      </c>
      <c r="P65" t="s">
        <v>57</v>
      </c>
      <c r="Q65" t="s">
        <v>1394</v>
      </c>
      <c r="AW65">
        <v>4</v>
      </c>
      <c r="AX65">
        <v>48.471857</v>
      </c>
      <c r="AY65">
        <v>16.559531</v>
      </c>
      <c r="AZ65">
        <v>1</v>
      </c>
      <c r="BA65">
        <v>1044</v>
      </c>
      <c r="BB65">
        <v>1044</v>
      </c>
      <c r="BC65">
        <v>1</v>
      </c>
      <c r="BD65" t="s">
        <v>1334</v>
      </c>
      <c r="BE65">
        <v>1771763831</v>
      </c>
      <c r="BF65">
        <v>1772135664</v>
      </c>
      <c r="BG65">
        <v>0.97154300000000005</v>
      </c>
      <c r="BH65" t="s">
        <v>21</v>
      </c>
      <c r="BI65">
        <v>2</v>
      </c>
      <c r="BJ65">
        <v>1771763831</v>
      </c>
      <c r="BK65">
        <v>200</v>
      </c>
      <c r="BL65">
        <v>5</v>
      </c>
      <c r="BM65">
        <v>2</v>
      </c>
      <c r="BN65">
        <v>1</v>
      </c>
      <c r="BO65">
        <v>0</v>
      </c>
      <c r="BP65">
        <v>0</v>
      </c>
      <c r="BQ65">
        <v>0.68240000000000001</v>
      </c>
      <c r="BR65">
        <v>0.68240000000000001</v>
      </c>
    </row>
    <row r="66" spans="15:70">
      <c r="O66">
        <v>68</v>
      </c>
      <c r="P66" t="s">
        <v>765</v>
      </c>
      <c r="Q66" t="s">
        <v>1395</v>
      </c>
      <c r="AW66">
        <v>4</v>
      </c>
      <c r="AX66">
        <v>48.670110000000001</v>
      </c>
      <c r="AY66">
        <v>16.67661</v>
      </c>
      <c r="AZ66">
        <v>1</v>
      </c>
      <c r="BA66">
        <v>1074</v>
      </c>
      <c r="BB66">
        <v>1074</v>
      </c>
      <c r="BC66">
        <v>1</v>
      </c>
      <c r="BD66" t="s">
        <v>1334</v>
      </c>
      <c r="BE66">
        <v>1771764805</v>
      </c>
      <c r="BF66">
        <v>1772135664</v>
      </c>
      <c r="BG66">
        <v>0.97154300000000005</v>
      </c>
      <c r="BH66" t="s">
        <v>21</v>
      </c>
      <c r="BI66">
        <v>2</v>
      </c>
      <c r="BJ66">
        <v>1771764805</v>
      </c>
      <c r="BK66">
        <v>200</v>
      </c>
      <c r="BL66">
        <v>5</v>
      </c>
      <c r="BM66">
        <v>2</v>
      </c>
      <c r="BN66">
        <v>1</v>
      </c>
      <c r="BO66">
        <v>0</v>
      </c>
      <c r="BP66">
        <v>0</v>
      </c>
      <c r="BQ66">
        <v>0.70199999999999996</v>
      </c>
      <c r="BR66">
        <v>0.70199999999999996</v>
      </c>
    </row>
    <row r="67" spans="15:70">
      <c r="O67">
        <v>69</v>
      </c>
      <c r="P67" t="s">
        <v>766</v>
      </c>
      <c r="Q67" t="s">
        <v>1396</v>
      </c>
      <c r="AW67">
        <v>4</v>
      </c>
      <c r="AX67">
        <v>48.674771999999997</v>
      </c>
      <c r="AY67">
        <v>16.671315</v>
      </c>
      <c r="AZ67">
        <v>1</v>
      </c>
      <c r="BA67">
        <v>1152</v>
      </c>
      <c r="BB67">
        <v>1152</v>
      </c>
      <c r="BC67">
        <v>1</v>
      </c>
      <c r="BD67" t="s">
        <v>1334</v>
      </c>
      <c r="BE67">
        <v>1771764828</v>
      </c>
      <c r="BF67">
        <v>1772135664</v>
      </c>
      <c r="BG67">
        <v>0.97154300000000005</v>
      </c>
      <c r="BH67" t="s">
        <v>21</v>
      </c>
      <c r="BI67">
        <v>2</v>
      </c>
      <c r="BJ67">
        <v>1771764828</v>
      </c>
      <c r="BK67">
        <v>200</v>
      </c>
      <c r="BL67">
        <v>5</v>
      </c>
      <c r="BM67">
        <v>2</v>
      </c>
      <c r="BN67">
        <v>1</v>
      </c>
      <c r="BO67">
        <v>0</v>
      </c>
      <c r="BP67">
        <v>0</v>
      </c>
      <c r="BQ67">
        <v>0.75290000000000001</v>
      </c>
      <c r="BR67">
        <v>0.75290000000000001</v>
      </c>
    </row>
    <row r="68" spans="15:70">
      <c r="O68">
        <v>70</v>
      </c>
      <c r="P68" t="s">
        <v>983</v>
      </c>
      <c r="Q68" t="s">
        <v>1397</v>
      </c>
      <c r="AW68">
        <v>4</v>
      </c>
      <c r="AX68">
        <v>48.675615000000001</v>
      </c>
      <c r="AY68">
        <v>16.670076999999999</v>
      </c>
      <c r="AZ68">
        <v>1</v>
      </c>
      <c r="BA68">
        <v>966</v>
      </c>
      <c r="BB68">
        <v>966</v>
      </c>
      <c r="BC68">
        <v>1</v>
      </c>
      <c r="BD68" t="s">
        <v>1334</v>
      </c>
      <c r="BE68">
        <v>1771764833</v>
      </c>
      <c r="BF68">
        <v>1772135664</v>
      </c>
      <c r="BG68">
        <v>0.97154300000000005</v>
      </c>
      <c r="BH68" t="s">
        <v>21</v>
      </c>
      <c r="BI68">
        <v>2</v>
      </c>
      <c r="BJ68">
        <v>1771764833</v>
      </c>
      <c r="BK68">
        <v>200</v>
      </c>
      <c r="BL68">
        <v>5</v>
      </c>
      <c r="BM68">
        <v>2</v>
      </c>
      <c r="BN68">
        <v>1</v>
      </c>
      <c r="BO68">
        <v>0</v>
      </c>
      <c r="BP68">
        <v>0</v>
      </c>
      <c r="BQ68">
        <v>0.63139999999999996</v>
      </c>
      <c r="BR68">
        <v>0.63139999999999996</v>
      </c>
    </row>
    <row r="69" spans="15:70">
      <c r="O69">
        <v>71</v>
      </c>
      <c r="P69" t="s">
        <v>130</v>
      </c>
      <c r="Q69" t="s">
        <v>1398</v>
      </c>
      <c r="AW69">
        <v>4</v>
      </c>
      <c r="AX69">
        <v>48.680546999999997</v>
      </c>
      <c r="AY69">
        <v>16.660827999999999</v>
      </c>
      <c r="AZ69">
        <v>1</v>
      </c>
      <c r="BA69">
        <v>1296</v>
      </c>
      <c r="BB69">
        <v>1296</v>
      </c>
      <c r="BC69">
        <v>1</v>
      </c>
      <c r="BD69" t="s">
        <v>1334</v>
      </c>
      <c r="BE69">
        <v>1771764867</v>
      </c>
      <c r="BF69">
        <v>1772135664</v>
      </c>
      <c r="BG69">
        <v>0.97154300000000005</v>
      </c>
      <c r="BH69" t="s">
        <v>21</v>
      </c>
      <c r="BI69">
        <v>2</v>
      </c>
      <c r="BJ69">
        <v>1771764867</v>
      </c>
      <c r="BK69">
        <v>200</v>
      </c>
      <c r="BL69">
        <v>5</v>
      </c>
      <c r="BM69">
        <v>2</v>
      </c>
      <c r="BN69">
        <v>1</v>
      </c>
      <c r="BO69">
        <v>0</v>
      </c>
      <c r="BP69">
        <v>0</v>
      </c>
      <c r="BQ69">
        <v>0.84709999999999996</v>
      </c>
      <c r="BR69">
        <v>0.84709999999999996</v>
      </c>
    </row>
    <row r="70" spans="15:70">
      <c r="O70">
        <v>72</v>
      </c>
      <c r="P70" t="s">
        <v>984</v>
      </c>
      <c r="Q70" t="s">
        <v>1399</v>
      </c>
      <c r="AW70">
        <v>4</v>
      </c>
      <c r="AX70">
        <v>48.696646999999999</v>
      </c>
      <c r="AY70">
        <v>16.654447000000001</v>
      </c>
      <c r="AZ70">
        <v>1</v>
      </c>
      <c r="BA70">
        <v>1152</v>
      </c>
      <c r="BB70">
        <v>1152</v>
      </c>
      <c r="BC70">
        <v>1</v>
      </c>
      <c r="BD70" t="s">
        <v>1334</v>
      </c>
      <c r="BE70">
        <v>1771764937</v>
      </c>
      <c r="BF70">
        <v>1772135664</v>
      </c>
      <c r="BG70">
        <v>0.97154300000000005</v>
      </c>
      <c r="BH70" t="s">
        <v>21</v>
      </c>
      <c r="BI70">
        <v>2</v>
      </c>
      <c r="BJ70">
        <v>1771764937</v>
      </c>
      <c r="BK70">
        <v>200</v>
      </c>
      <c r="BL70">
        <v>5</v>
      </c>
      <c r="BM70">
        <v>2</v>
      </c>
      <c r="BN70">
        <v>1</v>
      </c>
      <c r="BO70">
        <v>0</v>
      </c>
      <c r="BP70">
        <v>0</v>
      </c>
      <c r="BQ70">
        <v>0.75290000000000001</v>
      </c>
      <c r="BR70">
        <v>0.75290000000000001</v>
      </c>
    </row>
    <row r="71" spans="15:70">
      <c r="O71">
        <v>74</v>
      </c>
      <c r="P71" t="s">
        <v>974</v>
      </c>
      <c r="Q71" t="s">
        <v>1400</v>
      </c>
      <c r="AW71">
        <v>4</v>
      </c>
      <c r="AX71">
        <v>48.697505</v>
      </c>
      <c r="AY71">
        <v>16.653727</v>
      </c>
      <c r="AZ71">
        <v>1</v>
      </c>
      <c r="BA71">
        <v>1176</v>
      </c>
      <c r="BB71">
        <v>1176</v>
      </c>
      <c r="BC71">
        <v>1</v>
      </c>
      <c r="BD71" t="s">
        <v>1334</v>
      </c>
      <c r="BE71">
        <v>1771764940</v>
      </c>
      <c r="BF71">
        <v>1772135664</v>
      </c>
      <c r="BG71">
        <v>0.97154300000000005</v>
      </c>
      <c r="BH71" t="s">
        <v>21</v>
      </c>
      <c r="BI71">
        <v>2</v>
      </c>
      <c r="BJ71">
        <v>1771764940</v>
      </c>
      <c r="BK71">
        <v>200</v>
      </c>
      <c r="BL71">
        <v>5</v>
      </c>
      <c r="BM71">
        <v>2</v>
      </c>
      <c r="BN71">
        <v>1</v>
      </c>
      <c r="BO71">
        <v>0</v>
      </c>
      <c r="BP71">
        <v>0</v>
      </c>
      <c r="BQ71">
        <v>0.76859999999999995</v>
      </c>
      <c r="BR71">
        <v>0.76859999999999995</v>
      </c>
    </row>
    <row r="72" spans="15:70">
      <c r="O72">
        <v>75</v>
      </c>
      <c r="P72" t="s">
        <v>999</v>
      </c>
      <c r="Q72" t="s">
        <v>1401</v>
      </c>
      <c r="AW72">
        <v>4</v>
      </c>
      <c r="AX72">
        <v>49.565693000000003</v>
      </c>
      <c r="AY72">
        <v>15.289680000000001</v>
      </c>
      <c r="AZ72">
        <v>1</v>
      </c>
      <c r="BA72">
        <v>1110</v>
      </c>
      <c r="BB72">
        <v>1110</v>
      </c>
      <c r="BC72">
        <v>1</v>
      </c>
      <c r="BD72" t="s">
        <v>1334</v>
      </c>
      <c r="BE72">
        <v>1771771802</v>
      </c>
      <c r="BF72">
        <v>1772135664</v>
      </c>
      <c r="BG72">
        <v>0.97154300000000005</v>
      </c>
      <c r="BH72" t="s">
        <v>21</v>
      </c>
      <c r="BI72">
        <v>2</v>
      </c>
      <c r="BJ72">
        <v>1771771802</v>
      </c>
      <c r="BK72">
        <v>200</v>
      </c>
      <c r="BL72">
        <v>5</v>
      </c>
      <c r="BM72">
        <v>2</v>
      </c>
      <c r="BN72">
        <v>1</v>
      </c>
      <c r="BO72">
        <v>0</v>
      </c>
      <c r="BP72">
        <v>0</v>
      </c>
      <c r="BQ72">
        <v>0.72550000000000003</v>
      </c>
      <c r="BR72">
        <v>0.72550000000000003</v>
      </c>
    </row>
    <row r="73" spans="15:70">
      <c r="O73">
        <v>76</v>
      </c>
      <c r="P73" t="s">
        <v>1402</v>
      </c>
      <c r="Q73" t="s">
        <v>1403</v>
      </c>
      <c r="AW73">
        <v>4</v>
      </c>
      <c r="AX73">
        <v>49.565539999999999</v>
      </c>
      <c r="AY73">
        <v>15.290032999999999</v>
      </c>
      <c r="AZ73">
        <v>1</v>
      </c>
      <c r="BA73">
        <v>1008</v>
      </c>
      <c r="BB73">
        <v>1008</v>
      </c>
      <c r="BC73">
        <v>1</v>
      </c>
      <c r="BD73" t="s">
        <v>1334</v>
      </c>
      <c r="BE73">
        <v>1771771828</v>
      </c>
      <c r="BF73">
        <v>1772135664</v>
      </c>
      <c r="BG73">
        <v>0.97154300000000005</v>
      </c>
      <c r="BH73" t="s">
        <v>21</v>
      </c>
      <c r="BI73">
        <v>2</v>
      </c>
      <c r="BJ73">
        <v>1771771828</v>
      </c>
      <c r="BK73">
        <v>200</v>
      </c>
      <c r="BL73">
        <v>5</v>
      </c>
      <c r="BM73">
        <v>2</v>
      </c>
      <c r="BN73">
        <v>1</v>
      </c>
      <c r="BO73">
        <v>0</v>
      </c>
      <c r="BP73">
        <v>0</v>
      </c>
      <c r="BQ73">
        <v>0.65880000000000005</v>
      </c>
      <c r="BR73">
        <v>0.65880000000000005</v>
      </c>
    </row>
    <row r="74" spans="15:70">
      <c r="O74">
        <v>77</v>
      </c>
      <c r="P74" t="s">
        <v>1018</v>
      </c>
      <c r="Q74" t="s">
        <v>1404</v>
      </c>
      <c r="AW74">
        <v>4</v>
      </c>
      <c r="AX74">
        <v>49.565424999999998</v>
      </c>
      <c r="AY74">
        <v>15.289657</v>
      </c>
      <c r="AZ74">
        <v>1</v>
      </c>
      <c r="BA74">
        <v>1086</v>
      </c>
      <c r="BB74">
        <v>1086</v>
      </c>
      <c r="BC74">
        <v>1</v>
      </c>
      <c r="BD74" t="s">
        <v>1334</v>
      </c>
      <c r="BE74">
        <v>1771771834</v>
      </c>
      <c r="BF74">
        <v>1772135664</v>
      </c>
      <c r="BG74">
        <v>0.97154300000000005</v>
      </c>
      <c r="BH74" t="s">
        <v>21</v>
      </c>
      <c r="BI74">
        <v>2</v>
      </c>
      <c r="BJ74">
        <v>1771771834</v>
      </c>
      <c r="BK74">
        <v>200</v>
      </c>
      <c r="BL74">
        <v>5</v>
      </c>
      <c r="BM74">
        <v>2</v>
      </c>
      <c r="BN74">
        <v>1</v>
      </c>
      <c r="BO74">
        <v>0</v>
      </c>
      <c r="BP74">
        <v>0</v>
      </c>
      <c r="BQ74">
        <v>0.70979999999999999</v>
      </c>
      <c r="BR74">
        <v>0.70979999999999999</v>
      </c>
    </row>
    <row r="75" spans="15:70">
      <c r="O75">
        <v>78</v>
      </c>
      <c r="P75" t="s">
        <v>1034</v>
      </c>
      <c r="Q75" t="s">
        <v>1405</v>
      </c>
      <c r="AW75">
        <v>4</v>
      </c>
      <c r="AX75">
        <v>49.565565999999997</v>
      </c>
      <c r="AY75">
        <v>15.289306</v>
      </c>
      <c r="AZ75">
        <v>1</v>
      </c>
      <c r="BA75">
        <v>1032</v>
      </c>
      <c r="BB75">
        <v>1032</v>
      </c>
      <c r="BC75">
        <v>1</v>
      </c>
      <c r="BD75" t="s">
        <v>1334</v>
      </c>
      <c r="BE75">
        <v>1771771841</v>
      </c>
      <c r="BF75">
        <v>1772135664</v>
      </c>
      <c r="BG75">
        <v>0.97154300000000005</v>
      </c>
      <c r="BH75" t="s">
        <v>21</v>
      </c>
      <c r="BI75">
        <v>2</v>
      </c>
      <c r="BJ75">
        <v>1771771841</v>
      </c>
      <c r="BK75">
        <v>200</v>
      </c>
      <c r="BL75">
        <v>5</v>
      </c>
      <c r="BM75">
        <v>2</v>
      </c>
      <c r="BN75">
        <v>1</v>
      </c>
      <c r="BO75">
        <v>0</v>
      </c>
      <c r="BP75">
        <v>0</v>
      </c>
      <c r="BQ75">
        <v>0.67449999999999999</v>
      </c>
      <c r="BR75">
        <v>0.67449999999999999</v>
      </c>
    </row>
    <row r="76" spans="15:70">
      <c r="O76">
        <v>79</v>
      </c>
      <c r="P76" t="s">
        <v>66</v>
      </c>
      <c r="Q76" t="s">
        <v>1406</v>
      </c>
      <c r="AW76">
        <v>4</v>
      </c>
      <c r="AX76">
        <v>50.036541</v>
      </c>
      <c r="AY76">
        <v>14.457086</v>
      </c>
      <c r="AZ76">
        <v>1</v>
      </c>
      <c r="BA76">
        <v>1254</v>
      </c>
      <c r="BB76">
        <v>1254</v>
      </c>
      <c r="BC76">
        <v>1</v>
      </c>
      <c r="BD76" t="s">
        <v>1334</v>
      </c>
      <c r="BE76">
        <v>1771868814</v>
      </c>
      <c r="BF76">
        <v>1772135664</v>
      </c>
      <c r="BG76">
        <v>0.97154300000000005</v>
      </c>
      <c r="BH76" t="s">
        <v>21</v>
      </c>
      <c r="BI76">
        <v>2</v>
      </c>
      <c r="BJ76">
        <v>1771868814</v>
      </c>
      <c r="BK76">
        <v>200</v>
      </c>
      <c r="BL76">
        <v>5</v>
      </c>
      <c r="BM76">
        <v>2</v>
      </c>
      <c r="BN76">
        <v>1</v>
      </c>
      <c r="BO76">
        <v>0</v>
      </c>
      <c r="BP76">
        <v>0</v>
      </c>
      <c r="BQ76">
        <v>0.8196</v>
      </c>
      <c r="BR76">
        <v>0.8196</v>
      </c>
    </row>
    <row r="77" spans="15:70">
      <c r="O77">
        <v>80</v>
      </c>
      <c r="P77" t="s">
        <v>770</v>
      </c>
      <c r="Q77" t="s">
        <v>1407</v>
      </c>
      <c r="AW77">
        <v>4</v>
      </c>
      <c r="AX77">
        <v>50.082391000000001</v>
      </c>
      <c r="AY77">
        <v>14.41461</v>
      </c>
      <c r="AZ77">
        <v>1</v>
      </c>
      <c r="BA77">
        <v>1122</v>
      </c>
      <c r="BB77">
        <v>1122</v>
      </c>
      <c r="BC77">
        <v>1</v>
      </c>
      <c r="BD77" t="s">
        <v>1334</v>
      </c>
      <c r="BE77">
        <v>1771891728</v>
      </c>
      <c r="BF77">
        <v>1772135664</v>
      </c>
      <c r="BG77">
        <v>0.97154300000000005</v>
      </c>
      <c r="BH77" t="s">
        <v>21</v>
      </c>
      <c r="BI77">
        <v>2</v>
      </c>
      <c r="BJ77">
        <v>1771891728</v>
      </c>
      <c r="BK77">
        <v>200</v>
      </c>
      <c r="BL77">
        <v>5</v>
      </c>
      <c r="BM77">
        <v>2</v>
      </c>
      <c r="BN77">
        <v>1</v>
      </c>
      <c r="BO77">
        <v>0</v>
      </c>
      <c r="BP77">
        <v>0</v>
      </c>
      <c r="BQ77">
        <v>0.73329999999999995</v>
      </c>
      <c r="BR77">
        <v>0.73329999999999995</v>
      </c>
    </row>
    <row r="78" spans="15:70">
      <c r="O78">
        <v>81</v>
      </c>
      <c r="P78" t="s">
        <v>34</v>
      </c>
      <c r="Q78" t="s">
        <v>1408</v>
      </c>
      <c r="AW78">
        <v>4</v>
      </c>
      <c r="AX78">
        <v>50.082611</v>
      </c>
      <c r="AY78">
        <v>14.415281999999999</v>
      </c>
      <c r="AZ78">
        <v>1</v>
      </c>
      <c r="BA78">
        <v>1044</v>
      </c>
      <c r="BB78">
        <v>1044</v>
      </c>
      <c r="BC78">
        <v>1</v>
      </c>
      <c r="BD78" t="s">
        <v>1334</v>
      </c>
      <c r="BE78">
        <v>1771891737</v>
      </c>
      <c r="BF78">
        <v>1772135664</v>
      </c>
      <c r="BG78">
        <v>0.97154300000000005</v>
      </c>
      <c r="BH78" t="s">
        <v>21</v>
      </c>
      <c r="BI78">
        <v>2</v>
      </c>
      <c r="BJ78">
        <v>1771891737</v>
      </c>
      <c r="BK78">
        <v>200</v>
      </c>
      <c r="BL78">
        <v>5</v>
      </c>
      <c r="BM78">
        <v>2</v>
      </c>
      <c r="BN78">
        <v>1</v>
      </c>
      <c r="BO78">
        <v>0</v>
      </c>
      <c r="BP78">
        <v>0</v>
      </c>
      <c r="BQ78">
        <v>0.68240000000000001</v>
      </c>
      <c r="BR78">
        <v>0.68240000000000001</v>
      </c>
    </row>
    <row r="79" spans="15:70">
      <c r="O79">
        <v>82</v>
      </c>
      <c r="P79" t="s">
        <v>1409</v>
      </c>
      <c r="Q79" t="s">
        <v>1239</v>
      </c>
      <c r="AW79">
        <v>4</v>
      </c>
      <c r="AX79">
        <v>50.080298999999997</v>
      </c>
      <c r="AY79">
        <v>14.4163</v>
      </c>
      <c r="AZ79">
        <v>1</v>
      </c>
      <c r="BA79">
        <v>1140</v>
      </c>
      <c r="BB79">
        <v>1140</v>
      </c>
      <c r="BC79">
        <v>1</v>
      </c>
      <c r="BD79" t="s">
        <v>1334</v>
      </c>
      <c r="BE79">
        <v>1771891990</v>
      </c>
      <c r="BF79">
        <v>1772135664</v>
      </c>
      <c r="BG79">
        <v>0.97154300000000005</v>
      </c>
      <c r="BH79" t="s">
        <v>21</v>
      </c>
      <c r="BI79">
        <v>2</v>
      </c>
      <c r="BJ79">
        <v>1771891990</v>
      </c>
      <c r="BK79">
        <v>200</v>
      </c>
      <c r="BL79">
        <v>5</v>
      </c>
      <c r="BM79">
        <v>2</v>
      </c>
      <c r="BN79">
        <v>1</v>
      </c>
      <c r="BO79">
        <v>0</v>
      </c>
      <c r="BP79">
        <v>0</v>
      </c>
      <c r="BQ79">
        <v>0.74509999999999998</v>
      </c>
      <c r="BR79">
        <v>0.74509999999999998</v>
      </c>
    </row>
    <row r="80" spans="15:70">
      <c r="O80">
        <v>84</v>
      </c>
      <c r="P80" t="s">
        <v>67</v>
      </c>
      <c r="Q80" t="s">
        <v>1410</v>
      </c>
      <c r="AW80">
        <v>4</v>
      </c>
      <c r="AX80">
        <v>50.079717000000002</v>
      </c>
      <c r="AY80">
        <v>14.416041</v>
      </c>
      <c r="AZ80">
        <v>1</v>
      </c>
      <c r="BA80">
        <v>1188</v>
      </c>
      <c r="BB80">
        <v>1188</v>
      </c>
      <c r="BC80">
        <v>1</v>
      </c>
      <c r="BD80" t="s">
        <v>1334</v>
      </c>
      <c r="BE80">
        <v>1771892064</v>
      </c>
      <c r="BF80">
        <v>1772135664</v>
      </c>
      <c r="BG80">
        <v>0.97154300000000005</v>
      </c>
      <c r="BH80" t="s">
        <v>21</v>
      </c>
      <c r="BI80">
        <v>2</v>
      </c>
      <c r="BJ80">
        <v>1771892064</v>
      </c>
      <c r="BK80">
        <v>200</v>
      </c>
      <c r="BL80">
        <v>5</v>
      </c>
      <c r="BM80">
        <v>2</v>
      </c>
      <c r="BN80">
        <v>1</v>
      </c>
      <c r="BO80">
        <v>0</v>
      </c>
      <c r="BP80">
        <v>0</v>
      </c>
      <c r="BQ80">
        <v>0.77649999999999997</v>
      </c>
      <c r="BR80">
        <v>0.77649999999999997</v>
      </c>
    </row>
    <row r="81" spans="15:70">
      <c r="O81">
        <v>85</v>
      </c>
      <c r="P81" t="s">
        <v>163</v>
      </c>
      <c r="Q81" t="s">
        <v>1411</v>
      </c>
      <c r="AW81">
        <v>4</v>
      </c>
      <c r="AX81">
        <v>50.079239999999999</v>
      </c>
      <c r="AY81">
        <v>14.416043</v>
      </c>
      <c r="AZ81">
        <v>1</v>
      </c>
      <c r="BA81">
        <v>1152</v>
      </c>
      <c r="BB81">
        <v>1152</v>
      </c>
      <c r="BC81">
        <v>1</v>
      </c>
      <c r="BD81" t="s">
        <v>1334</v>
      </c>
      <c r="BE81">
        <v>1771892108</v>
      </c>
      <c r="BF81">
        <v>1772135664</v>
      </c>
      <c r="BG81">
        <v>0.97154300000000005</v>
      </c>
      <c r="BH81" t="s">
        <v>21</v>
      </c>
      <c r="BI81">
        <v>2</v>
      </c>
      <c r="BJ81">
        <v>1771892108</v>
      </c>
      <c r="BK81">
        <v>200</v>
      </c>
      <c r="BL81">
        <v>5</v>
      </c>
      <c r="BM81">
        <v>2</v>
      </c>
      <c r="BN81">
        <v>1</v>
      </c>
      <c r="BO81">
        <v>0</v>
      </c>
      <c r="BP81">
        <v>0</v>
      </c>
      <c r="BQ81">
        <v>0.75290000000000001</v>
      </c>
      <c r="BR81">
        <v>0.75290000000000001</v>
      </c>
    </row>
    <row r="82" spans="15:70">
      <c r="O82">
        <v>86</v>
      </c>
      <c r="P82" t="s">
        <v>126</v>
      </c>
      <c r="Q82" t="s">
        <v>1412</v>
      </c>
      <c r="AW82">
        <v>4</v>
      </c>
      <c r="AX82">
        <v>50.078916</v>
      </c>
      <c r="AY82">
        <v>14.416475999999999</v>
      </c>
      <c r="AZ82">
        <v>1</v>
      </c>
      <c r="BA82">
        <v>1272</v>
      </c>
      <c r="BB82">
        <v>1272</v>
      </c>
      <c r="BC82">
        <v>1</v>
      </c>
      <c r="BD82" t="s">
        <v>1334</v>
      </c>
      <c r="BE82">
        <v>1771892143</v>
      </c>
      <c r="BF82">
        <v>1772135664</v>
      </c>
      <c r="BG82">
        <v>0.97154300000000005</v>
      </c>
      <c r="BH82" t="s">
        <v>21</v>
      </c>
      <c r="BI82">
        <v>2</v>
      </c>
      <c r="BJ82">
        <v>1771892143</v>
      </c>
      <c r="BK82">
        <v>200</v>
      </c>
      <c r="BL82">
        <v>5</v>
      </c>
      <c r="BM82">
        <v>2</v>
      </c>
      <c r="BN82">
        <v>1</v>
      </c>
      <c r="BO82">
        <v>0</v>
      </c>
      <c r="BP82">
        <v>0</v>
      </c>
      <c r="BQ82">
        <v>0.83140000000000003</v>
      </c>
      <c r="BR82">
        <v>0.83140000000000003</v>
      </c>
    </row>
    <row r="83" spans="15:70">
      <c r="O83">
        <v>87</v>
      </c>
      <c r="P83" t="s">
        <v>56</v>
      </c>
      <c r="Q83" t="s">
        <v>1413</v>
      </c>
      <c r="AW83">
        <v>4</v>
      </c>
      <c r="AX83">
        <v>50.078451000000001</v>
      </c>
      <c r="AY83">
        <v>14.416916000000001</v>
      </c>
      <c r="AZ83">
        <v>1</v>
      </c>
      <c r="BA83">
        <v>1272</v>
      </c>
      <c r="BB83">
        <v>1272</v>
      </c>
      <c r="BC83">
        <v>1</v>
      </c>
      <c r="BD83" t="s">
        <v>1334</v>
      </c>
      <c r="BE83">
        <v>1771892177</v>
      </c>
      <c r="BF83">
        <v>1772135664</v>
      </c>
      <c r="BG83">
        <v>0.97154300000000005</v>
      </c>
      <c r="BH83" t="s">
        <v>21</v>
      </c>
      <c r="BI83">
        <v>2</v>
      </c>
      <c r="BJ83">
        <v>1771892177</v>
      </c>
      <c r="BK83">
        <v>200</v>
      </c>
      <c r="BL83">
        <v>5</v>
      </c>
      <c r="BM83">
        <v>2</v>
      </c>
      <c r="BN83">
        <v>1</v>
      </c>
      <c r="BO83">
        <v>0</v>
      </c>
      <c r="BP83">
        <v>0</v>
      </c>
      <c r="BQ83">
        <v>0.83140000000000003</v>
      </c>
      <c r="BR83">
        <v>0.83140000000000003</v>
      </c>
    </row>
    <row r="84" spans="15:70">
      <c r="O84">
        <v>89</v>
      </c>
      <c r="P84" t="s">
        <v>1414</v>
      </c>
      <c r="Q84" t="s">
        <v>1239</v>
      </c>
      <c r="AW84">
        <v>4</v>
      </c>
      <c r="AX84">
        <v>50.078335000000003</v>
      </c>
      <c r="AY84">
        <v>14.417308999999999</v>
      </c>
      <c r="AZ84">
        <v>1</v>
      </c>
      <c r="BA84">
        <v>1044</v>
      </c>
      <c r="BB84">
        <v>1044</v>
      </c>
      <c r="BC84">
        <v>1</v>
      </c>
      <c r="BD84" t="s">
        <v>1334</v>
      </c>
      <c r="BE84">
        <v>1771892184</v>
      </c>
      <c r="BF84">
        <v>1772135664</v>
      </c>
      <c r="BG84">
        <v>0.97154300000000005</v>
      </c>
      <c r="BH84" t="s">
        <v>21</v>
      </c>
      <c r="BI84">
        <v>2</v>
      </c>
      <c r="BJ84">
        <v>1771892184</v>
      </c>
      <c r="BK84">
        <v>200</v>
      </c>
      <c r="BL84">
        <v>5</v>
      </c>
      <c r="BM84">
        <v>2</v>
      </c>
      <c r="BN84">
        <v>1</v>
      </c>
      <c r="BO84">
        <v>0</v>
      </c>
      <c r="BP84">
        <v>0</v>
      </c>
      <c r="BQ84">
        <v>0.68240000000000001</v>
      </c>
      <c r="BR84">
        <v>0.68240000000000001</v>
      </c>
    </row>
    <row r="85" spans="15:70">
      <c r="O85">
        <v>90</v>
      </c>
      <c r="P85" t="s">
        <v>30</v>
      </c>
      <c r="Q85" t="s">
        <v>1415</v>
      </c>
      <c r="AW85">
        <v>4</v>
      </c>
      <c r="AX85">
        <v>50.078237999999999</v>
      </c>
      <c r="AY85">
        <v>14.417763000000001</v>
      </c>
      <c r="AZ85">
        <v>1</v>
      </c>
      <c r="BA85">
        <v>1206</v>
      </c>
      <c r="BB85">
        <v>1206</v>
      </c>
      <c r="BC85">
        <v>1</v>
      </c>
      <c r="BD85" t="s">
        <v>1334</v>
      </c>
      <c r="BE85">
        <v>1771892193</v>
      </c>
      <c r="BF85">
        <v>1772135664</v>
      </c>
      <c r="BG85">
        <v>0.97154300000000005</v>
      </c>
      <c r="BH85" t="s">
        <v>21</v>
      </c>
      <c r="BI85">
        <v>2</v>
      </c>
      <c r="BJ85">
        <v>1771892193</v>
      </c>
      <c r="BK85">
        <v>200</v>
      </c>
      <c r="BL85">
        <v>5</v>
      </c>
      <c r="BM85">
        <v>2</v>
      </c>
      <c r="BN85">
        <v>1</v>
      </c>
      <c r="BO85">
        <v>0</v>
      </c>
      <c r="BP85">
        <v>0</v>
      </c>
      <c r="BQ85">
        <v>0.78820000000000001</v>
      </c>
      <c r="BR85">
        <v>0.78820000000000001</v>
      </c>
    </row>
    <row r="86" spans="15:70">
      <c r="O86">
        <v>91</v>
      </c>
      <c r="P86" t="s">
        <v>762</v>
      </c>
      <c r="Q86" t="s">
        <v>1416</v>
      </c>
      <c r="AW86">
        <v>4</v>
      </c>
      <c r="AX86">
        <v>50.077967999999998</v>
      </c>
      <c r="AY86">
        <v>14.417814999999999</v>
      </c>
      <c r="AZ86">
        <v>1</v>
      </c>
      <c r="BA86">
        <v>1308</v>
      </c>
      <c r="BB86">
        <v>1308</v>
      </c>
      <c r="BC86">
        <v>1</v>
      </c>
      <c r="BD86" t="s">
        <v>1334</v>
      </c>
      <c r="BE86">
        <v>1771892222</v>
      </c>
      <c r="BF86">
        <v>1772135664</v>
      </c>
      <c r="BG86">
        <v>0.97154300000000005</v>
      </c>
      <c r="BH86" t="s">
        <v>21</v>
      </c>
      <c r="BI86">
        <v>2</v>
      </c>
      <c r="BJ86">
        <v>1771892222</v>
      </c>
      <c r="BK86">
        <v>200</v>
      </c>
      <c r="BL86">
        <v>5</v>
      </c>
      <c r="BM86">
        <v>2</v>
      </c>
      <c r="BN86">
        <v>1</v>
      </c>
      <c r="BO86">
        <v>0</v>
      </c>
      <c r="BP86">
        <v>0</v>
      </c>
      <c r="BQ86">
        <v>0.85489999999999999</v>
      </c>
      <c r="BR86">
        <v>0.85489999999999999</v>
      </c>
    </row>
    <row r="87" spans="15:70">
      <c r="O87">
        <v>92</v>
      </c>
      <c r="P87" t="s">
        <v>54</v>
      </c>
      <c r="Q87" t="s">
        <v>1417</v>
      </c>
      <c r="AW87">
        <v>4</v>
      </c>
      <c r="AX87">
        <v>50.077724000000003</v>
      </c>
      <c r="AY87">
        <v>14.418032</v>
      </c>
      <c r="AZ87">
        <v>1</v>
      </c>
      <c r="BA87">
        <v>1464</v>
      </c>
      <c r="BB87">
        <v>1464</v>
      </c>
      <c r="BC87">
        <v>1</v>
      </c>
      <c r="BD87" t="s">
        <v>1334</v>
      </c>
      <c r="BE87">
        <v>1771892252</v>
      </c>
      <c r="BF87">
        <v>1772135664</v>
      </c>
      <c r="BG87">
        <v>0.97154300000000005</v>
      </c>
      <c r="BH87" t="s">
        <v>21</v>
      </c>
      <c r="BI87">
        <v>2</v>
      </c>
      <c r="BJ87">
        <v>1771892252</v>
      </c>
      <c r="BK87">
        <v>200</v>
      </c>
      <c r="BL87">
        <v>5</v>
      </c>
      <c r="BM87">
        <v>2</v>
      </c>
      <c r="BN87">
        <v>1</v>
      </c>
      <c r="BO87">
        <v>0</v>
      </c>
      <c r="BP87">
        <v>0</v>
      </c>
      <c r="BQ87">
        <v>0.95689999999999997</v>
      </c>
      <c r="BR87">
        <v>0.95689999999999997</v>
      </c>
    </row>
    <row r="88" spans="15:70">
      <c r="O88">
        <v>93</v>
      </c>
      <c r="P88" t="s">
        <v>55</v>
      </c>
      <c r="Q88" t="s">
        <v>1418</v>
      </c>
      <c r="AW88">
        <v>4</v>
      </c>
      <c r="AX88">
        <v>50.077947000000002</v>
      </c>
      <c r="AY88">
        <v>14.418281</v>
      </c>
      <c r="AZ88">
        <v>1</v>
      </c>
      <c r="BA88">
        <v>1416</v>
      </c>
      <c r="BB88">
        <v>1416</v>
      </c>
      <c r="BC88">
        <v>1</v>
      </c>
      <c r="BD88" t="s">
        <v>1334</v>
      </c>
      <c r="BE88">
        <v>1771892257</v>
      </c>
      <c r="BF88">
        <v>1772135664</v>
      </c>
      <c r="BG88">
        <v>0.97154300000000005</v>
      </c>
      <c r="BH88" t="s">
        <v>21</v>
      </c>
      <c r="BI88">
        <v>2</v>
      </c>
      <c r="BJ88">
        <v>1771892257</v>
      </c>
      <c r="BK88">
        <v>200</v>
      </c>
      <c r="BL88">
        <v>5</v>
      </c>
      <c r="BM88">
        <v>2</v>
      </c>
      <c r="BN88">
        <v>1</v>
      </c>
      <c r="BO88">
        <v>0</v>
      </c>
      <c r="BP88">
        <v>0</v>
      </c>
      <c r="BQ88">
        <v>0.92549999999999999</v>
      </c>
      <c r="BR88">
        <v>0.92549999999999999</v>
      </c>
    </row>
    <row r="89" spans="15:70">
      <c r="O89">
        <v>95</v>
      </c>
      <c r="P89" t="s">
        <v>763</v>
      </c>
      <c r="Q89" t="s">
        <v>1419</v>
      </c>
      <c r="AW89">
        <v>4</v>
      </c>
      <c r="AX89">
        <v>50.077458</v>
      </c>
      <c r="AY89">
        <v>14.418117000000001</v>
      </c>
      <c r="AZ89">
        <v>1</v>
      </c>
      <c r="BA89">
        <v>1332</v>
      </c>
      <c r="BB89">
        <v>1332</v>
      </c>
      <c r="BC89">
        <v>1</v>
      </c>
      <c r="BD89" t="s">
        <v>1334</v>
      </c>
      <c r="BE89">
        <v>1771892277</v>
      </c>
      <c r="BF89">
        <v>1772135664</v>
      </c>
      <c r="BG89">
        <v>0.97154300000000005</v>
      </c>
      <c r="BH89" t="s">
        <v>21</v>
      </c>
      <c r="BI89">
        <v>2</v>
      </c>
      <c r="BJ89">
        <v>1771892277</v>
      </c>
      <c r="BK89">
        <v>200</v>
      </c>
      <c r="BL89">
        <v>5</v>
      </c>
      <c r="BM89">
        <v>2</v>
      </c>
      <c r="BN89">
        <v>1</v>
      </c>
      <c r="BO89">
        <v>0</v>
      </c>
      <c r="BP89">
        <v>0</v>
      </c>
      <c r="BQ89">
        <v>0.87060000000000004</v>
      </c>
      <c r="BR89">
        <v>0.87060000000000004</v>
      </c>
    </row>
    <row r="90" spans="15:70">
      <c r="O90">
        <v>96</v>
      </c>
      <c r="P90" t="s">
        <v>1024</v>
      </c>
      <c r="Q90" t="s">
        <v>1420</v>
      </c>
      <c r="AW90">
        <v>4</v>
      </c>
      <c r="AX90">
        <v>50.078460999999997</v>
      </c>
      <c r="AY90">
        <v>14.418058</v>
      </c>
      <c r="AZ90">
        <v>1</v>
      </c>
      <c r="BA90">
        <v>1176</v>
      </c>
      <c r="BB90">
        <v>1176</v>
      </c>
      <c r="BC90">
        <v>1</v>
      </c>
      <c r="BD90" t="s">
        <v>1334</v>
      </c>
      <c r="BE90">
        <v>1771892463</v>
      </c>
      <c r="BF90">
        <v>1772135664</v>
      </c>
      <c r="BG90">
        <v>0.97154300000000005</v>
      </c>
      <c r="BH90" t="s">
        <v>21</v>
      </c>
      <c r="BI90">
        <v>2</v>
      </c>
      <c r="BJ90">
        <v>1771892463</v>
      </c>
      <c r="BK90">
        <v>200</v>
      </c>
      <c r="BL90">
        <v>5</v>
      </c>
      <c r="BM90">
        <v>2</v>
      </c>
      <c r="BN90">
        <v>1</v>
      </c>
      <c r="BO90">
        <v>0</v>
      </c>
      <c r="BP90">
        <v>0</v>
      </c>
      <c r="BQ90">
        <v>0.76859999999999995</v>
      </c>
      <c r="BR90">
        <v>0.76859999999999995</v>
      </c>
    </row>
    <row r="91" spans="15:70">
      <c r="O91">
        <v>97</v>
      </c>
      <c r="P91" t="s">
        <v>991</v>
      </c>
      <c r="Q91" t="s">
        <v>1421</v>
      </c>
      <c r="AW91">
        <v>4</v>
      </c>
      <c r="AX91">
        <v>50.066684000000002</v>
      </c>
      <c r="AY91">
        <v>14.429955</v>
      </c>
      <c r="AZ91">
        <v>1</v>
      </c>
      <c r="BA91">
        <v>1152</v>
      </c>
      <c r="BB91">
        <v>1152</v>
      </c>
      <c r="BC91">
        <v>1</v>
      </c>
      <c r="BD91" t="s">
        <v>1334</v>
      </c>
      <c r="BE91">
        <v>1771892927</v>
      </c>
      <c r="BF91">
        <v>1772135664</v>
      </c>
      <c r="BG91">
        <v>0.97154300000000005</v>
      </c>
      <c r="BH91" t="s">
        <v>21</v>
      </c>
      <c r="BI91">
        <v>2</v>
      </c>
      <c r="BJ91">
        <v>1771892927</v>
      </c>
      <c r="BK91">
        <v>200</v>
      </c>
      <c r="BL91">
        <v>5</v>
      </c>
      <c r="BM91">
        <v>2</v>
      </c>
      <c r="BN91">
        <v>1</v>
      </c>
      <c r="BO91">
        <v>0</v>
      </c>
      <c r="BP91">
        <v>0</v>
      </c>
      <c r="BQ91">
        <v>0.75290000000000001</v>
      </c>
      <c r="BR91">
        <v>0.75290000000000001</v>
      </c>
    </row>
    <row r="92" spans="15:70">
      <c r="O92">
        <v>98</v>
      </c>
      <c r="P92" t="s">
        <v>820</v>
      </c>
      <c r="Q92" t="s">
        <v>1422</v>
      </c>
      <c r="AW92">
        <v>4</v>
      </c>
      <c r="AX92">
        <v>50.066251999999999</v>
      </c>
      <c r="AY92">
        <v>14.430388000000001</v>
      </c>
      <c r="AZ92">
        <v>1</v>
      </c>
      <c r="BA92">
        <v>1254</v>
      </c>
      <c r="BB92">
        <v>1254</v>
      </c>
      <c r="BC92">
        <v>1</v>
      </c>
      <c r="BD92" t="s">
        <v>1334</v>
      </c>
      <c r="BE92">
        <v>1771892933</v>
      </c>
      <c r="BF92">
        <v>1772135664</v>
      </c>
      <c r="BG92">
        <v>0.97154300000000005</v>
      </c>
      <c r="BH92" t="s">
        <v>21</v>
      </c>
      <c r="BI92">
        <v>2</v>
      </c>
      <c r="BJ92">
        <v>1771892933</v>
      </c>
      <c r="BK92">
        <v>200</v>
      </c>
      <c r="BL92">
        <v>5</v>
      </c>
      <c r="BM92">
        <v>2</v>
      </c>
      <c r="BN92">
        <v>1</v>
      </c>
      <c r="BO92">
        <v>0</v>
      </c>
      <c r="BP92">
        <v>0</v>
      </c>
      <c r="BQ92">
        <v>0.8196</v>
      </c>
      <c r="BR92">
        <v>0.8196</v>
      </c>
    </row>
    <row r="93" spans="15:70">
      <c r="O93">
        <v>99</v>
      </c>
      <c r="P93" t="s">
        <v>1000</v>
      </c>
      <c r="Q93" t="s">
        <v>1423</v>
      </c>
      <c r="AW93">
        <v>4</v>
      </c>
      <c r="AX93">
        <v>50.065846999999998</v>
      </c>
      <c r="AY93">
        <v>14.430108000000001</v>
      </c>
      <c r="AZ93">
        <v>1</v>
      </c>
      <c r="BA93">
        <v>1176</v>
      </c>
      <c r="BB93">
        <v>1176</v>
      </c>
      <c r="BC93">
        <v>1</v>
      </c>
      <c r="BD93" t="s">
        <v>1334</v>
      </c>
      <c r="BE93">
        <v>1771892938</v>
      </c>
      <c r="BF93">
        <v>1772135664</v>
      </c>
      <c r="BG93">
        <v>0.97154300000000005</v>
      </c>
      <c r="BH93" t="s">
        <v>21</v>
      </c>
      <c r="BI93">
        <v>2</v>
      </c>
      <c r="BJ93">
        <v>1771892938</v>
      </c>
      <c r="BK93">
        <v>200</v>
      </c>
      <c r="BL93">
        <v>5</v>
      </c>
      <c r="BM93">
        <v>2</v>
      </c>
      <c r="BN93">
        <v>1</v>
      </c>
      <c r="BO93">
        <v>0</v>
      </c>
      <c r="BP93">
        <v>0</v>
      </c>
      <c r="BQ93">
        <v>0.76859999999999995</v>
      </c>
      <c r="BR93">
        <v>0.76859999999999995</v>
      </c>
    </row>
    <row r="94" spans="15:70">
      <c r="O94">
        <v>101</v>
      </c>
      <c r="P94" t="s">
        <v>764</v>
      </c>
      <c r="Q94" t="s">
        <v>1424</v>
      </c>
      <c r="AW94">
        <v>4</v>
      </c>
      <c r="AX94">
        <v>50.065356999999999</v>
      </c>
      <c r="AY94">
        <v>14.430437</v>
      </c>
      <c r="AZ94">
        <v>1</v>
      </c>
      <c r="BA94">
        <v>1218</v>
      </c>
      <c r="BB94">
        <v>1218</v>
      </c>
      <c r="BC94">
        <v>1</v>
      </c>
      <c r="BD94" t="s">
        <v>1334</v>
      </c>
      <c r="BE94">
        <v>1771892942</v>
      </c>
      <c r="BF94">
        <v>1772135664</v>
      </c>
      <c r="BG94">
        <v>0.97154300000000005</v>
      </c>
      <c r="BH94" t="s">
        <v>21</v>
      </c>
      <c r="BI94">
        <v>2</v>
      </c>
      <c r="BJ94">
        <v>1771892942</v>
      </c>
      <c r="BK94">
        <v>200</v>
      </c>
      <c r="BL94">
        <v>5</v>
      </c>
      <c r="BM94">
        <v>2</v>
      </c>
      <c r="BN94">
        <v>1</v>
      </c>
      <c r="BO94">
        <v>0</v>
      </c>
      <c r="BP94">
        <v>0</v>
      </c>
      <c r="BQ94">
        <v>0.79610000000000003</v>
      </c>
      <c r="BR94">
        <v>0.79610000000000003</v>
      </c>
    </row>
    <row r="95" spans="15:70">
      <c r="O95">
        <v>102</v>
      </c>
      <c r="P95" t="s">
        <v>1023</v>
      </c>
      <c r="Q95" t="s">
        <v>1425</v>
      </c>
      <c r="AW95">
        <v>4</v>
      </c>
      <c r="AX95">
        <v>50.065120999999998</v>
      </c>
      <c r="AY95">
        <v>14.430198000000001</v>
      </c>
      <c r="AZ95">
        <v>1</v>
      </c>
      <c r="BA95">
        <v>1074</v>
      </c>
      <c r="BB95">
        <v>1074</v>
      </c>
      <c r="BC95">
        <v>1</v>
      </c>
      <c r="BD95" t="s">
        <v>1334</v>
      </c>
      <c r="BE95">
        <v>1771892946</v>
      </c>
      <c r="BF95">
        <v>1772135664</v>
      </c>
      <c r="BG95">
        <v>0.97154300000000005</v>
      </c>
      <c r="BH95" t="s">
        <v>21</v>
      </c>
      <c r="BI95">
        <v>2</v>
      </c>
      <c r="BJ95">
        <v>1771892946</v>
      </c>
      <c r="BK95">
        <v>200</v>
      </c>
      <c r="BL95">
        <v>5</v>
      </c>
      <c r="BM95">
        <v>2</v>
      </c>
      <c r="BN95">
        <v>1</v>
      </c>
      <c r="BO95">
        <v>0</v>
      </c>
      <c r="BP95">
        <v>0</v>
      </c>
      <c r="BQ95">
        <v>0.70199999999999996</v>
      </c>
      <c r="BR95">
        <v>0.70199999999999996</v>
      </c>
    </row>
    <row r="96" spans="15:70">
      <c r="O96">
        <v>103</v>
      </c>
      <c r="P96" t="s">
        <v>818</v>
      </c>
      <c r="Q96" t="s">
        <v>1426</v>
      </c>
      <c r="AW96">
        <v>4</v>
      </c>
      <c r="AX96">
        <v>50.047772000000002</v>
      </c>
      <c r="AY96">
        <v>14.453512999999999</v>
      </c>
      <c r="AZ96">
        <v>1</v>
      </c>
      <c r="BA96">
        <v>1206</v>
      </c>
      <c r="BB96">
        <v>1206</v>
      </c>
      <c r="BC96">
        <v>1</v>
      </c>
      <c r="BD96" t="s">
        <v>1334</v>
      </c>
      <c r="BE96">
        <v>1771893801</v>
      </c>
      <c r="BF96">
        <v>1772135664</v>
      </c>
      <c r="BG96">
        <v>0.97154300000000005</v>
      </c>
      <c r="BH96" t="s">
        <v>21</v>
      </c>
      <c r="BI96">
        <v>2</v>
      </c>
      <c r="BJ96">
        <v>1771893801</v>
      </c>
      <c r="BK96">
        <v>200</v>
      </c>
      <c r="BL96">
        <v>5</v>
      </c>
      <c r="BM96">
        <v>2</v>
      </c>
      <c r="BN96">
        <v>1</v>
      </c>
      <c r="BO96">
        <v>0</v>
      </c>
      <c r="BP96">
        <v>0</v>
      </c>
      <c r="BQ96">
        <v>0.78820000000000001</v>
      </c>
      <c r="BR96">
        <v>0.78820000000000001</v>
      </c>
    </row>
    <row r="97" spans="15:70">
      <c r="O97">
        <v>104</v>
      </c>
      <c r="P97" t="s">
        <v>1001</v>
      </c>
      <c r="Q97" t="s">
        <v>1427</v>
      </c>
      <c r="AW97">
        <v>4</v>
      </c>
      <c r="AX97">
        <v>50.047736999999998</v>
      </c>
      <c r="AY97">
        <v>14.453925999999999</v>
      </c>
      <c r="AZ97">
        <v>1</v>
      </c>
      <c r="BA97">
        <v>1152</v>
      </c>
      <c r="BB97">
        <v>1152</v>
      </c>
      <c r="BC97">
        <v>1</v>
      </c>
      <c r="BD97" t="s">
        <v>1334</v>
      </c>
      <c r="BE97">
        <v>1771893805</v>
      </c>
      <c r="BF97">
        <v>1772135664</v>
      </c>
      <c r="BG97">
        <v>0.97154300000000005</v>
      </c>
      <c r="BH97" t="s">
        <v>21</v>
      </c>
      <c r="BI97">
        <v>2</v>
      </c>
      <c r="BJ97">
        <v>1771893805</v>
      </c>
      <c r="BK97">
        <v>200</v>
      </c>
      <c r="BL97">
        <v>5</v>
      </c>
      <c r="BM97">
        <v>2</v>
      </c>
      <c r="BN97">
        <v>1</v>
      </c>
      <c r="BO97">
        <v>0</v>
      </c>
      <c r="BP97">
        <v>0</v>
      </c>
      <c r="BQ97">
        <v>0.75290000000000001</v>
      </c>
      <c r="BR97">
        <v>0.75290000000000001</v>
      </c>
    </row>
    <row r="98" spans="15:70">
      <c r="O98">
        <v>115</v>
      </c>
      <c r="P98" t="s">
        <v>1007</v>
      </c>
      <c r="Q98" t="s">
        <v>1428</v>
      </c>
      <c r="AW98">
        <v>4</v>
      </c>
      <c r="AX98">
        <v>50.047927000000001</v>
      </c>
      <c r="AY98">
        <v>14.454768</v>
      </c>
      <c r="AZ98">
        <v>1</v>
      </c>
      <c r="BA98">
        <v>1218</v>
      </c>
      <c r="BB98">
        <v>1218</v>
      </c>
      <c r="BC98">
        <v>1</v>
      </c>
      <c r="BD98" t="s">
        <v>1334</v>
      </c>
      <c r="BE98">
        <v>1771893821</v>
      </c>
      <c r="BF98">
        <v>1772135664</v>
      </c>
      <c r="BG98">
        <v>0.97154300000000005</v>
      </c>
      <c r="BH98" t="s">
        <v>21</v>
      </c>
      <c r="BI98">
        <v>2</v>
      </c>
      <c r="BJ98">
        <v>1771893821</v>
      </c>
      <c r="BK98">
        <v>200</v>
      </c>
      <c r="BL98">
        <v>5</v>
      </c>
      <c r="BM98">
        <v>2</v>
      </c>
      <c r="BN98">
        <v>1</v>
      </c>
      <c r="BO98">
        <v>0</v>
      </c>
      <c r="BP98">
        <v>0</v>
      </c>
      <c r="BQ98">
        <v>0.79610000000000003</v>
      </c>
      <c r="BR98">
        <v>0.79610000000000003</v>
      </c>
    </row>
    <row r="99" spans="15:70">
      <c r="O99">
        <v>116</v>
      </c>
      <c r="P99" t="s">
        <v>1035</v>
      </c>
      <c r="Q99" t="s">
        <v>1429</v>
      </c>
      <c r="AW99">
        <v>4</v>
      </c>
      <c r="AX99">
        <v>50.048001999999997</v>
      </c>
      <c r="AY99">
        <v>14.455590000000001</v>
      </c>
      <c r="AZ99">
        <v>1</v>
      </c>
      <c r="BA99">
        <v>1242</v>
      </c>
      <c r="BB99">
        <v>1242</v>
      </c>
      <c r="BC99">
        <v>1</v>
      </c>
      <c r="BD99" t="s">
        <v>1334</v>
      </c>
      <c r="BE99">
        <v>1771893825</v>
      </c>
      <c r="BF99">
        <v>1772135664</v>
      </c>
      <c r="BG99">
        <v>0.97154300000000005</v>
      </c>
      <c r="BH99" t="s">
        <v>21</v>
      </c>
      <c r="BI99">
        <v>2</v>
      </c>
      <c r="BJ99">
        <v>1771893825</v>
      </c>
      <c r="BK99">
        <v>200</v>
      </c>
      <c r="BL99">
        <v>5</v>
      </c>
      <c r="BM99">
        <v>2</v>
      </c>
      <c r="BN99">
        <v>1</v>
      </c>
      <c r="BO99">
        <v>0</v>
      </c>
      <c r="BP99">
        <v>0</v>
      </c>
      <c r="BQ99">
        <v>0.81179999999999997</v>
      </c>
      <c r="BR99">
        <v>0.81179999999999997</v>
      </c>
    </row>
    <row r="100" spans="15:70">
      <c r="O100">
        <v>117</v>
      </c>
      <c r="P100" t="s">
        <v>988</v>
      </c>
      <c r="Q100" t="s">
        <v>1430</v>
      </c>
      <c r="AW100">
        <v>4</v>
      </c>
      <c r="AX100">
        <v>50.048065999999999</v>
      </c>
      <c r="AY100">
        <v>14.456007</v>
      </c>
      <c r="AZ100">
        <v>1</v>
      </c>
      <c r="BA100">
        <v>1044</v>
      </c>
      <c r="BB100">
        <v>1044</v>
      </c>
      <c r="BC100">
        <v>1</v>
      </c>
      <c r="BD100" t="s">
        <v>1334</v>
      </c>
      <c r="BE100">
        <v>1771893829</v>
      </c>
      <c r="BF100">
        <v>1772135664</v>
      </c>
      <c r="BG100">
        <v>0.97154300000000005</v>
      </c>
      <c r="BH100" t="s">
        <v>21</v>
      </c>
      <c r="BI100">
        <v>2</v>
      </c>
      <c r="BJ100">
        <v>1771893829</v>
      </c>
      <c r="BK100">
        <v>200</v>
      </c>
      <c r="BL100">
        <v>5</v>
      </c>
      <c r="BM100">
        <v>2</v>
      </c>
      <c r="BN100">
        <v>1</v>
      </c>
      <c r="BO100">
        <v>0</v>
      </c>
      <c r="BP100">
        <v>0</v>
      </c>
      <c r="BQ100">
        <v>0.68240000000000001</v>
      </c>
      <c r="BR100">
        <v>0.68240000000000001</v>
      </c>
    </row>
    <row r="101" spans="15:70">
      <c r="O101">
        <v>118</v>
      </c>
      <c r="P101" t="s">
        <v>771</v>
      </c>
      <c r="Q101" t="s">
        <v>1431</v>
      </c>
      <c r="AW101">
        <v>4</v>
      </c>
      <c r="AX101">
        <v>50.023428000000003</v>
      </c>
      <c r="AY101">
        <v>14.451575999999999</v>
      </c>
      <c r="AZ101">
        <v>1</v>
      </c>
      <c r="BA101">
        <v>1008</v>
      </c>
      <c r="BB101">
        <v>1008</v>
      </c>
      <c r="BC101">
        <v>1</v>
      </c>
      <c r="BD101" t="s">
        <v>1334</v>
      </c>
      <c r="BE101">
        <v>1771894323</v>
      </c>
      <c r="BF101">
        <v>1772135664</v>
      </c>
      <c r="BG101">
        <v>0.97154300000000005</v>
      </c>
      <c r="BH101" t="s">
        <v>21</v>
      </c>
      <c r="BI101">
        <v>2</v>
      </c>
      <c r="BJ101">
        <v>1771894323</v>
      </c>
      <c r="BK101">
        <v>200</v>
      </c>
      <c r="BL101">
        <v>5</v>
      </c>
      <c r="BM101">
        <v>2</v>
      </c>
      <c r="BN101">
        <v>1</v>
      </c>
      <c r="BO101">
        <v>0</v>
      </c>
      <c r="BP101">
        <v>0</v>
      </c>
      <c r="BQ101">
        <v>0.65880000000000005</v>
      </c>
      <c r="BR101">
        <v>0.65880000000000005</v>
      </c>
    </row>
    <row r="102" spans="15:70">
      <c r="O102">
        <v>119</v>
      </c>
      <c r="P102" t="s">
        <v>1033</v>
      </c>
      <c r="Q102" t="s">
        <v>1432</v>
      </c>
      <c r="AW102">
        <v>4</v>
      </c>
      <c r="AX102">
        <v>50.022497000000001</v>
      </c>
      <c r="AY102">
        <v>14.451826000000001</v>
      </c>
      <c r="AZ102">
        <v>1</v>
      </c>
      <c r="BA102">
        <v>1230</v>
      </c>
      <c r="BB102">
        <v>1230</v>
      </c>
      <c r="BC102">
        <v>1</v>
      </c>
      <c r="BD102" t="s">
        <v>1334</v>
      </c>
      <c r="BE102">
        <v>1771894364</v>
      </c>
      <c r="BF102">
        <v>1772135664</v>
      </c>
      <c r="BG102">
        <v>0.97154300000000005</v>
      </c>
      <c r="BH102" t="s">
        <v>21</v>
      </c>
      <c r="BI102">
        <v>2</v>
      </c>
      <c r="BJ102">
        <v>1771894364</v>
      </c>
      <c r="BK102">
        <v>200</v>
      </c>
      <c r="BL102">
        <v>5</v>
      </c>
      <c r="BM102">
        <v>2</v>
      </c>
      <c r="BN102">
        <v>1</v>
      </c>
      <c r="BO102">
        <v>0</v>
      </c>
      <c r="BP102">
        <v>0</v>
      </c>
      <c r="BQ102">
        <v>0.80389999999999995</v>
      </c>
      <c r="BR102">
        <v>0.80389999999999995</v>
      </c>
    </row>
    <row r="103" spans="15:70">
      <c r="O103">
        <v>120</v>
      </c>
      <c r="P103" t="s">
        <v>1032</v>
      </c>
      <c r="Q103" t="s">
        <v>1433</v>
      </c>
      <c r="AW103">
        <v>4</v>
      </c>
      <c r="AX103">
        <v>50.022243000000003</v>
      </c>
      <c r="AY103">
        <v>14.451983999999999</v>
      </c>
      <c r="AZ103">
        <v>1</v>
      </c>
      <c r="BA103">
        <v>1272</v>
      </c>
      <c r="BB103">
        <v>1272</v>
      </c>
      <c r="BC103">
        <v>1</v>
      </c>
      <c r="BD103" t="s">
        <v>1334</v>
      </c>
      <c r="BE103">
        <v>1771894371</v>
      </c>
      <c r="BF103">
        <v>1772135664</v>
      </c>
      <c r="BG103">
        <v>0.97154300000000005</v>
      </c>
      <c r="BH103" t="s">
        <v>21</v>
      </c>
      <c r="BI103">
        <v>2</v>
      </c>
      <c r="BJ103">
        <v>1771894371</v>
      </c>
      <c r="BK103">
        <v>200</v>
      </c>
      <c r="BL103">
        <v>5</v>
      </c>
      <c r="BM103">
        <v>2</v>
      </c>
      <c r="BN103">
        <v>1</v>
      </c>
      <c r="BO103">
        <v>0</v>
      </c>
      <c r="BP103">
        <v>0</v>
      </c>
      <c r="BQ103">
        <v>0.83140000000000003</v>
      </c>
      <c r="BR103">
        <v>0.83140000000000003</v>
      </c>
    </row>
    <row r="104" spans="15:70">
      <c r="O104">
        <v>121</v>
      </c>
      <c r="P104" t="s">
        <v>1434</v>
      </c>
      <c r="Q104" t="s">
        <v>1435</v>
      </c>
      <c r="AW104">
        <v>4</v>
      </c>
      <c r="AX104">
        <v>50.022475999999997</v>
      </c>
      <c r="AY104">
        <v>14.452244</v>
      </c>
      <c r="AZ104">
        <v>1</v>
      </c>
      <c r="BA104">
        <v>1176</v>
      </c>
      <c r="BB104">
        <v>1176</v>
      </c>
      <c r="BC104">
        <v>1</v>
      </c>
      <c r="BD104" t="s">
        <v>1334</v>
      </c>
      <c r="BE104">
        <v>1771894375</v>
      </c>
      <c r="BF104">
        <v>1772135664</v>
      </c>
      <c r="BG104">
        <v>0.97154300000000005</v>
      </c>
      <c r="BH104" t="s">
        <v>21</v>
      </c>
      <c r="BI104">
        <v>2</v>
      </c>
      <c r="BJ104">
        <v>1771894375</v>
      </c>
      <c r="BK104">
        <v>200</v>
      </c>
      <c r="BL104">
        <v>5</v>
      </c>
      <c r="BM104">
        <v>2</v>
      </c>
      <c r="BN104">
        <v>1</v>
      </c>
      <c r="BO104">
        <v>0</v>
      </c>
      <c r="BP104">
        <v>0</v>
      </c>
      <c r="BQ104">
        <v>0.76859999999999995</v>
      </c>
      <c r="BR104">
        <v>0.76859999999999995</v>
      </c>
    </row>
    <row r="105" spans="15:70">
      <c r="O105">
        <v>122</v>
      </c>
      <c r="P105" t="s">
        <v>141</v>
      </c>
      <c r="Q105" t="s">
        <v>1436</v>
      </c>
      <c r="AW105">
        <v>4</v>
      </c>
      <c r="AX105">
        <v>50.080978999999999</v>
      </c>
      <c r="AY105">
        <v>14.415767000000001</v>
      </c>
      <c r="AZ105">
        <v>1</v>
      </c>
      <c r="BA105">
        <v>1176</v>
      </c>
      <c r="BB105">
        <v>1176</v>
      </c>
      <c r="BC105">
        <v>1</v>
      </c>
      <c r="BD105" t="s">
        <v>1334</v>
      </c>
      <c r="BE105">
        <v>1771942165</v>
      </c>
      <c r="BF105">
        <v>1772135664</v>
      </c>
      <c r="BG105">
        <v>0.97154300000000005</v>
      </c>
      <c r="BH105" t="s">
        <v>21</v>
      </c>
      <c r="BI105">
        <v>2</v>
      </c>
      <c r="BJ105">
        <v>1771942165</v>
      </c>
      <c r="BK105">
        <v>200</v>
      </c>
      <c r="BL105">
        <v>5</v>
      </c>
      <c r="BM105">
        <v>2</v>
      </c>
      <c r="BN105">
        <v>1</v>
      </c>
      <c r="BO105">
        <v>0</v>
      </c>
      <c r="BP105">
        <v>0</v>
      </c>
      <c r="BQ105">
        <v>0.76859999999999995</v>
      </c>
      <c r="BR105">
        <v>0.76859999999999995</v>
      </c>
    </row>
    <row r="106" spans="15:70">
      <c r="O106">
        <v>123</v>
      </c>
      <c r="P106" t="s">
        <v>144</v>
      </c>
      <c r="Q106" t="s">
        <v>1437</v>
      </c>
      <c r="AW106">
        <v>4</v>
      </c>
      <c r="AX106">
        <v>50.092787000000001</v>
      </c>
      <c r="AY106">
        <v>14.373898000000001</v>
      </c>
      <c r="AZ106">
        <v>1</v>
      </c>
      <c r="BA106">
        <v>1074</v>
      </c>
      <c r="BB106">
        <v>1074</v>
      </c>
      <c r="BC106">
        <v>1</v>
      </c>
      <c r="BD106" t="s">
        <v>1334</v>
      </c>
      <c r="BE106">
        <v>1771970625</v>
      </c>
      <c r="BF106">
        <v>1772135664</v>
      </c>
      <c r="BG106">
        <v>0.97154300000000005</v>
      </c>
      <c r="BH106" t="s">
        <v>21</v>
      </c>
      <c r="BI106">
        <v>2</v>
      </c>
      <c r="BJ106">
        <v>1771970625</v>
      </c>
      <c r="BK106">
        <v>200</v>
      </c>
      <c r="BL106">
        <v>5</v>
      </c>
      <c r="BM106">
        <v>2</v>
      </c>
      <c r="BN106">
        <v>1</v>
      </c>
      <c r="BO106">
        <v>0</v>
      </c>
      <c r="BP106">
        <v>0</v>
      </c>
      <c r="BQ106">
        <v>0.70199999999999996</v>
      </c>
      <c r="BR106">
        <v>0.70199999999999996</v>
      </c>
    </row>
    <row r="107" spans="15:70">
      <c r="O107">
        <v>124</v>
      </c>
      <c r="P107" t="s">
        <v>35</v>
      </c>
      <c r="Q107" t="s">
        <v>1438</v>
      </c>
      <c r="AW107">
        <v>4</v>
      </c>
      <c r="AX107">
        <v>50.092627999999998</v>
      </c>
      <c r="AY107">
        <v>14.375534</v>
      </c>
      <c r="AZ107">
        <v>1</v>
      </c>
      <c r="BA107">
        <v>1242</v>
      </c>
      <c r="BB107">
        <v>1242</v>
      </c>
      <c r="BC107">
        <v>1</v>
      </c>
      <c r="BD107" t="s">
        <v>1334</v>
      </c>
      <c r="BE107">
        <v>1771970630</v>
      </c>
      <c r="BF107">
        <v>1772135664</v>
      </c>
      <c r="BG107">
        <v>0.97154300000000005</v>
      </c>
      <c r="BH107" t="s">
        <v>21</v>
      </c>
      <c r="BI107">
        <v>2</v>
      </c>
      <c r="BJ107">
        <v>1771970630</v>
      </c>
      <c r="BK107">
        <v>200</v>
      </c>
      <c r="BL107">
        <v>5</v>
      </c>
      <c r="BM107">
        <v>2</v>
      </c>
      <c r="BN107">
        <v>1</v>
      </c>
      <c r="BO107">
        <v>0</v>
      </c>
      <c r="BP107">
        <v>0</v>
      </c>
      <c r="BQ107">
        <v>0.81179999999999997</v>
      </c>
      <c r="BR107">
        <v>0.81179999999999997</v>
      </c>
    </row>
    <row r="108" spans="15:70">
      <c r="O108">
        <v>125</v>
      </c>
      <c r="P108" t="s">
        <v>167</v>
      </c>
      <c r="Q108" t="s">
        <v>1439</v>
      </c>
      <c r="AW108">
        <v>4</v>
      </c>
      <c r="AX108">
        <v>50.094670000000001</v>
      </c>
      <c r="AY108">
        <v>14.39555</v>
      </c>
      <c r="AZ108">
        <v>1</v>
      </c>
      <c r="BA108">
        <v>1272</v>
      </c>
      <c r="BB108">
        <v>1272</v>
      </c>
      <c r="BC108">
        <v>1</v>
      </c>
      <c r="BD108" t="s">
        <v>1334</v>
      </c>
      <c r="BE108">
        <v>1771970886</v>
      </c>
      <c r="BF108">
        <v>1772135664</v>
      </c>
      <c r="BG108">
        <v>0.97154300000000005</v>
      </c>
      <c r="BH108" t="s">
        <v>21</v>
      </c>
      <c r="BI108">
        <v>2</v>
      </c>
      <c r="BJ108">
        <v>1771970886</v>
      </c>
      <c r="BK108">
        <v>200</v>
      </c>
      <c r="BL108">
        <v>5</v>
      </c>
      <c r="BM108">
        <v>2</v>
      </c>
      <c r="BN108">
        <v>1</v>
      </c>
      <c r="BO108">
        <v>0</v>
      </c>
      <c r="BP108">
        <v>0</v>
      </c>
      <c r="BQ108">
        <v>0.83140000000000003</v>
      </c>
      <c r="BR108">
        <v>0.83140000000000003</v>
      </c>
    </row>
    <row r="109" spans="15:70">
      <c r="O109">
        <v>126</v>
      </c>
      <c r="P109" t="s">
        <v>147</v>
      </c>
      <c r="Q109" t="s">
        <v>1440</v>
      </c>
      <c r="AW109">
        <v>4</v>
      </c>
      <c r="AX109">
        <v>50.094718</v>
      </c>
      <c r="AY109">
        <v>14.395960000000001</v>
      </c>
      <c r="AZ109">
        <v>1</v>
      </c>
      <c r="BA109">
        <v>1242</v>
      </c>
      <c r="BB109">
        <v>1242</v>
      </c>
      <c r="BC109">
        <v>1</v>
      </c>
      <c r="BD109" t="s">
        <v>1334</v>
      </c>
      <c r="BE109">
        <v>1771970900</v>
      </c>
      <c r="BF109">
        <v>1772135664</v>
      </c>
      <c r="BG109">
        <v>0.97154300000000005</v>
      </c>
      <c r="BH109" t="s">
        <v>21</v>
      </c>
      <c r="BI109">
        <v>2</v>
      </c>
      <c r="BJ109">
        <v>1771970900</v>
      </c>
      <c r="BK109">
        <v>200</v>
      </c>
      <c r="BL109">
        <v>5</v>
      </c>
      <c r="BM109">
        <v>2</v>
      </c>
      <c r="BN109">
        <v>1</v>
      </c>
      <c r="BO109">
        <v>0</v>
      </c>
      <c r="BP109">
        <v>0</v>
      </c>
      <c r="BQ109">
        <v>0.81179999999999997</v>
      </c>
      <c r="BR109">
        <v>0.81179999999999997</v>
      </c>
    </row>
    <row r="110" spans="15:70">
      <c r="O110">
        <v>127</v>
      </c>
      <c r="P110" t="s">
        <v>151</v>
      </c>
      <c r="Q110" t="s">
        <v>1441</v>
      </c>
      <c r="AW110">
        <v>4</v>
      </c>
      <c r="AX110">
        <v>50.099491</v>
      </c>
      <c r="AY110">
        <v>14.419938999999999</v>
      </c>
      <c r="AZ110">
        <v>1</v>
      </c>
      <c r="BA110">
        <v>1086</v>
      </c>
      <c r="BB110">
        <v>1086</v>
      </c>
      <c r="BC110">
        <v>1</v>
      </c>
      <c r="BD110" t="s">
        <v>1334</v>
      </c>
      <c r="BE110">
        <v>1771971170</v>
      </c>
      <c r="BF110">
        <v>1772135664</v>
      </c>
      <c r="BG110">
        <v>0.97154300000000005</v>
      </c>
      <c r="BH110" t="s">
        <v>21</v>
      </c>
      <c r="BI110">
        <v>2</v>
      </c>
      <c r="BJ110">
        <v>1771971170</v>
      </c>
      <c r="BK110">
        <v>200</v>
      </c>
      <c r="BL110">
        <v>5</v>
      </c>
      <c r="BM110">
        <v>2</v>
      </c>
      <c r="BN110">
        <v>1</v>
      </c>
      <c r="BO110">
        <v>0</v>
      </c>
      <c r="BP110">
        <v>0</v>
      </c>
      <c r="BQ110">
        <v>0.70979999999999999</v>
      </c>
      <c r="BR110">
        <v>0.70979999999999999</v>
      </c>
    </row>
    <row r="111" spans="15:70">
      <c r="O111">
        <v>158</v>
      </c>
      <c r="P111" t="s">
        <v>1442</v>
      </c>
      <c r="Q111" t="s">
        <v>1443</v>
      </c>
      <c r="AW111">
        <v>4</v>
      </c>
      <c r="AX111">
        <v>50.09948</v>
      </c>
      <c r="AY111">
        <v>14.436831</v>
      </c>
      <c r="AZ111">
        <v>1</v>
      </c>
      <c r="BA111">
        <v>1062</v>
      </c>
      <c r="BB111">
        <v>1062</v>
      </c>
      <c r="BC111">
        <v>1</v>
      </c>
      <c r="BD111" t="s">
        <v>1334</v>
      </c>
      <c r="BE111">
        <v>1771971427</v>
      </c>
      <c r="BF111">
        <v>1772135664</v>
      </c>
      <c r="BG111">
        <v>0.97154300000000005</v>
      </c>
      <c r="BH111" t="s">
        <v>21</v>
      </c>
      <c r="BI111">
        <v>2</v>
      </c>
      <c r="BJ111">
        <v>1771971427</v>
      </c>
      <c r="BK111">
        <v>200</v>
      </c>
      <c r="BL111">
        <v>5</v>
      </c>
      <c r="BM111">
        <v>2</v>
      </c>
      <c r="BN111">
        <v>1</v>
      </c>
      <c r="BO111">
        <v>0</v>
      </c>
      <c r="BP111">
        <v>0</v>
      </c>
      <c r="BQ111">
        <v>0.69410000000000005</v>
      </c>
      <c r="BR111">
        <v>0.69410000000000005</v>
      </c>
    </row>
    <row r="112" spans="15:70">
      <c r="O112">
        <v>159</v>
      </c>
      <c r="P112" t="s">
        <v>1444</v>
      </c>
      <c r="Q112" t="s">
        <v>1445</v>
      </c>
      <c r="AW112">
        <v>4</v>
      </c>
      <c r="AX112">
        <v>50.021796000000002</v>
      </c>
      <c r="AY112">
        <v>14.462631</v>
      </c>
      <c r="AZ112">
        <v>1</v>
      </c>
      <c r="BA112">
        <v>1122</v>
      </c>
      <c r="BB112">
        <v>1122</v>
      </c>
      <c r="BC112">
        <v>1</v>
      </c>
      <c r="BD112" t="s">
        <v>1334</v>
      </c>
      <c r="BE112">
        <v>1771973504</v>
      </c>
      <c r="BF112">
        <v>1772135664</v>
      </c>
      <c r="BG112">
        <v>0.97154300000000005</v>
      </c>
      <c r="BH112" t="s">
        <v>21</v>
      </c>
      <c r="BI112">
        <v>2</v>
      </c>
      <c r="BJ112">
        <v>1771973504</v>
      </c>
      <c r="BK112">
        <v>200</v>
      </c>
      <c r="BL112">
        <v>5</v>
      </c>
      <c r="BM112">
        <v>2</v>
      </c>
      <c r="BN112">
        <v>1</v>
      </c>
      <c r="BO112">
        <v>0</v>
      </c>
      <c r="BP112">
        <v>0</v>
      </c>
      <c r="BQ112">
        <v>0.73329999999999995</v>
      </c>
      <c r="BR112">
        <v>0.73329999999999995</v>
      </c>
    </row>
    <row r="113" spans="15:70">
      <c r="O113">
        <v>160</v>
      </c>
      <c r="P113" t="s">
        <v>1304</v>
      </c>
      <c r="Q113" t="s">
        <v>1446</v>
      </c>
      <c r="AW113">
        <v>4</v>
      </c>
      <c r="AX113">
        <v>50.082816999999999</v>
      </c>
      <c r="AY113">
        <v>14.433941000000001</v>
      </c>
      <c r="AZ113">
        <v>1</v>
      </c>
      <c r="BA113">
        <v>1296</v>
      </c>
      <c r="BB113">
        <v>1296</v>
      </c>
      <c r="BC113">
        <v>1</v>
      </c>
      <c r="BD113" t="s">
        <v>1334</v>
      </c>
      <c r="BE113">
        <v>1772019342</v>
      </c>
      <c r="BF113">
        <v>1772135664</v>
      </c>
      <c r="BG113">
        <v>0.97154300000000005</v>
      </c>
      <c r="BH113" t="s">
        <v>21</v>
      </c>
      <c r="BI113">
        <v>2</v>
      </c>
      <c r="BJ113">
        <v>1772019342</v>
      </c>
      <c r="BK113">
        <v>200</v>
      </c>
      <c r="BL113">
        <v>5</v>
      </c>
      <c r="BM113">
        <v>2</v>
      </c>
      <c r="BN113">
        <v>1</v>
      </c>
      <c r="BO113">
        <v>0</v>
      </c>
      <c r="BP113">
        <v>0</v>
      </c>
      <c r="BQ113">
        <v>0.84709999999999996</v>
      </c>
      <c r="BR113">
        <v>0.84709999999999996</v>
      </c>
    </row>
    <row r="114" spans="15:70">
      <c r="O114">
        <v>161</v>
      </c>
      <c r="P114" t="s">
        <v>1447</v>
      </c>
      <c r="Q114" t="s">
        <v>1448</v>
      </c>
      <c r="AW114">
        <v>4</v>
      </c>
      <c r="AX114">
        <v>50.082520000000002</v>
      </c>
      <c r="AY114">
        <v>14.433350000000001</v>
      </c>
      <c r="AZ114">
        <v>1</v>
      </c>
      <c r="BA114">
        <v>1374</v>
      </c>
      <c r="BB114">
        <v>1374</v>
      </c>
      <c r="BC114">
        <v>1</v>
      </c>
      <c r="BD114" t="s">
        <v>1334</v>
      </c>
      <c r="BE114">
        <v>1772019693</v>
      </c>
      <c r="BF114">
        <v>1772135664</v>
      </c>
      <c r="BG114">
        <v>0.97154300000000005</v>
      </c>
      <c r="BH114" t="s">
        <v>21</v>
      </c>
      <c r="BI114">
        <v>2</v>
      </c>
      <c r="BJ114">
        <v>1772019693</v>
      </c>
      <c r="BK114">
        <v>200</v>
      </c>
      <c r="BL114">
        <v>5</v>
      </c>
      <c r="BM114">
        <v>2</v>
      </c>
      <c r="BN114">
        <v>1</v>
      </c>
      <c r="BO114">
        <v>0</v>
      </c>
      <c r="BP114">
        <v>0</v>
      </c>
      <c r="BQ114">
        <v>0.89800000000000002</v>
      </c>
      <c r="BR114">
        <v>0.89800000000000002</v>
      </c>
    </row>
    <row r="115" spans="15:70">
      <c r="AW115">
        <v>4</v>
      </c>
      <c r="AX115">
        <v>50.084167999999998</v>
      </c>
      <c r="AY115">
        <v>14.4338</v>
      </c>
      <c r="AZ115">
        <v>1</v>
      </c>
      <c r="BA115">
        <v>1530</v>
      </c>
      <c r="BB115">
        <v>1530</v>
      </c>
      <c r="BC115">
        <v>1</v>
      </c>
      <c r="BD115" t="s">
        <v>1334</v>
      </c>
      <c r="BE115">
        <v>1772019811</v>
      </c>
      <c r="BF115">
        <v>1772135664</v>
      </c>
      <c r="BG115">
        <v>0.97154300000000005</v>
      </c>
      <c r="BH115" t="s">
        <v>21</v>
      </c>
      <c r="BI115">
        <v>2</v>
      </c>
      <c r="BJ115">
        <v>1772019811</v>
      </c>
      <c r="BK115">
        <v>200</v>
      </c>
      <c r="BL115">
        <v>5</v>
      </c>
      <c r="BM115">
        <v>2</v>
      </c>
      <c r="BN115">
        <v>1</v>
      </c>
      <c r="BO115">
        <v>0</v>
      </c>
      <c r="BP115">
        <v>0</v>
      </c>
      <c r="BQ115">
        <v>1</v>
      </c>
      <c r="BR115">
        <v>1</v>
      </c>
    </row>
    <row r="116" spans="15:70">
      <c r="AW116">
        <v>4</v>
      </c>
      <c r="AX116">
        <v>50.028159000000002</v>
      </c>
      <c r="AY116">
        <v>15.205323999999999</v>
      </c>
      <c r="AZ116">
        <v>1</v>
      </c>
      <c r="BA116">
        <v>1176</v>
      </c>
      <c r="BB116">
        <v>1176</v>
      </c>
      <c r="BC116">
        <v>1</v>
      </c>
      <c r="BD116" t="s">
        <v>1334</v>
      </c>
      <c r="BE116">
        <v>1772023234</v>
      </c>
      <c r="BF116">
        <v>1772135664</v>
      </c>
      <c r="BG116">
        <v>0.97154300000000005</v>
      </c>
      <c r="BH116" t="s">
        <v>21</v>
      </c>
      <c r="BI116">
        <v>2</v>
      </c>
      <c r="BJ116">
        <v>1772023234</v>
      </c>
      <c r="BK116">
        <v>200</v>
      </c>
      <c r="BL116">
        <v>5</v>
      </c>
      <c r="BM116">
        <v>2</v>
      </c>
      <c r="BN116">
        <v>1</v>
      </c>
      <c r="BO116">
        <v>0</v>
      </c>
      <c r="BP116">
        <v>0</v>
      </c>
      <c r="BQ116">
        <v>0.76859999999999995</v>
      </c>
      <c r="BR116">
        <v>0.76859999999999995</v>
      </c>
    </row>
    <row r="117" spans="15:70">
      <c r="AW117">
        <v>4</v>
      </c>
      <c r="AX117">
        <v>50.027638000000003</v>
      </c>
      <c r="AY117">
        <v>15.205318</v>
      </c>
      <c r="AZ117">
        <v>1</v>
      </c>
      <c r="BA117">
        <v>1188</v>
      </c>
      <c r="BB117">
        <v>1188</v>
      </c>
      <c r="BC117">
        <v>1</v>
      </c>
      <c r="BD117" t="s">
        <v>1334</v>
      </c>
      <c r="BE117">
        <v>1772023245</v>
      </c>
      <c r="BF117">
        <v>1772135664</v>
      </c>
      <c r="BG117">
        <v>0.97154300000000005</v>
      </c>
      <c r="BH117" t="s">
        <v>21</v>
      </c>
      <c r="BI117">
        <v>2</v>
      </c>
      <c r="BJ117">
        <v>1772023245</v>
      </c>
      <c r="BK117">
        <v>200</v>
      </c>
      <c r="BL117">
        <v>5</v>
      </c>
      <c r="BM117">
        <v>2</v>
      </c>
      <c r="BN117">
        <v>1</v>
      </c>
      <c r="BO117">
        <v>0</v>
      </c>
      <c r="BP117">
        <v>0</v>
      </c>
      <c r="BQ117">
        <v>0.77649999999999997</v>
      </c>
      <c r="BR117">
        <v>0.77649999999999997</v>
      </c>
    </row>
    <row r="118" spans="15:70">
      <c r="AW118">
        <v>4</v>
      </c>
      <c r="AX118">
        <v>50.010013000000001</v>
      </c>
      <c r="AY118">
        <v>15.269925000000001</v>
      </c>
      <c r="AZ118">
        <v>1</v>
      </c>
      <c r="BA118">
        <v>1386</v>
      </c>
      <c r="BB118">
        <v>1386</v>
      </c>
      <c r="BC118">
        <v>1</v>
      </c>
      <c r="BD118" t="s">
        <v>1334</v>
      </c>
      <c r="BE118">
        <v>1772023468</v>
      </c>
      <c r="BF118">
        <v>1772135664</v>
      </c>
      <c r="BG118">
        <v>0.97154300000000005</v>
      </c>
      <c r="BH118" t="s">
        <v>21</v>
      </c>
      <c r="BI118">
        <v>2</v>
      </c>
      <c r="BJ118">
        <v>1772023468</v>
      </c>
      <c r="BK118">
        <v>200</v>
      </c>
      <c r="BL118">
        <v>5</v>
      </c>
      <c r="BM118">
        <v>2</v>
      </c>
      <c r="BN118">
        <v>1</v>
      </c>
      <c r="BO118">
        <v>0</v>
      </c>
      <c r="BP118">
        <v>0</v>
      </c>
      <c r="BQ118">
        <v>0.90590000000000004</v>
      </c>
      <c r="BR118">
        <v>0.90590000000000004</v>
      </c>
    </row>
    <row r="119" spans="15:70">
      <c r="AW119">
        <v>4</v>
      </c>
      <c r="AX119">
        <v>50.010427999999997</v>
      </c>
      <c r="AY119">
        <v>15.285489999999999</v>
      </c>
      <c r="AZ119">
        <v>1</v>
      </c>
      <c r="BA119">
        <v>1320</v>
      </c>
      <c r="BB119">
        <v>1320</v>
      </c>
      <c r="BC119">
        <v>1</v>
      </c>
      <c r="BD119" t="s">
        <v>1334</v>
      </c>
      <c r="BE119">
        <v>1772023500</v>
      </c>
      <c r="BF119">
        <v>1772135664</v>
      </c>
      <c r="BG119">
        <v>0.97154300000000005</v>
      </c>
      <c r="BH119" t="s">
        <v>21</v>
      </c>
      <c r="BI119">
        <v>2</v>
      </c>
      <c r="BJ119">
        <v>1772023500</v>
      </c>
      <c r="BK119">
        <v>200</v>
      </c>
      <c r="BL119">
        <v>5</v>
      </c>
      <c r="BM119">
        <v>2</v>
      </c>
      <c r="BN119">
        <v>1</v>
      </c>
      <c r="BO119">
        <v>0</v>
      </c>
      <c r="BP119">
        <v>0</v>
      </c>
      <c r="BQ119">
        <v>0.86270000000000002</v>
      </c>
      <c r="BR119">
        <v>0.86270000000000002</v>
      </c>
    </row>
    <row r="120" spans="15:70">
      <c r="AW120">
        <v>4</v>
      </c>
      <c r="AX120">
        <v>50.011315000000003</v>
      </c>
      <c r="AY120">
        <v>15.303447999999999</v>
      </c>
      <c r="AZ120">
        <v>1</v>
      </c>
      <c r="BA120">
        <v>1188</v>
      </c>
      <c r="BB120">
        <v>1188</v>
      </c>
      <c r="BC120">
        <v>1</v>
      </c>
      <c r="BD120" t="s">
        <v>1334</v>
      </c>
      <c r="BE120">
        <v>1772023533</v>
      </c>
      <c r="BF120">
        <v>1772135664</v>
      </c>
      <c r="BG120">
        <v>0.97154300000000005</v>
      </c>
      <c r="BH120" t="s">
        <v>21</v>
      </c>
      <c r="BI120">
        <v>2</v>
      </c>
      <c r="BJ120">
        <v>1772023533</v>
      </c>
      <c r="BK120">
        <v>200</v>
      </c>
      <c r="BL120">
        <v>5</v>
      </c>
      <c r="BM120">
        <v>2</v>
      </c>
      <c r="BN120">
        <v>1</v>
      </c>
      <c r="BO120">
        <v>0</v>
      </c>
      <c r="BP120">
        <v>0</v>
      </c>
      <c r="BQ120">
        <v>0.77649999999999997</v>
      </c>
      <c r="BR120">
        <v>0.77649999999999997</v>
      </c>
    </row>
    <row r="121" spans="15:70">
      <c r="AW121">
        <v>4</v>
      </c>
      <c r="AX121">
        <v>50.011702</v>
      </c>
      <c r="AY121">
        <v>15.305694000000001</v>
      </c>
      <c r="AZ121">
        <v>1</v>
      </c>
      <c r="BA121">
        <v>1362</v>
      </c>
      <c r="BB121">
        <v>1362</v>
      </c>
      <c r="BC121">
        <v>1</v>
      </c>
      <c r="BD121" t="s">
        <v>1334</v>
      </c>
      <c r="BE121">
        <v>1772023538</v>
      </c>
      <c r="BF121">
        <v>1772135664</v>
      </c>
      <c r="BG121">
        <v>0.97154300000000005</v>
      </c>
      <c r="BH121" t="s">
        <v>21</v>
      </c>
      <c r="BI121">
        <v>2</v>
      </c>
      <c r="BJ121">
        <v>1772023538</v>
      </c>
      <c r="BK121">
        <v>200</v>
      </c>
      <c r="BL121">
        <v>5</v>
      </c>
      <c r="BM121">
        <v>2</v>
      </c>
      <c r="BN121">
        <v>1</v>
      </c>
      <c r="BO121">
        <v>0</v>
      </c>
      <c r="BP121">
        <v>0</v>
      </c>
      <c r="BQ121">
        <v>0.89019999999999999</v>
      </c>
      <c r="BR121">
        <v>0.89019999999999999</v>
      </c>
    </row>
    <row r="122" spans="15:70">
      <c r="AW122">
        <v>4</v>
      </c>
      <c r="AX122">
        <v>50.011707999999999</v>
      </c>
      <c r="AY122">
        <v>15.307516</v>
      </c>
      <c r="AZ122">
        <v>1</v>
      </c>
      <c r="BA122">
        <v>1296</v>
      </c>
      <c r="BB122">
        <v>1296</v>
      </c>
      <c r="BC122">
        <v>1</v>
      </c>
      <c r="BD122" t="s">
        <v>1334</v>
      </c>
      <c r="BE122">
        <v>1772023542</v>
      </c>
      <c r="BF122">
        <v>1772135664</v>
      </c>
      <c r="BG122">
        <v>0.97154300000000005</v>
      </c>
      <c r="BH122" t="s">
        <v>21</v>
      </c>
      <c r="BI122">
        <v>2</v>
      </c>
      <c r="BJ122">
        <v>1772023542</v>
      </c>
      <c r="BK122">
        <v>200</v>
      </c>
      <c r="BL122">
        <v>5</v>
      </c>
      <c r="BM122">
        <v>2</v>
      </c>
      <c r="BN122">
        <v>1</v>
      </c>
      <c r="BO122">
        <v>0</v>
      </c>
      <c r="BP122">
        <v>0</v>
      </c>
      <c r="BQ122">
        <v>0.84709999999999996</v>
      </c>
      <c r="BR122">
        <v>0.84709999999999996</v>
      </c>
    </row>
    <row r="123" spans="15:70">
      <c r="AW123">
        <v>4</v>
      </c>
      <c r="AX123">
        <v>50.011895000000003</v>
      </c>
      <c r="AY123">
        <v>15.309379</v>
      </c>
      <c r="AZ123">
        <v>1</v>
      </c>
      <c r="BA123">
        <v>1242</v>
      </c>
      <c r="BB123">
        <v>1242</v>
      </c>
      <c r="BC123">
        <v>1</v>
      </c>
      <c r="BD123" t="s">
        <v>1334</v>
      </c>
      <c r="BE123">
        <v>1772023546</v>
      </c>
      <c r="BF123">
        <v>1772135664</v>
      </c>
      <c r="BG123">
        <v>0.97154300000000005</v>
      </c>
      <c r="BH123" t="s">
        <v>21</v>
      </c>
      <c r="BI123">
        <v>2</v>
      </c>
      <c r="BJ123">
        <v>1772023546</v>
      </c>
      <c r="BK123">
        <v>200</v>
      </c>
      <c r="BL123">
        <v>5</v>
      </c>
      <c r="BM123">
        <v>2</v>
      </c>
      <c r="BN123">
        <v>1</v>
      </c>
      <c r="BO123">
        <v>0</v>
      </c>
      <c r="BP123">
        <v>0</v>
      </c>
      <c r="BQ123">
        <v>0.81179999999999997</v>
      </c>
      <c r="BR123">
        <v>0.81179999999999997</v>
      </c>
    </row>
    <row r="124" spans="15:70">
      <c r="AW124">
        <v>4</v>
      </c>
      <c r="AX124">
        <v>50.037736000000002</v>
      </c>
      <c r="AY124">
        <v>15.35965</v>
      </c>
      <c r="AZ124">
        <v>1</v>
      </c>
      <c r="BA124">
        <v>1086</v>
      </c>
      <c r="BB124">
        <v>1086</v>
      </c>
      <c r="BC124">
        <v>1</v>
      </c>
      <c r="BD124" t="s">
        <v>1334</v>
      </c>
      <c r="BE124">
        <v>1772023673</v>
      </c>
      <c r="BF124">
        <v>1772135664</v>
      </c>
      <c r="BG124">
        <v>0.97154300000000005</v>
      </c>
      <c r="BH124" t="s">
        <v>21</v>
      </c>
      <c r="BI124">
        <v>2</v>
      </c>
      <c r="BJ124">
        <v>1772023673</v>
      </c>
      <c r="BK124">
        <v>200</v>
      </c>
      <c r="BL124">
        <v>5</v>
      </c>
      <c r="BM124">
        <v>2</v>
      </c>
      <c r="BN124">
        <v>1</v>
      </c>
      <c r="BO124">
        <v>0</v>
      </c>
      <c r="BP124">
        <v>0</v>
      </c>
      <c r="BQ124">
        <v>0.70979999999999999</v>
      </c>
      <c r="BR124">
        <v>0.70979999999999999</v>
      </c>
    </row>
    <row r="125" spans="15:70">
      <c r="AW125">
        <v>4</v>
      </c>
      <c r="AX125">
        <v>50.040855000000001</v>
      </c>
      <c r="AY125">
        <v>15.364717000000001</v>
      </c>
      <c r="AZ125">
        <v>1</v>
      </c>
      <c r="BA125">
        <v>1176</v>
      </c>
      <c r="BB125">
        <v>1176</v>
      </c>
      <c r="BC125">
        <v>1</v>
      </c>
      <c r="BD125" t="s">
        <v>1334</v>
      </c>
      <c r="BE125">
        <v>1772023687</v>
      </c>
      <c r="BF125">
        <v>1772135664</v>
      </c>
      <c r="BG125">
        <v>0.97154300000000005</v>
      </c>
      <c r="BH125" t="s">
        <v>21</v>
      </c>
      <c r="BI125">
        <v>2</v>
      </c>
      <c r="BJ125">
        <v>1772023687</v>
      </c>
      <c r="BK125">
        <v>200</v>
      </c>
      <c r="BL125">
        <v>5</v>
      </c>
      <c r="BM125">
        <v>2</v>
      </c>
      <c r="BN125">
        <v>1</v>
      </c>
      <c r="BO125">
        <v>0</v>
      </c>
      <c r="BP125">
        <v>0</v>
      </c>
      <c r="BQ125">
        <v>0.76859999999999995</v>
      </c>
      <c r="BR125">
        <v>0.76859999999999995</v>
      </c>
    </row>
    <row r="126" spans="15:70">
      <c r="AW126">
        <v>4</v>
      </c>
      <c r="AX126">
        <v>50.041420000000002</v>
      </c>
      <c r="AY126">
        <v>15.366474999999999</v>
      </c>
      <c r="AZ126">
        <v>1</v>
      </c>
      <c r="BA126">
        <v>1272</v>
      </c>
      <c r="BB126">
        <v>1272</v>
      </c>
      <c r="BC126">
        <v>1</v>
      </c>
      <c r="BD126" t="s">
        <v>1334</v>
      </c>
      <c r="BE126">
        <v>1772023691</v>
      </c>
      <c r="BF126">
        <v>1772135664</v>
      </c>
      <c r="BG126">
        <v>0.97154300000000005</v>
      </c>
      <c r="BH126" t="s">
        <v>21</v>
      </c>
      <c r="BI126">
        <v>2</v>
      </c>
      <c r="BJ126">
        <v>1772023691</v>
      </c>
      <c r="BK126">
        <v>200</v>
      </c>
      <c r="BL126">
        <v>5</v>
      </c>
      <c r="BM126">
        <v>2</v>
      </c>
      <c r="BN126">
        <v>1</v>
      </c>
      <c r="BO126">
        <v>0</v>
      </c>
      <c r="BP126">
        <v>0</v>
      </c>
      <c r="BQ126">
        <v>0.83140000000000003</v>
      </c>
      <c r="BR126">
        <v>0.83140000000000003</v>
      </c>
    </row>
    <row r="127" spans="15:70">
      <c r="AW127">
        <v>4</v>
      </c>
      <c r="AX127">
        <v>50.043582999999998</v>
      </c>
      <c r="AY127">
        <v>15.374897000000001</v>
      </c>
      <c r="AZ127">
        <v>1</v>
      </c>
      <c r="BA127">
        <v>1176</v>
      </c>
      <c r="BB127">
        <v>1176</v>
      </c>
      <c r="BC127">
        <v>1</v>
      </c>
      <c r="BD127" t="s">
        <v>1334</v>
      </c>
      <c r="BE127">
        <v>1772023719</v>
      </c>
      <c r="BF127">
        <v>1772135664</v>
      </c>
      <c r="BG127">
        <v>0.97154300000000005</v>
      </c>
      <c r="BH127" t="s">
        <v>21</v>
      </c>
      <c r="BI127">
        <v>2</v>
      </c>
      <c r="BJ127">
        <v>1772023719</v>
      </c>
      <c r="BK127">
        <v>200</v>
      </c>
      <c r="BL127">
        <v>5</v>
      </c>
      <c r="BM127">
        <v>2</v>
      </c>
      <c r="BN127">
        <v>1</v>
      </c>
      <c r="BO127">
        <v>0</v>
      </c>
      <c r="BP127">
        <v>0</v>
      </c>
      <c r="BQ127">
        <v>0.76859999999999995</v>
      </c>
      <c r="BR127">
        <v>0.76859999999999995</v>
      </c>
    </row>
    <row r="128" spans="15:70">
      <c r="AW128">
        <v>4</v>
      </c>
      <c r="AX128">
        <v>50.040725999999999</v>
      </c>
      <c r="AY128">
        <v>15.397551999999999</v>
      </c>
      <c r="AZ128">
        <v>1</v>
      </c>
      <c r="BA128">
        <v>1188</v>
      </c>
      <c r="BB128">
        <v>1188</v>
      </c>
      <c r="BC128">
        <v>1</v>
      </c>
      <c r="BD128" t="s">
        <v>1334</v>
      </c>
      <c r="BE128">
        <v>1772023761</v>
      </c>
      <c r="BF128">
        <v>1772135664</v>
      </c>
      <c r="BG128">
        <v>0.97154300000000005</v>
      </c>
      <c r="BH128" t="s">
        <v>21</v>
      </c>
      <c r="BI128">
        <v>2</v>
      </c>
      <c r="BJ128">
        <v>1772023761</v>
      </c>
      <c r="BK128">
        <v>200</v>
      </c>
      <c r="BL128">
        <v>5</v>
      </c>
      <c r="BM128">
        <v>2</v>
      </c>
      <c r="BN128">
        <v>1</v>
      </c>
      <c r="BO128">
        <v>0</v>
      </c>
      <c r="BP128">
        <v>0</v>
      </c>
      <c r="BQ128">
        <v>0.77649999999999997</v>
      </c>
      <c r="BR128">
        <v>0.77649999999999997</v>
      </c>
    </row>
    <row r="129" spans="49:70">
      <c r="AW129">
        <v>4</v>
      </c>
      <c r="AX129">
        <v>50.038218000000001</v>
      </c>
      <c r="AY129">
        <v>15.408448999999999</v>
      </c>
      <c r="AZ129">
        <v>1</v>
      </c>
      <c r="BA129">
        <v>1476</v>
      </c>
      <c r="BB129">
        <v>1476</v>
      </c>
      <c r="BC129">
        <v>1</v>
      </c>
      <c r="BD129" t="s">
        <v>1334</v>
      </c>
      <c r="BE129">
        <v>1772023784</v>
      </c>
      <c r="BF129">
        <v>1772135664</v>
      </c>
      <c r="BG129">
        <v>0.97154300000000005</v>
      </c>
      <c r="BH129" t="s">
        <v>21</v>
      </c>
      <c r="BI129">
        <v>2</v>
      </c>
      <c r="BJ129">
        <v>1772023784</v>
      </c>
      <c r="BK129">
        <v>200</v>
      </c>
      <c r="BL129">
        <v>5</v>
      </c>
      <c r="BM129">
        <v>2</v>
      </c>
      <c r="BN129">
        <v>1</v>
      </c>
      <c r="BO129">
        <v>0</v>
      </c>
      <c r="BP129">
        <v>0</v>
      </c>
      <c r="BQ129">
        <v>0.9647</v>
      </c>
      <c r="BR129">
        <v>0.9647</v>
      </c>
    </row>
    <row r="130" spans="49:70">
      <c r="AW130">
        <v>4</v>
      </c>
      <c r="AX130">
        <v>50.037250999999998</v>
      </c>
      <c r="AY130">
        <v>15.421336</v>
      </c>
      <c r="AZ130">
        <v>1</v>
      </c>
      <c r="BA130">
        <v>1188</v>
      </c>
      <c r="BB130">
        <v>1188</v>
      </c>
      <c r="BC130">
        <v>1</v>
      </c>
      <c r="BD130" t="s">
        <v>1334</v>
      </c>
      <c r="BE130">
        <v>1772023808</v>
      </c>
      <c r="BF130">
        <v>1772135664</v>
      </c>
      <c r="BG130">
        <v>0.97154300000000005</v>
      </c>
      <c r="BH130" t="s">
        <v>21</v>
      </c>
      <c r="BI130">
        <v>2</v>
      </c>
      <c r="BJ130">
        <v>1772023808</v>
      </c>
      <c r="BK130">
        <v>200</v>
      </c>
      <c r="BL130">
        <v>5</v>
      </c>
      <c r="BM130">
        <v>2</v>
      </c>
      <c r="BN130">
        <v>1</v>
      </c>
      <c r="BO130">
        <v>0</v>
      </c>
      <c r="BP130">
        <v>0</v>
      </c>
      <c r="BQ130">
        <v>0.77649999999999997</v>
      </c>
      <c r="BR130">
        <v>0.77649999999999997</v>
      </c>
    </row>
    <row r="131" spans="49:70">
      <c r="AW131">
        <v>4</v>
      </c>
      <c r="AX131">
        <v>50.032474000000001</v>
      </c>
      <c r="AY131">
        <v>15.444276</v>
      </c>
      <c r="AZ131">
        <v>1</v>
      </c>
      <c r="BA131">
        <v>1152</v>
      </c>
      <c r="BB131">
        <v>1152</v>
      </c>
      <c r="BC131">
        <v>1</v>
      </c>
      <c r="BD131" t="s">
        <v>1334</v>
      </c>
      <c r="BE131">
        <v>1772023854</v>
      </c>
      <c r="BF131">
        <v>1772135664</v>
      </c>
      <c r="BG131">
        <v>0.97154300000000005</v>
      </c>
      <c r="BH131" t="s">
        <v>21</v>
      </c>
      <c r="BI131">
        <v>2</v>
      </c>
      <c r="BJ131">
        <v>1772023854</v>
      </c>
      <c r="BK131">
        <v>200</v>
      </c>
      <c r="BL131">
        <v>5</v>
      </c>
      <c r="BM131">
        <v>2</v>
      </c>
      <c r="BN131">
        <v>1</v>
      </c>
      <c r="BO131">
        <v>0</v>
      </c>
      <c r="BP131">
        <v>0</v>
      </c>
      <c r="BQ131">
        <v>0.75290000000000001</v>
      </c>
      <c r="BR131">
        <v>0.75290000000000001</v>
      </c>
    </row>
    <row r="132" spans="49:70">
      <c r="AW132">
        <v>4</v>
      </c>
      <c r="AX132">
        <v>50.030287000000001</v>
      </c>
      <c r="AY132">
        <v>15.464268000000001</v>
      </c>
      <c r="AZ132">
        <v>1</v>
      </c>
      <c r="BA132">
        <v>1176</v>
      </c>
      <c r="BB132">
        <v>1176</v>
      </c>
      <c r="BC132">
        <v>1</v>
      </c>
      <c r="BD132" t="s">
        <v>1334</v>
      </c>
      <c r="BE132">
        <v>1772023893</v>
      </c>
      <c r="BF132">
        <v>1772135664</v>
      </c>
      <c r="BG132">
        <v>0.97154300000000005</v>
      </c>
      <c r="BH132" t="s">
        <v>21</v>
      </c>
      <c r="BI132">
        <v>2</v>
      </c>
      <c r="BJ132">
        <v>1772023893</v>
      </c>
      <c r="BK132">
        <v>200</v>
      </c>
      <c r="BL132">
        <v>5</v>
      </c>
      <c r="BM132">
        <v>2</v>
      </c>
      <c r="BN132">
        <v>1</v>
      </c>
      <c r="BO132">
        <v>0</v>
      </c>
      <c r="BP132">
        <v>0</v>
      </c>
      <c r="BQ132">
        <v>0.76859999999999995</v>
      </c>
      <c r="BR132">
        <v>0.76859999999999995</v>
      </c>
    </row>
    <row r="133" spans="49:70">
      <c r="AW133">
        <v>4</v>
      </c>
      <c r="AX133">
        <v>50.033188000000003</v>
      </c>
      <c r="AY133">
        <v>15.498668</v>
      </c>
      <c r="AZ133">
        <v>1</v>
      </c>
      <c r="BA133">
        <v>1350</v>
      </c>
      <c r="BB133">
        <v>1350</v>
      </c>
      <c r="BC133">
        <v>1</v>
      </c>
      <c r="BD133" t="s">
        <v>1334</v>
      </c>
      <c r="BE133">
        <v>1772023958</v>
      </c>
      <c r="BF133">
        <v>1772135664</v>
      </c>
      <c r="BG133">
        <v>0.97154300000000005</v>
      </c>
      <c r="BH133" t="s">
        <v>21</v>
      </c>
      <c r="BI133">
        <v>2</v>
      </c>
      <c r="BJ133">
        <v>1772023958</v>
      </c>
      <c r="BK133">
        <v>200</v>
      </c>
      <c r="BL133">
        <v>5</v>
      </c>
      <c r="BM133">
        <v>2</v>
      </c>
      <c r="BN133">
        <v>1</v>
      </c>
      <c r="BO133">
        <v>0</v>
      </c>
      <c r="BP133">
        <v>0</v>
      </c>
      <c r="BQ133">
        <v>0.88239999999999996</v>
      </c>
      <c r="BR133">
        <v>0.88239999999999996</v>
      </c>
    </row>
    <row r="134" spans="49:70">
      <c r="AW134">
        <v>4</v>
      </c>
      <c r="AX134">
        <v>50.034295</v>
      </c>
      <c r="AY134">
        <v>15.515912</v>
      </c>
      <c r="AZ134">
        <v>1</v>
      </c>
      <c r="BA134">
        <v>1308</v>
      </c>
      <c r="BB134">
        <v>1308</v>
      </c>
      <c r="BC134">
        <v>1</v>
      </c>
      <c r="BD134" t="s">
        <v>1334</v>
      </c>
      <c r="BE134">
        <v>1772023989</v>
      </c>
      <c r="BF134">
        <v>1772135664</v>
      </c>
      <c r="BG134">
        <v>0.97154300000000005</v>
      </c>
      <c r="BH134" t="s">
        <v>21</v>
      </c>
      <c r="BI134">
        <v>2</v>
      </c>
      <c r="BJ134">
        <v>1772023989</v>
      </c>
      <c r="BK134">
        <v>200</v>
      </c>
      <c r="BL134">
        <v>5</v>
      </c>
      <c r="BM134">
        <v>2</v>
      </c>
      <c r="BN134">
        <v>1</v>
      </c>
      <c r="BO134">
        <v>0</v>
      </c>
      <c r="BP134">
        <v>0</v>
      </c>
      <c r="BQ134">
        <v>0.85489999999999999</v>
      </c>
      <c r="BR134">
        <v>0.85489999999999999</v>
      </c>
    </row>
    <row r="135" spans="49:70">
      <c r="AW135">
        <v>4</v>
      </c>
      <c r="AX135">
        <v>50.039002000000004</v>
      </c>
      <c r="AY135">
        <v>15.538997999999999</v>
      </c>
      <c r="AZ135">
        <v>1</v>
      </c>
      <c r="BA135">
        <v>1218</v>
      </c>
      <c r="BB135">
        <v>1218</v>
      </c>
      <c r="BC135">
        <v>1</v>
      </c>
      <c r="BD135" t="s">
        <v>1334</v>
      </c>
      <c r="BE135">
        <v>1772024036</v>
      </c>
      <c r="BF135">
        <v>1772135664</v>
      </c>
      <c r="BG135">
        <v>0.97154300000000005</v>
      </c>
      <c r="BH135" t="s">
        <v>21</v>
      </c>
      <c r="BI135">
        <v>2</v>
      </c>
      <c r="BJ135">
        <v>1772024036</v>
      </c>
      <c r="BK135">
        <v>200</v>
      </c>
      <c r="BL135">
        <v>5</v>
      </c>
      <c r="BM135">
        <v>2</v>
      </c>
      <c r="BN135">
        <v>1</v>
      </c>
      <c r="BO135">
        <v>0</v>
      </c>
      <c r="BP135">
        <v>0</v>
      </c>
      <c r="BQ135">
        <v>0.79610000000000003</v>
      </c>
      <c r="BR135">
        <v>0.79610000000000003</v>
      </c>
    </row>
    <row r="136" spans="49:70">
      <c r="AW136">
        <v>4</v>
      </c>
      <c r="AX136">
        <v>50.042107999999999</v>
      </c>
      <c r="AY136">
        <v>15.551767</v>
      </c>
      <c r="AZ136">
        <v>1</v>
      </c>
      <c r="BA136">
        <v>1362</v>
      </c>
      <c r="BB136">
        <v>1362</v>
      </c>
      <c r="BC136">
        <v>1</v>
      </c>
      <c r="BD136" t="s">
        <v>1334</v>
      </c>
      <c r="BE136">
        <v>1772024075</v>
      </c>
      <c r="BF136">
        <v>1772135664</v>
      </c>
      <c r="BG136">
        <v>0.97154300000000005</v>
      </c>
      <c r="BH136" t="s">
        <v>21</v>
      </c>
      <c r="BI136">
        <v>2</v>
      </c>
      <c r="BJ136">
        <v>1772024075</v>
      </c>
      <c r="BK136">
        <v>200</v>
      </c>
      <c r="BL136">
        <v>5</v>
      </c>
      <c r="BM136">
        <v>2</v>
      </c>
      <c r="BN136">
        <v>1</v>
      </c>
      <c r="BO136">
        <v>0</v>
      </c>
      <c r="BP136">
        <v>0</v>
      </c>
      <c r="BQ136">
        <v>0.89019999999999999</v>
      </c>
      <c r="BR136">
        <v>0.89019999999999999</v>
      </c>
    </row>
    <row r="137" spans="49:70">
      <c r="AW137">
        <v>4</v>
      </c>
      <c r="AX137">
        <v>50.042369000000001</v>
      </c>
      <c r="AY137">
        <v>15.552642000000001</v>
      </c>
      <c r="AZ137">
        <v>1</v>
      </c>
      <c r="BA137">
        <v>1206</v>
      </c>
      <c r="BB137">
        <v>1206</v>
      </c>
      <c r="BC137">
        <v>1</v>
      </c>
      <c r="BD137" t="s">
        <v>1334</v>
      </c>
      <c r="BE137">
        <v>1772024080</v>
      </c>
      <c r="BF137">
        <v>1772135664</v>
      </c>
      <c r="BG137">
        <v>0.97154300000000005</v>
      </c>
      <c r="BH137" t="s">
        <v>21</v>
      </c>
      <c r="BI137">
        <v>2</v>
      </c>
      <c r="BJ137">
        <v>1772024080</v>
      </c>
      <c r="BK137">
        <v>200</v>
      </c>
      <c r="BL137">
        <v>5</v>
      </c>
      <c r="BM137">
        <v>2</v>
      </c>
      <c r="BN137">
        <v>1</v>
      </c>
      <c r="BO137">
        <v>0</v>
      </c>
      <c r="BP137">
        <v>0</v>
      </c>
      <c r="BQ137">
        <v>0.78820000000000001</v>
      </c>
      <c r="BR137">
        <v>0.78820000000000001</v>
      </c>
    </row>
    <row r="138" spans="49:70">
      <c r="AW138">
        <v>4</v>
      </c>
      <c r="AX138">
        <v>50.042721</v>
      </c>
      <c r="AY138">
        <v>15.562913999999999</v>
      </c>
      <c r="AZ138">
        <v>1</v>
      </c>
      <c r="BA138">
        <v>1254</v>
      </c>
      <c r="BB138">
        <v>1254</v>
      </c>
      <c r="BC138">
        <v>1</v>
      </c>
      <c r="BD138" t="s">
        <v>1334</v>
      </c>
      <c r="BE138">
        <v>1772024128</v>
      </c>
      <c r="BF138">
        <v>1772135664</v>
      </c>
      <c r="BG138">
        <v>0.97154300000000005</v>
      </c>
      <c r="BH138" t="s">
        <v>21</v>
      </c>
      <c r="BI138">
        <v>2</v>
      </c>
      <c r="BJ138">
        <v>1772024128</v>
      </c>
      <c r="BK138">
        <v>200</v>
      </c>
      <c r="BL138">
        <v>5</v>
      </c>
      <c r="BM138">
        <v>2</v>
      </c>
      <c r="BN138">
        <v>1</v>
      </c>
      <c r="BO138">
        <v>0</v>
      </c>
      <c r="BP138">
        <v>0</v>
      </c>
      <c r="BQ138">
        <v>0.8196</v>
      </c>
      <c r="BR138">
        <v>0.8196</v>
      </c>
    </row>
    <row r="139" spans="49:70">
      <c r="AW139">
        <v>4</v>
      </c>
      <c r="AX139">
        <v>50.042622000000001</v>
      </c>
      <c r="AY139">
        <v>15.564992999999999</v>
      </c>
      <c r="AZ139">
        <v>1</v>
      </c>
      <c r="BA139">
        <v>1272</v>
      </c>
      <c r="BB139">
        <v>1272</v>
      </c>
      <c r="BC139">
        <v>1</v>
      </c>
      <c r="BD139" t="s">
        <v>1334</v>
      </c>
      <c r="BE139">
        <v>1772024140</v>
      </c>
      <c r="BF139">
        <v>1772135664</v>
      </c>
      <c r="BG139">
        <v>0.97154300000000005</v>
      </c>
      <c r="BH139" t="s">
        <v>21</v>
      </c>
      <c r="BI139">
        <v>2</v>
      </c>
      <c r="BJ139">
        <v>1772024140</v>
      </c>
      <c r="BK139">
        <v>200</v>
      </c>
      <c r="BL139">
        <v>5</v>
      </c>
      <c r="BM139">
        <v>2</v>
      </c>
      <c r="BN139">
        <v>1</v>
      </c>
      <c r="BO139">
        <v>0</v>
      </c>
      <c r="BP139">
        <v>0</v>
      </c>
      <c r="BQ139">
        <v>0.83140000000000003</v>
      </c>
      <c r="BR139">
        <v>0.83140000000000003</v>
      </c>
    </row>
    <row r="140" spans="49:70">
      <c r="AW140">
        <v>4</v>
      </c>
      <c r="AX140">
        <v>50.041814000000002</v>
      </c>
      <c r="AY140">
        <v>15.566464</v>
      </c>
      <c r="AZ140">
        <v>1</v>
      </c>
      <c r="BA140">
        <v>1350</v>
      </c>
      <c r="BB140">
        <v>1350</v>
      </c>
      <c r="BC140">
        <v>1</v>
      </c>
      <c r="BD140" t="s">
        <v>1334</v>
      </c>
      <c r="BE140">
        <v>1772024149</v>
      </c>
      <c r="BF140">
        <v>1772135664</v>
      </c>
      <c r="BG140">
        <v>0.97154300000000005</v>
      </c>
      <c r="BH140" t="s">
        <v>21</v>
      </c>
      <c r="BI140">
        <v>2</v>
      </c>
      <c r="BJ140">
        <v>1772024149</v>
      </c>
      <c r="BK140">
        <v>200</v>
      </c>
      <c r="BL140">
        <v>5</v>
      </c>
      <c r="BM140">
        <v>2</v>
      </c>
      <c r="BN140">
        <v>1</v>
      </c>
      <c r="BO140">
        <v>0</v>
      </c>
      <c r="BP140">
        <v>0</v>
      </c>
      <c r="BQ140">
        <v>0.88239999999999996</v>
      </c>
      <c r="BR140">
        <v>0.88239999999999996</v>
      </c>
    </row>
    <row r="141" spans="49:70">
      <c r="AW141">
        <v>4</v>
      </c>
      <c r="AX141">
        <v>50.041640999999998</v>
      </c>
      <c r="AY141">
        <v>15.567625</v>
      </c>
      <c r="AZ141">
        <v>1</v>
      </c>
      <c r="BA141">
        <v>1284</v>
      </c>
      <c r="BB141">
        <v>1284</v>
      </c>
      <c r="BC141">
        <v>1</v>
      </c>
      <c r="BD141" t="s">
        <v>1334</v>
      </c>
      <c r="BE141">
        <v>1772024152</v>
      </c>
      <c r="BF141">
        <v>1772135664</v>
      </c>
      <c r="BG141">
        <v>0.97154300000000005</v>
      </c>
      <c r="BH141" t="s">
        <v>21</v>
      </c>
      <c r="BI141">
        <v>2</v>
      </c>
      <c r="BJ141">
        <v>1772024152</v>
      </c>
      <c r="BK141">
        <v>200</v>
      </c>
      <c r="BL141">
        <v>5</v>
      </c>
      <c r="BM141">
        <v>2</v>
      </c>
      <c r="BN141">
        <v>1</v>
      </c>
      <c r="BO141">
        <v>0</v>
      </c>
      <c r="BP141">
        <v>0</v>
      </c>
      <c r="BQ141">
        <v>0.83919999999999995</v>
      </c>
      <c r="BR141">
        <v>0.83919999999999995</v>
      </c>
    </row>
    <row r="142" spans="49:70">
      <c r="AW142">
        <v>4</v>
      </c>
      <c r="AX142">
        <v>50.041446999999998</v>
      </c>
      <c r="AY142">
        <v>15.568581</v>
      </c>
      <c r="AZ142">
        <v>1</v>
      </c>
      <c r="BA142">
        <v>1242</v>
      </c>
      <c r="BB142">
        <v>1242</v>
      </c>
      <c r="BC142">
        <v>1</v>
      </c>
      <c r="BD142" t="s">
        <v>1334</v>
      </c>
      <c r="BE142">
        <v>1772024157</v>
      </c>
      <c r="BF142">
        <v>1772135664</v>
      </c>
      <c r="BG142">
        <v>0.97154300000000005</v>
      </c>
      <c r="BH142" t="s">
        <v>21</v>
      </c>
      <c r="BI142">
        <v>2</v>
      </c>
      <c r="BJ142">
        <v>1772024157</v>
      </c>
      <c r="BK142">
        <v>200</v>
      </c>
      <c r="BL142">
        <v>5</v>
      </c>
      <c r="BM142">
        <v>2</v>
      </c>
      <c r="BN142">
        <v>1</v>
      </c>
      <c r="BO142">
        <v>0</v>
      </c>
      <c r="BP142">
        <v>0</v>
      </c>
      <c r="BQ142">
        <v>0.81179999999999997</v>
      </c>
      <c r="BR142">
        <v>0.81179999999999997</v>
      </c>
    </row>
    <row r="143" spans="49:70">
      <c r="AW143">
        <v>4</v>
      </c>
      <c r="AX143">
        <v>50.039248000000001</v>
      </c>
      <c r="AY143">
        <v>15.5745</v>
      </c>
      <c r="AZ143">
        <v>1</v>
      </c>
      <c r="BA143">
        <v>1452</v>
      </c>
      <c r="BB143">
        <v>1452</v>
      </c>
      <c r="BC143">
        <v>1</v>
      </c>
      <c r="BD143" t="s">
        <v>1334</v>
      </c>
      <c r="BE143">
        <v>1772024181</v>
      </c>
      <c r="BF143">
        <v>1772135664</v>
      </c>
      <c r="BG143">
        <v>0.97154300000000005</v>
      </c>
      <c r="BH143" t="s">
        <v>21</v>
      </c>
      <c r="BI143">
        <v>2</v>
      </c>
      <c r="BJ143">
        <v>1772024181</v>
      </c>
      <c r="BK143">
        <v>200</v>
      </c>
      <c r="BL143">
        <v>5</v>
      </c>
      <c r="BM143">
        <v>2</v>
      </c>
      <c r="BN143">
        <v>1</v>
      </c>
      <c r="BO143">
        <v>0</v>
      </c>
      <c r="BP143">
        <v>0</v>
      </c>
      <c r="BQ143">
        <v>0.94899999999999995</v>
      </c>
      <c r="BR143">
        <v>0.94899999999999995</v>
      </c>
    </row>
    <row r="144" spans="49:70">
      <c r="AW144">
        <v>4</v>
      </c>
      <c r="AX144">
        <v>50.034719000000003</v>
      </c>
      <c r="AY144">
        <v>15.597457</v>
      </c>
      <c r="AZ144">
        <v>1</v>
      </c>
      <c r="BA144">
        <v>1176</v>
      </c>
      <c r="BB144">
        <v>1176</v>
      </c>
      <c r="BC144">
        <v>1</v>
      </c>
      <c r="BD144" t="s">
        <v>1334</v>
      </c>
      <c r="BE144">
        <v>1772024255</v>
      </c>
      <c r="BF144">
        <v>1772135664</v>
      </c>
      <c r="BG144">
        <v>0.97154300000000005</v>
      </c>
      <c r="BH144" t="s">
        <v>21</v>
      </c>
      <c r="BI144">
        <v>2</v>
      </c>
      <c r="BJ144">
        <v>1772024255</v>
      </c>
      <c r="BK144">
        <v>200</v>
      </c>
      <c r="BL144">
        <v>5</v>
      </c>
      <c r="BM144">
        <v>2</v>
      </c>
      <c r="BN144">
        <v>1</v>
      </c>
      <c r="BO144">
        <v>0</v>
      </c>
      <c r="BP144">
        <v>0</v>
      </c>
      <c r="BQ144">
        <v>0.76859999999999995</v>
      </c>
      <c r="BR144">
        <v>0.76859999999999995</v>
      </c>
    </row>
    <row r="145" spans="49:70">
      <c r="AW145">
        <v>4</v>
      </c>
      <c r="AX145">
        <v>50.032671000000001</v>
      </c>
      <c r="AY145">
        <v>15.654457000000001</v>
      </c>
      <c r="AZ145">
        <v>1</v>
      </c>
      <c r="BA145">
        <v>1428</v>
      </c>
      <c r="BB145">
        <v>1428</v>
      </c>
      <c r="BC145">
        <v>1</v>
      </c>
      <c r="BD145" t="s">
        <v>1334</v>
      </c>
      <c r="BE145">
        <v>1772024382</v>
      </c>
      <c r="BF145">
        <v>1772135664</v>
      </c>
      <c r="BG145">
        <v>0.97154300000000005</v>
      </c>
      <c r="BH145" t="s">
        <v>21</v>
      </c>
      <c r="BI145">
        <v>2</v>
      </c>
      <c r="BJ145">
        <v>1772024382</v>
      </c>
      <c r="BK145">
        <v>200</v>
      </c>
      <c r="BL145">
        <v>5</v>
      </c>
      <c r="BM145">
        <v>2</v>
      </c>
      <c r="BN145">
        <v>1</v>
      </c>
      <c r="BO145">
        <v>0</v>
      </c>
      <c r="BP145">
        <v>0</v>
      </c>
      <c r="BQ145">
        <v>0.93330000000000002</v>
      </c>
      <c r="BR145">
        <v>0.93330000000000002</v>
      </c>
    </row>
    <row r="146" spans="49:70">
      <c r="AW146">
        <v>4</v>
      </c>
      <c r="AX146">
        <v>50.032196999999996</v>
      </c>
      <c r="AY146">
        <v>15.65793</v>
      </c>
      <c r="AZ146">
        <v>1</v>
      </c>
      <c r="BA146">
        <v>1530</v>
      </c>
      <c r="BB146">
        <v>1530</v>
      </c>
      <c r="BC146">
        <v>1</v>
      </c>
      <c r="BD146" t="s">
        <v>1334</v>
      </c>
      <c r="BE146">
        <v>1772024389</v>
      </c>
      <c r="BF146">
        <v>1772135664</v>
      </c>
      <c r="BG146">
        <v>0.97154300000000005</v>
      </c>
      <c r="BH146" t="s">
        <v>21</v>
      </c>
      <c r="BI146">
        <v>2</v>
      </c>
      <c r="BJ146">
        <v>1772024389</v>
      </c>
      <c r="BK146">
        <v>200</v>
      </c>
      <c r="BL146">
        <v>5</v>
      </c>
      <c r="BM146">
        <v>2</v>
      </c>
      <c r="BN146">
        <v>1</v>
      </c>
      <c r="BO146">
        <v>0</v>
      </c>
      <c r="BP146">
        <v>0</v>
      </c>
      <c r="BQ146">
        <v>1</v>
      </c>
      <c r="BR146">
        <v>1</v>
      </c>
    </row>
    <row r="147" spans="49:70">
      <c r="AW147">
        <v>4</v>
      </c>
      <c r="AX147">
        <v>50.031464</v>
      </c>
      <c r="AY147">
        <v>15.723167</v>
      </c>
      <c r="AZ147">
        <v>1</v>
      </c>
      <c r="BA147">
        <v>1254</v>
      </c>
      <c r="BB147">
        <v>1254</v>
      </c>
      <c r="BC147">
        <v>1</v>
      </c>
      <c r="BD147" t="s">
        <v>1334</v>
      </c>
      <c r="BE147">
        <v>1772024518</v>
      </c>
      <c r="BF147">
        <v>1772135664</v>
      </c>
      <c r="BG147">
        <v>0.97154300000000005</v>
      </c>
      <c r="BH147" t="s">
        <v>21</v>
      </c>
      <c r="BI147">
        <v>2</v>
      </c>
      <c r="BJ147">
        <v>1772024518</v>
      </c>
      <c r="BK147">
        <v>200</v>
      </c>
      <c r="BL147">
        <v>5</v>
      </c>
      <c r="BM147">
        <v>2</v>
      </c>
      <c r="BN147">
        <v>1</v>
      </c>
      <c r="BO147">
        <v>0</v>
      </c>
      <c r="BP147">
        <v>0</v>
      </c>
      <c r="BQ147">
        <v>0.8196</v>
      </c>
      <c r="BR147">
        <v>0.8196</v>
      </c>
    </row>
    <row r="148" spans="49:70">
      <c r="AW148">
        <v>4</v>
      </c>
      <c r="AX148">
        <v>50.032338000000003</v>
      </c>
      <c r="AY148">
        <v>15.732777</v>
      </c>
      <c r="AZ148">
        <v>1</v>
      </c>
      <c r="BA148">
        <v>1218</v>
      </c>
      <c r="BB148">
        <v>1218</v>
      </c>
      <c r="BC148">
        <v>1</v>
      </c>
      <c r="BD148" t="s">
        <v>1334</v>
      </c>
      <c r="BE148">
        <v>1772024544</v>
      </c>
      <c r="BF148">
        <v>1772135664</v>
      </c>
      <c r="BG148">
        <v>0.97154300000000005</v>
      </c>
      <c r="BH148" t="s">
        <v>21</v>
      </c>
      <c r="BI148">
        <v>2</v>
      </c>
      <c r="BJ148">
        <v>1772024544</v>
      </c>
      <c r="BK148">
        <v>200</v>
      </c>
      <c r="BL148">
        <v>5</v>
      </c>
      <c r="BM148">
        <v>2</v>
      </c>
      <c r="BN148">
        <v>1</v>
      </c>
      <c r="BO148">
        <v>0</v>
      </c>
      <c r="BP148">
        <v>0</v>
      </c>
      <c r="BQ148">
        <v>0.79610000000000003</v>
      </c>
      <c r="BR148">
        <v>0.79610000000000003</v>
      </c>
    </row>
    <row r="149" spans="49:70">
      <c r="AW149">
        <v>4</v>
      </c>
      <c r="AX149">
        <v>50.031587000000002</v>
      </c>
      <c r="AY149">
        <v>15.750954999999999</v>
      </c>
      <c r="AZ149">
        <v>1</v>
      </c>
      <c r="BA149">
        <v>1362</v>
      </c>
      <c r="BB149">
        <v>1362</v>
      </c>
      <c r="BC149">
        <v>1</v>
      </c>
      <c r="BD149" t="s">
        <v>1334</v>
      </c>
      <c r="BE149">
        <v>1772024615</v>
      </c>
      <c r="BF149">
        <v>1772135664</v>
      </c>
      <c r="BG149">
        <v>0.97154300000000005</v>
      </c>
      <c r="BH149" t="s">
        <v>21</v>
      </c>
      <c r="BI149">
        <v>2</v>
      </c>
      <c r="BJ149">
        <v>1772024615</v>
      </c>
      <c r="BK149">
        <v>200</v>
      </c>
      <c r="BL149">
        <v>5</v>
      </c>
      <c r="BM149">
        <v>2</v>
      </c>
      <c r="BN149">
        <v>1</v>
      </c>
      <c r="BO149">
        <v>0</v>
      </c>
      <c r="BP149">
        <v>0</v>
      </c>
      <c r="BQ149">
        <v>0.89019999999999999</v>
      </c>
      <c r="BR149">
        <v>0.89019999999999999</v>
      </c>
    </row>
    <row r="150" spans="49:70">
      <c r="AW150">
        <v>4</v>
      </c>
      <c r="AX150">
        <v>50.03154</v>
      </c>
      <c r="AY150">
        <v>15.751426</v>
      </c>
      <c r="AZ150">
        <v>1</v>
      </c>
      <c r="BA150">
        <v>1140</v>
      </c>
      <c r="BB150">
        <v>1140</v>
      </c>
      <c r="BC150">
        <v>1</v>
      </c>
      <c r="BD150" t="s">
        <v>1334</v>
      </c>
      <c r="BE150">
        <v>1772024619</v>
      </c>
      <c r="BF150">
        <v>1772135664</v>
      </c>
      <c r="BG150">
        <v>0.97154300000000005</v>
      </c>
      <c r="BH150" t="s">
        <v>21</v>
      </c>
      <c r="BI150">
        <v>2</v>
      </c>
      <c r="BJ150">
        <v>1772024619</v>
      </c>
      <c r="BK150">
        <v>200</v>
      </c>
      <c r="BL150">
        <v>5</v>
      </c>
      <c r="BM150">
        <v>2</v>
      </c>
      <c r="BN150">
        <v>1</v>
      </c>
      <c r="BO150">
        <v>0</v>
      </c>
      <c r="BP150">
        <v>0</v>
      </c>
      <c r="BQ150">
        <v>0.74509999999999998</v>
      </c>
      <c r="BR150">
        <v>0.74509999999999998</v>
      </c>
    </row>
    <row r="151" spans="49:70">
      <c r="AW151">
        <v>4</v>
      </c>
      <c r="AX151">
        <v>50.031697999999999</v>
      </c>
      <c r="AY151">
        <v>15.768516</v>
      </c>
      <c r="AZ151">
        <v>1</v>
      </c>
      <c r="BA151">
        <v>1494</v>
      </c>
      <c r="BB151">
        <v>1494</v>
      </c>
      <c r="BC151">
        <v>1</v>
      </c>
      <c r="BD151" t="s">
        <v>1334</v>
      </c>
      <c r="BE151">
        <v>1772024825</v>
      </c>
      <c r="BF151">
        <v>1772135664</v>
      </c>
      <c r="BG151">
        <v>0.97154300000000005</v>
      </c>
      <c r="BH151" t="s">
        <v>21</v>
      </c>
      <c r="BI151">
        <v>2</v>
      </c>
      <c r="BJ151">
        <v>1772024825</v>
      </c>
      <c r="BK151">
        <v>200</v>
      </c>
      <c r="BL151">
        <v>5</v>
      </c>
      <c r="BM151">
        <v>2</v>
      </c>
      <c r="BN151">
        <v>1</v>
      </c>
      <c r="BO151">
        <v>0</v>
      </c>
      <c r="BP151">
        <v>0</v>
      </c>
      <c r="BQ151">
        <v>0.97650000000000003</v>
      </c>
      <c r="BR151">
        <v>0.97650000000000003</v>
      </c>
    </row>
    <row r="152" spans="49:70">
      <c r="AW152">
        <v>4</v>
      </c>
      <c r="AX152">
        <v>50.031784999999999</v>
      </c>
      <c r="AY152">
        <v>15.768936</v>
      </c>
      <c r="AZ152">
        <v>1</v>
      </c>
      <c r="BA152">
        <v>1440</v>
      </c>
      <c r="BB152">
        <v>1440</v>
      </c>
      <c r="BC152">
        <v>1</v>
      </c>
      <c r="BD152" t="s">
        <v>1334</v>
      </c>
      <c r="BE152">
        <v>1772024831</v>
      </c>
      <c r="BF152">
        <v>1772135664</v>
      </c>
      <c r="BG152">
        <v>0.97154300000000005</v>
      </c>
      <c r="BH152" t="s">
        <v>21</v>
      </c>
      <c r="BI152">
        <v>2</v>
      </c>
      <c r="BJ152">
        <v>1772024831</v>
      </c>
      <c r="BK152">
        <v>200</v>
      </c>
      <c r="BL152">
        <v>5</v>
      </c>
      <c r="BM152">
        <v>2</v>
      </c>
      <c r="BN152">
        <v>1</v>
      </c>
      <c r="BO152">
        <v>0</v>
      </c>
      <c r="BP152">
        <v>0</v>
      </c>
      <c r="BQ152">
        <v>0.94120000000000004</v>
      </c>
      <c r="BR152">
        <v>0.94120000000000004</v>
      </c>
    </row>
    <row r="153" spans="49:70">
      <c r="AW153">
        <v>4</v>
      </c>
      <c r="AX153">
        <v>50.026392000000001</v>
      </c>
      <c r="AY153">
        <v>15.835025</v>
      </c>
      <c r="AZ153">
        <v>1</v>
      </c>
      <c r="BA153">
        <v>1296</v>
      </c>
      <c r="BB153">
        <v>1296</v>
      </c>
      <c r="BC153">
        <v>1</v>
      </c>
      <c r="BD153" t="s">
        <v>1334</v>
      </c>
      <c r="BE153">
        <v>1772024975</v>
      </c>
      <c r="BF153">
        <v>1772135664</v>
      </c>
      <c r="BG153">
        <v>0.97154300000000005</v>
      </c>
      <c r="BH153" t="s">
        <v>21</v>
      </c>
      <c r="BI153">
        <v>2</v>
      </c>
      <c r="BJ153">
        <v>1772024975</v>
      </c>
      <c r="BK153">
        <v>200</v>
      </c>
      <c r="BL153">
        <v>5</v>
      </c>
      <c r="BM153">
        <v>2</v>
      </c>
      <c r="BN153">
        <v>1</v>
      </c>
      <c r="BO153">
        <v>0</v>
      </c>
      <c r="BP153">
        <v>0</v>
      </c>
      <c r="BQ153">
        <v>0.84709999999999996</v>
      </c>
      <c r="BR153">
        <v>0.84709999999999996</v>
      </c>
    </row>
    <row r="154" spans="49:70">
      <c r="AW154">
        <v>4</v>
      </c>
      <c r="AX154">
        <v>50.017276000000003</v>
      </c>
      <c r="AY154">
        <v>15.877166000000001</v>
      </c>
      <c r="AZ154">
        <v>1</v>
      </c>
      <c r="BA154">
        <v>1206</v>
      </c>
      <c r="BB154">
        <v>1206</v>
      </c>
      <c r="BC154">
        <v>1</v>
      </c>
      <c r="BD154" t="s">
        <v>1334</v>
      </c>
      <c r="BE154">
        <v>1772025058</v>
      </c>
      <c r="BF154">
        <v>1772135664</v>
      </c>
      <c r="BG154">
        <v>0.97154300000000005</v>
      </c>
      <c r="BH154" t="s">
        <v>21</v>
      </c>
      <c r="BI154">
        <v>2</v>
      </c>
      <c r="BJ154">
        <v>1772025058</v>
      </c>
      <c r="BK154">
        <v>200</v>
      </c>
      <c r="BL154">
        <v>5</v>
      </c>
      <c r="BM154">
        <v>2</v>
      </c>
      <c r="BN154">
        <v>1</v>
      </c>
      <c r="BO154">
        <v>0</v>
      </c>
      <c r="BP154">
        <v>0</v>
      </c>
      <c r="BQ154">
        <v>0.78820000000000001</v>
      </c>
      <c r="BR154">
        <v>0.78820000000000001</v>
      </c>
    </row>
    <row r="155" spans="49:70">
      <c r="AW155">
        <v>4</v>
      </c>
      <c r="AX155">
        <v>50.016123999999998</v>
      </c>
      <c r="AY155">
        <v>15.881921</v>
      </c>
      <c r="AZ155">
        <v>1</v>
      </c>
      <c r="BA155">
        <v>1272</v>
      </c>
      <c r="BB155">
        <v>1272</v>
      </c>
      <c r="BC155">
        <v>1</v>
      </c>
      <c r="BD155" t="s">
        <v>1334</v>
      </c>
      <c r="BE155">
        <v>1772025066</v>
      </c>
      <c r="BF155">
        <v>1772135664</v>
      </c>
      <c r="BG155">
        <v>0.97154300000000005</v>
      </c>
      <c r="BH155" t="s">
        <v>21</v>
      </c>
      <c r="BI155">
        <v>2</v>
      </c>
      <c r="BJ155">
        <v>1772025066</v>
      </c>
      <c r="BK155">
        <v>200</v>
      </c>
      <c r="BL155">
        <v>5</v>
      </c>
      <c r="BM155">
        <v>2</v>
      </c>
      <c r="BN155">
        <v>1</v>
      </c>
      <c r="BO155">
        <v>0</v>
      </c>
      <c r="BP155">
        <v>0</v>
      </c>
      <c r="BQ155">
        <v>0.83140000000000003</v>
      </c>
      <c r="BR155">
        <v>0.83140000000000003</v>
      </c>
    </row>
    <row r="156" spans="49:70">
      <c r="AW156">
        <v>4</v>
      </c>
      <c r="AX156">
        <v>50.012407000000003</v>
      </c>
      <c r="AY156">
        <v>15.901313999999999</v>
      </c>
      <c r="AZ156">
        <v>1</v>
      </c>
      <c r="BA156">
        <v>1188</v>
      </c>
      <c r="BB156">
        <v>1188</v>
      </c>
      <c r="BC156">
        <v>1</v>
      </c>
      <c r="BD156" t="s">
        <v>1334</v>
      </c>
      <c r="BE156">
        <v>1772025102</v>
      </c>
      <c r="BF156">
        <v>1772135664</v>
      </c>
      <c r="BG156">
        <v>0.97154300000000005</v>
      </c>
      <c r="BH156" t="s">
        <v>21</v>
      </c>
      <c r="BI156">
        <v>2</v>
      </c>
      <c r="BJ156">
        <v>1772025102</v>
      </c>
      <c r="BK156">
        <v>200</v>
      </c>
      <c r="BL156">
        <v>5</v>
      </c>
      <c r="BM156">
        <v>2</v>
      </c>
      <c r="BN156">
        <v>1</v>
      </c>
      <c r="BO156">
        <v>0</v>
      </c>
      <c r="BP156">
        <v>0</v>
      </c>
      <c r="BQ156">
        <v>0.77649999999999997</v>
      </c>
      <c r="BR156">
        <v>0.77649999999999997</v>
      </c>
    </row>
    <row r="157" spans="49:70">
      <c r="AW157">
        <v>4</v>
      </c>
      <c r="AX157">
        <v>49.986767</v>
      </c>
      <c r="AY157">
        <v>16.022186000000001</v>
      </c>
      <c r="AZ157">
        <v>1</v>
      </c>
      <c r="BA157">
        <v>1452</v>
      </c>
      <c r="BB157">
        <v>1452</v>
      </c>
      <c r="BC157">
        <v>1</v>
      </c>
      <c r="BD157" t="s">
        <v>1334</v>
      </c>
      <c r="BE157">
        <v>1772025439</v>
      </c>
      <c r="BF157">
        <v>1772135664</v>
      </c>
      <c r="BG157">
        <v>0.97154300000000005</v>
      </c>
      <c r="BH157" t="s">
        <v>21</v>
      </c>
      <c r="BI157">
        <v>2</v>
      </c>
      <c r="BJ157">
        <v>1772025439</v>
      </c>
      <c r="BK157">
        <v>200</v>
      </c>
      <c r="BL157">
        <v>5</v>
      </c>
      <c r="BM157">
        <v>2</v>
      </c>
      <c r="BN157">
        <v>1</v>
      </c>
      <c r="BO157">
        <v>0</v>
      </c>
      <c r="BP157">
        <v>0</v>
      </c>
      <c r="BQ157">
        <v>0.94899999999999995</v>
      </c>
      <c r="BR157">
        <v>0.94899999999999995</v>
      </c>
    </row>
    <row r="158" spans="49:70">
      <c r="AW158">
        <v>4</v>
      </c>
      <c r="AX158">
        <v>49.578487000000003</v>
      </c>
      <c r="AY158">
        <v>16.549641999999999</v>
      </c>
      <c r="AZ158">
        <v>1</v>
      </c>
      <c r="BA158">
        <v>1140</v>
      </c>
      <c r="BB158">
        <v>1140</v>
      </c>
      <c r="BC158">
        <v>1</v>
      </c>
      <c r="BD158" t="s">
        <v>1334</v>
      </c>
      <c r="BE158">
        <v>1772028695</v>
      </c>
      <c r="BF158">
        <v>1772135664</v>
      </c>
      <c r="BG158">
        <v>0.97154300000000005</v>
      </c>
      <c r="BH158" t="s">
        <v>21</v>
      </c>
      <c r="BI158">
        <v>2</v>
      </c>
      <c r="BJ158">
        <v>1772028695</v>
      </c>
      <c r="BK158">
        <v>200</v>
      </c>
      <c r="BL158">
        <v>5</v>
      </c>
      <c r="BM158">
        <v>2</v>
      </c>
      <c r="BN158">
        <v>1</v>
      </c>
      <c r="BO158">
        <v>0</v>
      </c>
      <c r="BP158">
        <v>0</v>
      </c>
      <c r="BQ158">
        <v>0.74509999999999998</v>
      </c>
      <c r="BR158">
        <v>0.74509999999999998</v>
      </c>
    </row>
    <row r="159" spans="49:70">
      <c r="AW159">
        <v>4</v>
      </c>
      <c r="AX159">
        <v>49.578229</v>
      </c>
      <c r="AY159">
        <v>16.549790999999999</v>
      </c>
      <c r="AZ159">
        <v>1</v>
      </c>
      <c r="BA159">
        <v>1086</v>
      </c>
      <c r="BB159">
        <v>1086</v>
      </c>
      <c r="BC159">
        <v>1</v>
      </c>
      <c r="BD159" t="s">
        <v>1334</v>
      </c>
      <c r="BE159">
        <v>1772028703</v>
      </c>
      <c r="BF159">
        <v>1772135664</v>
      </c>
      <c r="BG159">
        <v>0.97154300000000005</v>
      </c>
      <c r="BH159" t="s">
        <v>21</v>
      </c>
      <c r="BI159">
        <v>2</v>
      </c>
      <c r="BJ159">
        <v>1772028703</v>
      </c>
      <c r="BK159">
        <v>200</v>
      </c>
      <c r="BL159">
        <v>5</v>
      </c>
      <c r="BM159">
        <v>2</v>
      </c>
      <c r="BN159">
        <v>1</v>
      </c>
      <c r="BO159">
        <v>0</v>
      </c>
      <c r="BP159">
        <v>0</v>
      </c>
      <c r="BQ159">
        <v>0.70979999999999999</v>
      </c>
      <c r="BR159">
        <v>0.70979999999999999</v>
      </c>
    </row>
    <row r="160" spans="49:70">
      <c r="AW160">
        <v>4</v>
      </c>
      <c r="AX160">
        <v>49.578274999999998</v>
      </c>
      <c r="AY160">
        <v>16.549382999999999</v>
      </c>
      <c r="AZ160">
        <v>1</v>
      </c>
      <c r="BA160">
        <v>1140</v>
      </c>
      <c r="BB160">
        <v>1140</v>
      </c>
      <c r="BC160">
        <v>1</v>
      </c>
      <c r="BD160" t="s">
        <v>1334</v>
      </c>
      <c r="BE160">
        <v>1772028710</v>
      </c>
      <c r="BF160">
        <v>1772135664</v>
      </c>
      <c r="BG160">
        <v>0.97154300000000005</v>
      </c>
      <c r="BH160" t="s">
        <v>21</v>
      </c>
      <c r="BI160">
        <v>2</v>
      </c>
      <c r="BJ160">
        <v>1772028710</v>
      </c>
      <c r="BK160">
        <v>200</v>
      </c>
      <c r="BL160">
        <v>5</v>
      </c>
      <c r="BM160">
        <v>2</v>
      </c>
      <c r="BN160">
        <v>1</v>
      </c>
      <c r="BO160">
        <v>0</v>
      </c>
      <c r="BP160">
        <v>0</v>
      </c>
      <c r="BQ160">
        <v>0.74509999999999998</v>
      </c>
      <c r="BR160">
        <v>0.74509999999999998</v>
      </c>
    </row>
    <row r="161" spans="49:70">
      <c r="AW161">
        <v>4</v>
      </c>
      <c r="AX161">
        <v>49.578524000000002</v>
      </c>
      <c r="AY161">
        <v>16.549232</v>
      </c>
      <c r="AZ161">
        <v>1</v>
      </c>
      <c r="BA161">
        <v>1086</v>
      </c>
      <c r="BB161">
        <v>1086</v>
      </c>
      <c r="BC161">
        <v>1</v>
      </c>
      <c r="BD161" t="s">
        <v>1334</v>
      </c>
      <c r="BE161">
        <v>1772028718</v>
      </c>
      <c r="BF161">
        <v>1772135664</v>
      </c>
      <c r="BG161">
        <v>0.97154300000000005</v>
      </c>
      <c r="BH161" t="s">
        <v>21</v>
      </c>
      <c r="BI161">
        <v>2</v>
      </c>
      <c r="BJ161">
        <v>1772028718</v>
      </c>
      <c r="BK161">
        <v>200</v>
      </c>
      <c r="BL161">
        <v>5</v>
      </c>
      <c r="BM161">
        <v>2</v>
      </c>
      <c r="BN161">
        <v>1</v>
      </c>
      <c r="BO161">
        <v>0</v>
      </c>
      <c r="BP161">
        <v>0</v>
      </c>
      <c r="BQ161">
        <v>0.70979999999999999</v>
      </c>
      <c r="BR161">
        <v>0.70979999999999999</v>
      </c>
    </row>
    <row r="162" spans="49:70">
      <c r="AW162">
        <v>4</v>
      </c>
      <c r="AX162">
        <v>49.522646000000002</v>
      </c>
      <c r="AY162">
        <v>16.585795999999998</v>
      </c>
      <c r="AZ162">
        <v>1</v>
      </c>
      <c r="BA162">
        <v>1308</v>
      </c>
      <c r="BB162">
        <v>1308</v>
      </c>
      <c r="BC162">
        <v>1</v>
      </c>
      <c r="BD162" t="s">
        <v>1334</v>
      </c>
      <c r="BE162">
        <v>1772029005</v>
      </c>
      <c r="BF162">
        <v>1772135664</v>
      </c>
      <c r="BG162">
        <v>0.97154300000000005</v>
      </c>
      <c r="BH162" t="s">
        <v>21</v>
      </c>
      <c r="BI162">
        <v>2</v>
      </c>
      <c r="BJ162">
        <v>1772029005</v>
      </c>
      <c r="BK162">
        <v>200</v>
      </c>
      <c r="BL162">
        <v>5</v>
      </c>
      <c r="BM162">
        <v>2</v>
      </c>
      <c r="BN162">
        <v>1</v>
      </c>
      <c r="BO162">
        <v>0</v>
      </c>
      <c r="BP162">
        <v>0</v>
      </c>
      <c r="BQ162">
        <v>0.85489999999999999</v>
      </c>
      <c r="BR162">
        <v>0.85489999999999999</v>
      </c>
    </row>
    <row r="163" spans="49:70">
      <c r="AW163">
        <v>4</v>
      </c>
      <c r="AX163">
        <v>49.522424999999998</v>
      </c>
      <c r="AY163">
        <v>16.586044999999999</v>
      </c>
      <c r="AZ163">
        <v>1</v>
      </c>
      <c r="BA163">
        <v>1350</v>
      </c>
      <c r="BB163">
        <v>1350</v>
      </c>
      <c r="BC163">
        <v>1</v>
      </c>
      <c r="BD163" t="s">
        <v>1334</v>
      </c>
      <c r="BE163">
        <v>1772029010</v>
      </c>
      <c r="BF163">
        <v>1772135664</v>
      </c>
      <c r="BG163">
        <v>0.97154300000000005</v>
      </c>
      <c r="BH163" t="s">
        <v>21</v>
      </c>
      <c r="BI163">
        <v>2</v>
      </c>
      <c r="BJ163">
        <v>1772029010</v>
      </c>
      <c r="BK163">
        <v>200</v>
      </c>
      <c r="BL163">
        <v>5</v>
      </c>
      <c r="BM163">
        <v>2</v>
      </c>
      <c r="BN163">
        <v>1</v>
      </c>
      <c r="BO163">
        <v>0</v>
      </c>
      <c r="BP163">
        <v>0</v>
      </c>
      <c r="BQ163">
        <v>0.88239999999999996</v>
      </c>
      <c r="BR163">
        <v>0.88239999999999996</v>
      </c>
    </row>
    <row r="164" spans="49:70">
      <c r="AW164">
        <v>4</v>
      </c>
      <c r="AX164">
        <v>49.522880000000001</v>
      </c>
      <c r="AY164">
        <v>16.585559</v>
      </c>
      <c r="AZ164">
        <v>1</v>
      </c>
      <c r="BA164">
        <v>1206</v>
      </c>
      <c r="BB164">
        <v>1206</v>
      </c>
      <c r="BC164">
        <v>1</v>
      </c>
      <c r="BD164" t="s">
        <v>1334</v>
      </c>
      <c r="BE164">
        <v>1772029015</v>
      </c>
      <c r="BF164">
        <v>1772135664</v>
      </c>
      <c r="BG164">
        <v>0.97154300000000005</v>
      </c>
      <c r="BH164" t="s">
        <v>21</v>
      </c>
      <c r="BI164">
        <v>2</v>
      </c>
      <c r="BJ164">
        <v>1772029015</v>
      </c>
      <c r="BK164">
        <v>200</v>
      </c>
      <c r="BL164">
        <v>5</v>
      </c>
      <c r="BM164">
        <v>2</v>
      </c>
      <c r="BN164">
        <v>1</v>
      </c>
      <c r="BO164">
        <v>0</v>
      </c>
      <c r="BP164">
        <v>0</v>
      </c>
      <c r="BQ164">
        <v>0.78820000000000001</v>
      </c>
      <c r="BR164">
        <v>0.78820000000000001</v>
      </c>
    </row>
    <row r="165" spans="49:70">
      <c r="AW165">
        <v>4</v>
      </c>
      <c r="AX165">
        <v>49.522629999999999</v>
      </c>
      <c r="AY165">
        <v>16.585384999999999</v>
      </c>
      <c r="AZ165">
        <v>1</v>
      </c>
      <c r="BA165">
        <v>1218</v>
      </c>
      <c r="BB165">
        <v>1218</v>
      </c>
      <c r="BC165">
        <v>1</v>
      </c>
      <c r="BD165" t="s">
        <v>1334</v>
      </c>
      <c r="BE165">
        <v>1772029024</v>
      </c>
      <c r="BF165">
        <v>1772135664</v>
      </c>
      <c r="BG165">
        <v>0.97154300000000005</v>
      </c>
      <c r="BH165" t="s">
        <v>21</v>
      </c>
      <c r="BI165">
        <v>2</v>
      </c>
      <c r="BJ165">
        <v>1772029024</v>
      </c>
      <c r="BK165">
        <v>200</v>
      </c>
      <c r="BL165">
        <v>5</v>
      </c>
      <c r="BM165">
        <v>2</v>
      </c>
      <c r="BN165">
        <v>1</v>
      </c>
      <c r="BO165">
        <v>0</v>
      </c>
      <c r="BP165">
        <v>0</v>
      </c>
      <c r="BQ165">
        <v>0.79610000000000003</v>
      </c>
      <c r="BR165">
        <v>0.79610000000000003</v>
      </c>
    </row>
    <row r="166" spans="49:70">
      <c r="AW166">
        <v>4</v>
      </c>
      <c r="AX166">
        <v>49.522404999999999</v>
      </c>
      <c r="AY166">
        <v>16.585629999999998</v>
      </c>
      <c r="AZ166">
        <v>1</v>
      </c>
      <c r="BA166">
        <v>1332</v>
      </c>
      <c r="BB166">
        <v>1332</v>
      </c>
      <c r="BC166">
        <v>1</v>
      </c>
      <c r="BD166" t="s">
        <v>1334</v>
      </c>
      <c r="BE166">
        <v>1772029031</v>
      </c>
      <c r="BF166">
        <v>1772135664</v>
      </c>
      <c r="BG166">
        <v>0.97154300000000005</v>
      </c>
      <c r="BH166" t="s">
        <v>21</v>
      </c>
      <c r="BI166">
        <v>2</v>
      </c>
      <c r="BJ166">
        <v>1772029031</v>
      </c>
      <c r="BK166">
        <v>200</v>
      </c>
      <c r="BL166">
        <v>5</v>
      </c>
      <c r="BM166">
        <v>2</v>
      </c>
      <c r="BN166">
        <v>1</v>
      </c>
      <c r="BO166">
        <v>0</v>
      </c>
      <c r="BP166">
        <v>0</v>
      </c>
      <c r="BQ166">
        <v>0.87060000000000004</v>
      </c>
      <c r="BR166">
        <v>0.87060000000000004</v>
      </c>
    </row>
    <row r="167" spans="49:70">
      <c r="AW167">
        <v>4</v>
      </c>
      <c r="AX167">
        <v>49.129306999999997</v>
      </c>
      <c r="AY167">
        <v>16.605953</v>
      </c>
      <c r="AZ167">
        <v>1</v>
      </c>
      <c r="BA167">
        <v>1188</v>
      </c>
      <c r="BB167">
        <v>1188</v>
      </c>
      <c r="BC167">
        <v>1</v>
      </c>
      <c r="BD167" t="s">
        <v>1334</v>
      </c>
      <c r="BE167">
        <v>1772031372</v>
      </c>
      <c r="BF167">
        <v>1772135664</v>
      </c>
      <c r="BG167">
        <v>0.97154300000000005</v>
      </c>
      <c r="BH167" t="s">
        <v>21</v>
      </c>
      <c r="BI167">
        <v>2</v>
      </c>
      <c r="BJ167">
        <v>1772031372</v>
      </c>
      <c r="BK167">
        <v>200</v>
      </c>
      <c r="BL167">
        <v>5</v>
      </c>
      <c r="BM167">
        <v>2</v>
      </c>
      <c r="BN167">
        <v>1</v>
      </c>
      <c r="BO167">
        <v>0</v>
      </c>
      <c r="BP167">
        <v>0</v>
      </c>
      <c r="BQ167">
        <v>0.77649999999999997</v>
      </c>
      <c r="BR167">
        <v>0.77649999999999997</v>
      </c>
    </row>
    <row r="168" spans="49:70">
      <c r="AW168">
        <v>4</v>
      </c>
      <c r="AX168">
        <v>49.129745</v>
      </c>
      <c r="AY168">
        <v>16.606286000000001</v>
      </c>
      <c r="AZ168">
        <v>1</v>
      </c>
      <c r="BA168">
        <v>1242</v>
      </c>
      <c r="BB168">
        <v>1242</v>
      </c>
      <c r="BC168">
        <v>1</v>
      </c>
      <c r="BD168" t="s">
        <v>1334</v>
      </c>
      <c r="BE168">
        <v>1772031378</v>
      </c>
      <c r="BF168">
        <v>1772135664</v>
      </c>
      <c r="BG168">
        <v>0.97154300000000005</v>
      </c>
      <c r="BH168" t="s">
        <v>21</v>
      </c>
      <c r="BI168">
        <v>2</v>
      </c>
      <c r="BJ168">
        <v>1772031378</v>
      </c>
      <c r="BK168">
        <v>200</v>
      </c>
      <c r="BL168">
        <v>5</v>
      </c>
      <c r="BM168">
        <v>2</v>
      </c>
      <c r="BN168">
        <v>1</v>
      </c>
      <c r="BO168">
        <v>0</v>
      </c>
      <c r="BP168">
        <v>0</v>
      </c>
      <c r="BQ168">
        <v>0.81179999999999997</v>
      </c>
      <c r="BR168">
        <v>0.81179999999999997</v>
      </c>
    </row>
    <row r="169" spans="49:70">
      <c r="AW169">
        <v>4</v>
      </c>
      <c r="AX169">
        <v>49.129477999999999</v>
      </c>
      <c r="AY169">
        <v>16.606325999999999</v>
      </c>
      <c r="AZ169">
        <v>1</v>
      </c>
      <c r="BA169">
        <v>1110</v>
      </c>
      <c r="BB169">
        <v>1110</v>
      </c>
      <c r="BC169">
        <v>1</v>
      </c>
      <c r="BD169" t="s">
        <v>1334</v>
      </c>
      <c r="BE169">
        <v>1772031383</v>
      </c>
      <c r="BF169">
        <v>1772135664</v>
      </c>
      <c r="BG169">
        <v>0.97154300000000005</v>
      </c>
      <c r="BH169" t="s">
        <v>21</v>
      </c>
      <c r="BI169">
        <v>2</v>
      </c>
      <c r="BJ169">
        <v>1772031383</v>
      </c>
      <c r="BK169">
        <v>200</v>
      </c>
      <c r="BL169">
        <v>5</v>
      </c>
      <c r="BM169">
        <v>2</v>
      </c>
      <c r="BN169">
        <v>1</v>
      </c>
      <c r="BO169">
        <v>0</v>
      </c>
      <c r="BP169">
        <v>0</v>
      </c>
      <c r="BQ169">
        <v>0.72550000000000003</v>
      </c>
      <c r="BR169">
        <v>0.72550000000000003</v>
      </c>
    </row>
    <row r="170" spans="49:70">
      <c r="AW170">
        <v>4</v>
      </c>
      <c r="AX170">
        <v>48.321807999999997</v>
      </c>
      <c r="AY170">
        <v>16.661635</v>
      </c>
      <c r="AZ170">
        <v>1</v>
      </c>
      <c r="BA170">
        <v>1086</v>
      </c>
      <c r="BB170">
        <v>1086</v>
      </c>
      <c r="BC170">
        <v>1</v>
      </c>
      <c r="BD170" t="s">
        <v>1334</v>
      </c>
      <c r="BE170">
        <v>1772034976</v>
      </c>
      <c r="BF170">
        <v>1772135664</v>
      </c>
      <c r="BG170">
        <v>0.97154300000000005</v>
      </c>
      <c r="BH170" t="s">
        <v>21</v>
      </c>
      <c r="BI170">
        <v>2</v>
      </c>
      <c r="BJ170">
        <v>1772034976</v>
      </c>
      <c r="BK170">
        <v>200</v>
      </c>
      <c r="BL170">
        <v>5</v>
      </c>
      <c r="BM170">
        <v>2</v>
      </c>
      <c r="BN170">
        <v>1</v>
      </c>
      <c r="BO170">
        <v>0</v>
      </c>
      <c r="BP170">
        <v>0</v>
      </c>
      <c r="BQ170">
        <v>0.70979999999999999</v>
      </c>
      <c r="BR170">
        <v>0.70979999999999999</v>
      </c>
    </row>
    <row r="171" spans="49:70">
      <c r="AW171">
        <v>4</v>
      </c>
      <c r="AX171">
        <v>48.200989</v>
      </c>
      <c r="AY171">
        <v>16.438852000000001</v>
      </c>
      <c r="AZ171">
        <v>1</v>
      </c>
      <c r="BA171">
        <v>1206</v>
      </c>
      <c r="BB171">
        <v>1206</v>
      </c>
      <c r="BC171">
        <v>1</v>
      </c>
      <c r="BD171" t="s">
        <v>1334</v>
      </c>
      <c r="BE171">
        <v>1772036069</v>
      </c>
      <c r="BF171">
        <v>1772135664</v>
      </c>
      <c r="BG171">
        <v>0.97154300000000005</v>
      </c>
      <c r="BH171" t="s">
        <v>21</v>
      </c>
      <c r="BI171">
        <v>2</v>
      </c>
      <c r="BJ171">
        <v>1772036069</v>
      </c>
      <c r="BK171">
        <v>200</v>
      </c>
      <c r="BL171">
        <v>5</v>
      </c>
      <c r="BM171">
        <v>2</v>
      </c>
      <c r="BN171">
        <v>1</v>
      </c>
      <c r="BO171">
        <v>0</v>
      </c>
      <c r="BP171">
        <v>0</v>
      </c>
      <c r="BQ171">
        <v>0.78820000000000001</v>
      </c>
      <c r="BR171">
        <v>0.78820000000000001</v>
      </c>
    </row>
    <row r="172" spans="49:70">
      <c r="AW172">
        <v>4</v>
      </c>
      <c r="AX172">
        <v>48.201193000000004</v>
      </c>
      <c r="AY172">
        <v>16.438565000000001</v>
      </c>
      <c r="AZ172">
        <v>1</v>
      </c>
      <c r="BA172">
        <v>1110</v>
      </c>
      <c r="BB172">
        <v>1110</v>
      </c>
      <c r="BC172">
        <v>1</v>
      </c>
      <c r="BD172" t="s">
        <v>1334</v>
      </c>
      <c r="BE172">
        <v>1772036073</v>
      </c>
      <c r="BF172">
        <v>1772135664</v>
      </c>
      <c r="BG172">
        <v>0.97154300000000005</v>
      </c>
      <c r="BH172" t="s">
        <v>21</v>
      </c>
      <c r="BI172">
        <v>2</v>
      </c>
      <c r="BJ172">
        <v>1772036073</v>
      </c>
      <c r="BK172">
        <v>200</v>
      </c>
      <c r="BL172">
        <v>5</v>
      </c>
      <c r="BM172">
        <v>2</v>
      </c>
      <c r="BN172">
        <v>1</v>
      </c>
      <c r="BO172">
        <v>0</v>
      </c>
      <c r="BP172">
        <v>0</v>
      </c>
      <c r="BQ172">
        <v>0.72550000000000003</v>
      </c>
      <c r="BR172">
        <v>0.72550000000000003</v>
      </c>
    </row>
    <row r="173" spans="49:70">
      <c r="AW173">
        <v>4</v>
      </c>
      <c r="AX173">
        <v>48.201042000000001</v>
      </c>
      <c r="AY173">
        <v>16.439305000000001</v>
      </c>
      <c r="AZ173">
        <v>1</v>
      </c>
      <c r="BA173">
        <v>1320</v>
      </c>
      <c r="BB173">
        <v>1320</v>
      </c>
      <c r="BC173">
        <v>1</v>
      </c>
      <c r="BD173" t="s">
        <v>1334</v>
      </c>
      <c r="BE173">
        <v>1772036084</v>
      </c>
      <c r="BF173">
        <v>1772135664</v>
      </c>
      <c r="BG173">
        <v>0.97154300000000005</v>
      </c>
      <c r="BH173" t="s">
        <v>21</v>
      </c>
      <c r="BI173">
        <v>2</v>
      </c>
      <c r="BJ173">
        <v>1772036084</v>
      </c>
      <c r="BK173">
        <v>200</v>
      </c>
      <c r="BL173">
        <v>5</v>
      </c>
      <c r="BM173">
        <v>2</v>
      </c>
      <c r="BN173">
        <v>1</v>
      </c>
      <c r="BO173">
        <v>0</v>
      </c>
      <c r="BP173">
        <v>0</v>
      </c>
      <c r="BQ173">
        <v>0.86270000000000002</v>
      </c>
      <c r="BR173">
        <v>0.86270000000000002</v>
      </c>
    </row>
    <row r="174" spans="49:70">
      <c r="AW174">
        <v>4</v>
      </c>
      <c r="AX174">
        <v>48.200774000000003</v>
      </c>
      <c r="AY174">
        <v>16.439236000000001</v>
      </c>
      <c r="AZ174">
        <v>1</v>
      </c>
      <c r="BA174">
        <v>1320</v>
      </c>
      <c r="BB174">
        <v>1320</v>
      </c>
      <c r="BC174">
        <v>1</v>
      </c>
      <c r="BD174" t="s">
        <v>1334</v>
      </c>
      <c r="BE174">
        <v>1772036088</v>
      </c>
      <c r="BF174">
        <v>1772135664</v>
      </c>
      <c r="BG174">
        <v>0.97154300000000005</v>
      </c>
      <c r="BH174" t="s">
        <v>21</v>
      </c>
      <c r="BI174">
        <v>2</v>
      </c>
      <c r="BJ174">
        <v>1772036088</v>
      </c>
      <c r="BK174">
        <v>200</v>
      </c>
      <c r="BL174">
        <v>5</v>
      </c>
      <c r="BM174">
        <v>2</v>
      </c>
      <c r="BN174">
        <v>1</v>
      </c>
      <c r="BO174">
        <v>0</v>
      </c>
      <c r="BP174">
        <v>0</v>
      </c>
      <c r="BQ174">
        <v>0.86270000000000002</v>
      </c>
      <c r="BR174">
        <v>0.86270000000000002</v>
      </c>
    </row>
    <row r="175" spans="49:70">
      <c r="AW175">
        <v>4</v>
      </c>
      <c r="AX175">
        <v>48.245530000000002</v>
      </c>
      <c r="AY175">
        <v>16.374714000000001</v>
      </c>
      <c r="AZ175">
        <v>1</v>
      </c>
      <c r="BA175">
        <v>1176</v>
      </c>
      <c r="BB175">
        <v>1176</v>
      </c>
      <c r="BC175">
        <v>1</v>
      </c>
      <c r="BD175" t="s">
        <v>1334</v>
      </c>
      <c r="BE175">
        <v>1772038883</v>
      </c>
      <c r="BF175">
        <v>1772135664</v>
      </c>
      <c r="BG175">
        <v>0.97154300000000005</v>
      </c>
      <c r="BH175" t="s">
        <v>21</v>
      </c>
      <c r="BI175">
        <v>2</v>
      </c>
      <c r="BJ175">
        <v>1772038883</v>
      </c>
      <c r="BK175">
        <v>200</v>
      </c>
      <c r="BL175">
        <v>5</v>
      </c>
      <c r="BM175">
        <v>2</v>
      </c>
      <c r="BN175">
        <v>1</v>
      </c>
      <c r="BO175">
        <v>0</v>
      </c>
      <c r="BP175">
        <v>0</v>
      </c>
      <c r="BQ175">
        <v>0.76859999999999995</v>
      </c>
      <c r="BR175">
        <v>0.76859999999999995</v>
      </c>
    </row>
    <row r="176" spans="49:70">
      <c r="AW176">
        <v>4</v>
      </c>
      <c r="AX176">
        <v>48.245519999999999</v>
      </c>
      <c r="AY176">
        <v>16.374298</v>
      </c>
      <c r="AZ176">
        <v>1</v>
      </c>
      <c r="BA176">
        <v>1086</v>
      </c>
      <c r="BB176">
        <v>1086</v>
      </c>
      <c r="BC176">
        <v>1</v>
      </c>
      <c r="BD176" t="s">
        <v>1334</v>
      </c>
      <c r="BE176">
        <v>1772038902</v>
      </c>
      <c r="BF176">
        <v>1772135664</v>
      </c>
      <c r="BG176">
        <v>0.97154300000000005</v>
      </c>
      <c r="BH176" t="s">
        <v>21</v>
      </c>
      <c r="BI176">
        <v>2</v>
      </c>
      <c r="BJ176">
        <v>1772038902</v>
      </c>
      <c r="BK176">
        <v>200</v>
      </c>
      <c r="BL176">
        <v>5</v>
      </c>
      <c r="BM176">
        <v>2</v>
      </c>
      <c r="BN176">
        <v>1</v>
      </c>
      <c r="BO176">
        <v>0</v>
      </c>
      <c r="BP176">
        <v>0</v>
      </c>
      <c r="BQ176">
        <v>0.70979999999999999</v>
      </c>
      <c r="BR176">
        <v>0.70979999999999999</v>
      </c>
    </row>
    <row r="177" spans="49:70">
      <c r="AW177">
        <v>4</v>
      </c>
      <c r="AX177">
        <v>48.245581999999999</v>
      </c>
      <c r="AY177">
        <v>16.372684</v>
      </c>
      <c r="AZ177">
        <v>1</v>
      </c>
      <c r="BA177">
        <v>1218</v>
      </c>
      <c r="BB177">
        <v>1218</v>
      </c>
      <c r="BC177">
        <v>1</v>
      </c>
      <c r="BD177" t="s">
        <v>1334</v>
      </c>
      <c r="BE177">
        <v>1772038915</v>
      </c>
      <c r="BF177">
        <v>1772135664</v>
      </c>
      <c r="BG177">
        <v>0.97154300000000005</v>
      </c>
      <c r="BH177" t="s">
        <v>21</v>
      </c>
      <c r="BI177">
        <v>2</v>
      </c>
      <c r="BJ177">
        <v>1772038915</v>
      </c>
      <c r="BK177">
        <v>200</v>
      </c>
      <c r="BL177">
        <v>5</v>
      </c>
      <c r="BM177">
        <v>2</v>
      </c>
      <c r="BN177">
        <v>1</v>
      </c>
      <c r="BO177">
        <v>0</v>
      </c>
      <c r="BP177">
        <v>0</v>
      </c>
      <c r="BQ177">
        <v>0.79610000000000003</v>
      </c>
      <c r="BR177">
        <v>0.79610000000000003</v>
      </c>
    </row>
    <row r="178" spans="49:70">
      <c r="AW178">
        <v>4</v>
      </c>
      <c r="AX178">
        <v>48.245722000000001</v>
      </c>
      <c r="AY178">
        <v>16.372311</v>
      </c>
      <c r="AZ178">
        <v>1</v>
      </c>
      <c r="BA178">
        <v>1086</v>
      </c>
      <c r="BB178">
        <v>1086</v>
      </c>
      <c r="BC178">
        <v>1</v>
      </c>
      <c r="BD178" t="s">
        <v>1334</v>
      </c>
      <c r="BE178">
        <v>1772038919</v>
      </c>
      <c r="BF178">
        <v>1772135664</v>
      </c>
      <c r="BG178">
        <v>0.97154300000000005</v>
      </c>
      <c r="BH178" t="s">
        <v>21</v>
      </c>
      <c r="BI178">
        <v>2</v>
      </c>
      <c r="BJ178">
        <v>1772038919</v>
      </c>
      <c r="BK178">
        <v>200</v>
      </c>
      <c r="BL178">
        <v>5</v>
      </c>
      <c r="BM178">
        <v>2</v>
      </c>
      <c r="BN178">
        <v>1</v>
      </c>
      <c r="BO178">
        <v>0</v>
      </c>
      <c r="BP178">
        <v>0</v>
      </c>
      <c r="BQ178">
        <v>0.70979999999999999</v>
      </c>
      <c r="BR178">
        <v>0.70979999999999999</v>
      </c>
    </row>
    <row r="179" spans="49:70">
      <c r="AW179">
        <v>4</v>
      </c>
      <c r="AX179">
        <v>48.240645000000001</v>
      </c>
      <c r="AY179">
        <v>16.376172</v>
      </c>
      <c r="AZ179">
        <v>1</v>
      </c>
      <c r="BA179">
        <v>1332</v>
      </c>
      <c r="BB179">
        <v>1332</v>
      </c>
      <c r="BC179">
        <v>1</v>
      </c>
      <c r="BD179" t="s">
        <v>1334</v>
      </c>
      <c r="BE179">
        <v>1772099452</v>
      </c>
      <c r="BF179">
        <v>1772135664</v>
      </c>
      <c r="BG179">
        <v>0.97154300000000005</v>
      </c>
      <c r="BH179" t="s">
        <v>21</v>
      </c>
      <c r="BI179">
        <v>2</v>
      </c>
      <c r="BJ179">
        <v>1772099452</v>
      </c>
      <c r="BK179">
        <v>200</v>
      </c>
      <c r="BL179">
        <v>5</v>
      </c>
      <c r="BM179">
        <v>2</v>
      </c>
      <c r="BN179">
        <v>1</v>
      </c>
      <c r="BO179">
        <v>0</v>
      </c>
      <c r="BP179">
        <v>0</v>
      </c>
      <c r="BQ179">
        <v>0.87060000000000004</v>
      </c>
      <c r="BR179">
        <v>0.87060000000000004</v>
      </c>
    </row>
    <row r="180" spans="49:70">
      <c r="AW180">
        <v>4</v>
      </c>
      <c r="AX180">
        <v>48.240434999999998</v>
      </c>
      <c r="AY180">
        <v>16.376469</v>
      </c>
      <c r="AZ180">
        <v>1</v>
      </c>
      <c r="BA180">
        <v>1332</v>
      </c>
      <c r="BB180">
        <v>1332</v>
      </c>
      <c r="BC180">
        <v>1</v>
      </c>
      <c r="BD180" t="s">
        <v>1334</v>
      </c>
      <c r="BE180">
        <v>1772099472</v>
      </c>
      <c r="BF180">
        <v>1772135664</v>
      </c>
      <c r="BG180">
        <v>0.97154300000000005</v>
      </c>
      <c r="BH180" t="s">
        <v>21</v>
      </c>
      <c r="BI180">
        <v>2</v>
      </c>
      <c r="BJ180">
        <v>1772099472</v>
      </c>
      <c r="BK180">
        <v>200</v>
      </c>
      <c r="BL180">
        <v>5</v>
      </c>
      <c r="BM180">
        <v>2</v>
      </c>
      <c r="BN180">
        <v>1</v>
      </c>
      <c r="BO180">
        <v>0</v>
      </c>
      <c r="BP180">
        <v>0</v>
      </c>
      <c r="BQ180">
        <v>0.87060000000000004</v>
      </c>
      <c r="BR180">
        <v>0.87060000000000004</v>
      </c>
    </row>
    <row r="181" spans="49:70">
      <c r="AW181">
        <v>4</v>
      </c>
      <c r="AX181">
        <v>48.240110000000001</v>
      </c>
      <c r="AY181">
        <v>16.375554999999999</v>
      </c>
      <c r="AZ181">
        <v>1</v>
      </c>
      <c r="BA181">
        <v>1530</v>
      </c>
      <c r="BB181">
        <v>1530</v>
      </c>
      <c r="BC181">
        <v>1</v>
      </c>
      <c r="BD181" t="s">
        <v>1334</v>
      </c>
      <c r="BE181">
        <v>1772099483</v>
      </c>
      <c r="BF181">
        <v>1772135664</v>
      </c>
      <c r="BG181">
        <v>0.97154300000000005</v>
      </c>
      <c r="BH181" t="s">
        <v>21</v>
      </c>
      <c r="BI181">
        <v>2</v>
      </c>
      <c r="BJ181">
        <v>1772099483</v>
      </c>
      <c r="BK181">
        <v>200</v>
      </c>
      <c r="BL181">
        <v>5</v>
      </c>
      <c r="BM181">
        <v>2</v>
      </c>
      <c r="BN181">
        <v>1</v>
      </c>
      <c r="BO181">
        <v>0</v>
      </c>
      <c r="BP181">
        <v>0</v>
      </c>
      <c r="BQ181">
        <v>1</v>
      </c>
      <c r="BR181">
        <v>1</v>
      </c>
    </row>
    <row r="182" spans="49:70">
      <c r="AW182">
        <v>4</v>
      </c>
      <c r="AX182">
        <v>48.239882000000001</v>
      </c>
      <c r="AY182">
        <v>16.375771</v>
      </c>
      <c r="AZ182">
        <v>1</v>
      </c>
      <c r="BA182">
        <v>1530</v>
      </c>
      <c r="BB182">
        <v>1530</v>
      </c>
      <c r="BC182">
        <v>1</v>
      </c>
      <c r="BD182" t="s">
        <v>1334</v>
      </c>
      <c r="BE182">
        <v>1772099492</v>
      </c>
      <c r="BF182">
        <v>1772135664</v>
      </c>
      <c r="BG182">
        <v>0.97154300000000005</v>
      </c>
      <c r="BH182" t="s">
        <v>21</v>
      </c>
      <c r="BI182">
        <v>2</v>
      </c>
      <c r="BJ182">
        <v>1772099492</v>
      </c>
      <c r="BK182">
        <v>200</v>
      </c>
      <c r="BL182">
        <v>5</v>
      </c>
      <c r="BM182">
        <v>2</v>
      </c>
      <c r="BN182">
        <v>1</v>
      </c>
      <c r="BO182">
        <v>0</v>
      </c>
      <c r="BP182">
        <v>0</v>
      </c>
      <c r="BQ182">
        <v>1</v>
      </c>
      <c r="BR182">
        <v>1</v>
      </c>
    </row>
    <row r="183" spans="49:70">
      <c r="AW183">
        <v>4</v>
      </c>
      <c r="AX183">
        <v>48.240110000000001</v>
      </c>
      <c r="AY183">
        <v>16.376815000000001</v>
      </c>
      <c r="AZ183">
        <v>1</v>
      </c>
      <c r="BA183">
        <v>1272</v>
      </c>
      <c r="BB183">
        <v>1272</v>
      </c>
      <c r="BC183">
        <v>1</v>
      </c>
      <c r="BD183" t="s">
        <v>1334</v>
      </c>
      <c r="BE183">
        <v>1772099513</v>
      </c>
      <c r="BF183">
        <v>1772135664</v>
      </c>
      <c r="BG183">
        <v>0.97154300000000005</v>
      </c>
      <c r="BH183" t="s">
        <v>21</v>
      </c>
      <c r="BI183">
        <v>2</v>
      </c>
      <c r="BJ183">
        <v>1772099513</v>
      </c>
      <c r="BK183">
        <v>200</v>
      </c>
      <c r="BL183">
        <v>5</v>
      </c>
      <c r="BM183">
        <v>2</v>
      </c>
      <c r="BN183">
        <v>1</v>
      </c>
      <c r="BO183">
        <v>0</v>
      </c>
      <c r="BP183">
        <v>0</v>
      </c>
      <c r="BQ183">
        <v>0.83140000000000003</v>
      </c>
      <c r="BR183">
        <v>0.83140000000000003</v>
      </c>
    </row>
    <row r="184" spans="49:70">
      <c r="AW184">
        <v>4</v>
      </c>
      <c r="AX184">
        <v>48.240377000000002</v>
      </c>
      <c r="AY184">
        <v>16.376867000000001</v>
      </c>
      <c r="AZ184">
        <v>1</v>
      </c>
      <c r="BA184">
        <v>1308</v>
      </c>
      <c r="BB184">
        <v>1308</v>
      </c>
      <c r="BC184">
        <v>1</v>
      </c>
      <c r="BD184" t="s">
        <v>1334</v>
      </c>
      <c r="BE184">
        <v>1772099532</v>
      </c>
      <c r="BF184">
        <v>1772135664</v>
      </c>
      <c r="BG184">
        <v>0.97154300000000005</v>
      </c>
      <c r="BH184" t="s">
        <v>21</v>
      </c>
      <c r="BI184">
        <v>2</v>
      </c>
      <c r="BJ184">
        <v>1772099532</v>
      </c>
      <c r="BK184">
        <v>200</v>
      </c>
      <c r="BL184">
        <v>5</v>
      </c>
      <c r="BM184">
        <v>2</v>
      </c>
      <c r="BN184">
        <v>1</v>
      </c>
      <c r="BO184">
        <v>0</v>
      </c>
      <c r="BP184">
        <v>0</v>
      </c>
      <c r="BQ184">
        <v>0.85489999999999999</v>
      </c>
      <c r="BR184">
        <v>0.85489999999999999</v>
      </c>
    </row>
    <row r="185" spans="49:70">
      <c r="AW185">
        <v>4</v>
      </c>
      <c r="AX185">
        <v>48.240695000000002</v>
      </c>
      <c r="AY185">
        <v>16.376570999999998</v>
      </c>
      <c r="AZ185">
        <v>1</v>
      </c>
      <c r="BA185">
        <v>1308</v>
      </c>
      <c r="BB185">
        <v>1308</v>
      </c>
      <c r="BC185">
        <v>1</v>
      </c>
      <c r="BD185" t="s">
        <v>1334</v>
      </c>
      <c r="BE185">
        <v>1772099681</v>
      </c>
      <c r="BF185">
        <v>1772135664</v>
      </c>
      <c r="BG185">
        <v>0.97154300000000005</v>
      </c>
      <c r="BH185" t="s">
        <v>21</v>
      </c>
      <c r="BI185">
        <v>2</v>
      </c>
      <c r="BJ185">
        <v>1772099681</v>
      </c>
      <c r="BK185">
        <v>200</v>
      </c>
      <c r="BL185">
        <v>5</v>
      </c>
      <c r="BM185">
        <v>2</v>
      </c>
      <c r="BN185">
        <v>1</v>
      </c>
      <c r="BO185">
        <v>0</v>
      </c>
      <c r="BP185">
        <v>0</v>
      </c>
      <c r="BQ185">
        <v>0.85489999999999999</v>
      </c>
      <c r="BR185">
        <v>0.85489999999999999</v>
      </c>
    </row>
    <row r="186" spans="49:70">
      <c r="AW186">
        <v>4</v>
      </c>
      <c r="AX186">
        <v>48.240642999999999</v>
      </c>
      <c r="AY186">
        <v>16.376967</v>
      </c>
      <c r="AZ186">
        <v>1</v>
      </c>
      <c r="BA186">
        <v>1206</v>
      </c>
      <c r="BB186">
        <v>1206</v>
      </c>
      <c r="BC186">
        <v>1</v>
      </c>
      <c r="BD186" t="s">
        <v>1334</v>
      </c>
      <c r="BE186">
        <v>1772099689</v>
      </c>
      <c r="BF186">
        <v>1772135664</v>
      </c>
      <c r="BG186">
        <v>0.97154300000000005</v>
      </c>
      <c r="BH186" t="s">
        <v>21</v>
      </c>
      <c r="BI186">
        <v>2</v>
      </c>
      <c r="BJ186">
        <v>1772099689</v>
      </c>
      <c r="BK186">
        <v>200</v>
      </c>
      <c r="BL186">
        <v>5</v>
      </c>
      <c r="BM186">
        <v>2</v>
      </c>
      <c r="BN186">
        <v>1</v>
      </c>
      <c r="BO186">
        <v>0</v>
      </c>
      <c r="BP186">
        <v>0</v>
      </c>
      <c r="BQ186">
        <v>0.78820000000000001</v>
      </c>
      <c r="BR186">
        <v>0.78820000000000001</v>
      </c>
    </row>
    <row r="187" spans="49:70">
      <c r="AW187">
        <v>4</v>
      </c>
      <c r="AX187">
        <v>48.240214000000002</v>
      </c>
      <c r="AY187">
        <v>16.377189999999999</v>
      </c>
      <c r="AZ187">
        <v>1</v>
      </c>
      <c r="BA187">
        <v>1164</v>
      </c>
      <c r="BB187">
        <v>1164</v>
      </c>
      <c r="BC187">
        <v>1</v>
      </c>
      <c r="BD187" t="s">
        <v>1334</v>
      </c>
      <c r="BE187">
        <v>1772099701</v>
      </c>
      <c r="BF187">
        <v>1772135664</v>
      </c>
      <c r="BG187">
        <v>0.97154300000000005</v>
      </c>
      <c r="BH187" t="s">
        <v>21</v>
      </c>
      <c r="BI187">
        <v>2</v>
      </c>
      <c r="BJ187">
        <v>1772099701</v>
      </c>
      <c r="BK187">
        <v>200</v>
      </c>
      <c r="BL187">
        <v>5</v>
      </c>
      <c r="BM187">
        <v>2</v>
      </c>
      <c r="BN187">
        <v>1</v>
      </c>
      <c r="BO187">
        <v>0</v>
      </c>
      <c r="BP187">
        <v>0</v>
      </c>
      <c r="BQ187">
        <v>0.76080000000000003</v>
      </c>
      <c r="BR187">
        <v>0.76080000000000003</v>
      </c>
    </row>
    <row r="188" spans="49:70">
      <c r="AW188">
        <v>4</v>
      </c>
      <c r="AX188">
        <v>48.23959</v>
      </c>
      <c r="AY188">
        <v>16.376145000000001</v>
      </c>
      <c r="AZ188">
        <v>1</v>
      </c>
      <c r="BA188">
        <v>1320</v>
      </c>
      <c r="BB188">
        <v>1320</v>
      </c>
      <c r="BC188">
        <v>1</v>
      </c>
      <c r="BD188" t="s">
        <v>1334</v>
      </c>
      <c r="BE188">
        <v>1772099935</v>
      </c>
      <c r="BF188">
        <v>1772135664</v>
      </c>
      <c r="BG188">
        <v>0.97154300000000005</v>
      </c>
      <c r="BH188" t="s">
        <v>21</v>
      </c>
      <c r="BI188">
        <v>2</v>
      </c>
      <c r="BJ188">
        <v>1772099935</v>
      </c>
      <c r="BK188">
        <v>200</v>
      </c>
      <c r="BL188">
        <v>5</v>
      </c>
      <c r="BM188">
        <v>2</v>
      </c>
      <c r="BN188">
        <v>1</v>
      </c>
      <c r="BO188">
        <v>0</v>
      </c>
      <c r="BP188">
        <v>0</v>
      </c>
      <c r="BQ188">
        <v>0.86270000000000002</v>
      </c>
      <c r="BR188">
        <v>0.86270000000000002</v>
      </c>
    </row>
    <row r="189" spans="49:70">
      <c r="AW189">
        <v>4</v>
      </c>
      <c r="AX189">
        <v>48.239358000000003</v>
      </c>
      <c r="AY189">
        <v>16.376359999999998</v>
      </c>
      <c r="AZ189">
        <v>1</v>
      </c>
      <c r="BA189">
        <v>1320</v>
      </c>
      <c r="BB189">
        <v>1320</v>
      </c>
      <c r="BC189">
        <v>1</v>
      </c>
      <c r="BD189" t="s">
        <v>1334</v>
      </c>
      <c r="BE189">
        <v>1772099950</v>
      </c>
      <c r="BF189">
        <v>1772135664</v>
      </c>
      <c r="BG189">
        <v>0.97154300000000005</v>
      </c>
      <c r="BH189" t="s">
        <v>21</v>
      </c>
      <c r="BI189">
        <v>2</v>
      </c>
      <c r="BJ189">
        <v>1772099950</v>
      </c>
      <c r="BK189">
        <v>200</v>
      </c>
      <c r="BL189">
        <v>5</v>
      </c>
      <c r="BM189">
        <v>2</v>
      </c>
      <c r="BN189">
        <v>1</v>
      </c>
      <c r="BO189">
        <v>0</v>
      </c>
      <c r="BP189">
        <v>0</v>
      </c>
      <c r="BQ189">
        <v>0.86270000000000002</v>
      </c>
      <c r="BR189">
        <v>0.86270000000000002</v>
      </c>
    </row>
    <row r="190" spans="49:70">
      <c r="AW190">
        <v>4</v>
      </c>
      <c r="AX190">
        <v>48.239119000000002</v>
      </c>
      <c r="AY190">
        <v>16.376550999999999</v>
      </c>
      <c r="AZ190">
        <v>1</v>
      </c>
      <c r="BA190">
        <v>1428</v>
      </c>
      <c r="BB190">
        <v>1428</v>
      </c>
      <c r="BC190">
        <v>1</v>
      </c>
      <c r="BD190" t="s">
        <v>1334</v>
      </c>
      <c r="BE190">
        <v>1772099992</v>
      </c>
      <c r="BF190">
        <v>1772135664</v>
      </c>
      <c r="BG190">
        <v>0.97154300000000005</v>
      </c>
      <c r="BH190" t="s">
        <v>21</v>
      </c>
      <c r="BI190">
        <v>2</v>
      </c>
      <c r="BJ190">
        <v>1772099992</v>
      </c>
      <c r="BK190">
        <v>200</v>
      </c>
      <c r="BL190">
        <v>5</v>
      </c>
      <c r="BM190">
        <v>2</v>
      </c>
      <c r="BN190">
        <v>1</v>
      </c>
      <c r="BO190">
        <v>0</v>
      </c>
      <c r="BP190">
        <v>0</v>
      </c>
      <c r="BQ190">
        <v>0.93330000000000002</v>
      </c>
      <c r="BR190">
        <v>0.93330000000000002</v>
      </c>
    </row>
    <row r="191" spans="49:70">
      <c r="AW191">
        <v>4</v>
      </c>
      <c r="AX191">
        <v>48.239198000000002</v>
      </c>
      <c r="AY191">
        <v>16.377614000000001</v>
      </c>
      <c r="AZ191">
        <v>1</v>
      </c>
      <c r="BA191">
        <v>1272</v>
      </c>
      <c r="BB191">
        <v>1272</v>
      </c>
      <c r="BC191">
        <v>1</v>
      </c>
      <c r="BD191" t="s">
        <v>1334</v>
      </c>
      <c r="BE191">
        <v>1772100005</v>
      </c>
      <c r="BF191">
        <v>1772135664</v>
      </c>
      <c r="BG191">
        <v>0.97154300000000005</v>
      </c>
      <c r="BH191" t="s">
        <v>21</v>
      </c>
      <c r="BI191">
        <v>2</v>
      </c>
      <c r="BJ191">
        <v>1772100005</v>
      </c>
      <c r="BK191">
        <v>200</v>
      </c>
      <c r="BL191">
        <v>5</v>
      </c>
      <c r="BM191">
        <v>2</v>
      </c>
      <c r="BN191">
        <v>1</v>
      </c>
      <c r="BO191">
        <v>0</v>
      </c>
      <c r="BP191">
        <v>0</v>
      </c>
      <c r="BQ191">
        <v>0.83140000000000003</v>
      </c>
      <c r="BR191">
        <v>0.83140000000000003</v>
      </c>
    </row>
    <row r="192" spans="49:70">
      <c r="AW192">
        <v>4</v>
      </c>
      <c r="AX192">
        <v>48.239632</v>
      </c>
      <c r="AY192">
        <v>16.377728000000001</v>
      </c>
      <c r="AZ192">
        <v>1</v>
      </c>
      <c r="BA192">
        <v>1464</v>
      </c>
      <c r="BB192">
        <v>1464</v>
      </c>
      <c r="BC192">
        <v>1</v>
      </c>
      <c r="BD192" t="s">
        <v>1334</v>
      </c>
      <c r="BE192">
        <v>1772100021</v>
      </c>
      <c r="BF192">
        <v>1772135664</v>
      </c>
      <c r="BG192">
        <v>0.97154300000000005</v>
      </c>
      <c r="BH192" t="s">
        <v>21</v>
      </c>
      <c r="BI192">
        <v>2</v>
      </c>
      <c r="BJ192">
        <v>1772100021</v>
      </c>
      <c r="BK192">
        <v>200</v>
      </c>
      <c r="BL192">
        <v>5</v>
      </c>
      <c r="BM192">
        <v>2</v>
      </c>
      <c r="BN192">
        <v>1</v>
      </c>
      <c r="BO192">
        <v>0</v>
      </c>
      <c r="BP192">
        <v>0</v>
      </c>
      <c r="BQ192">
        <v>0.95689999999999997</v>
      </c>
      <c r="BR192">
        <v>0.95689999999999997</v>
      </c>
    </row>
    <row r="193" spans="49:70">
      <c r="AW193">
        <v>4</v>
      </c>
      <c r="AX193">
        <v>48.239390999999998</v>
      </c>
      <c r="AY193">
        <v>16.377921000000001</v>
      </c>
      <c r="AZ193">
        <v>1</v>
      </c>
      <c r="BA193">
        <v>1308</v>
      </c>
      <c r="BB193">
        <v>1308</v>
      </c>
      <c r="BC193">
        <v>1</v>
      </c>
      <c r="BD193" t="s">
        <v>1334</v>
      </c>
      <c r="BE193">
        <v>1772100034</v>
      </c>
      <c r="BF193">
        <v>1772135664</v>
      </c>
      <c r="BG193">
        <v>0.97154300000000005</v>
      </c>
      <c r="BH193" t="s">
        <v>21</v>
      </c>
      <c r="BI193">
        <v>2</v>
      </c>
      <c r="BJ193">
        <v>1772100034</v>
      </c>
      <c r="BK193">
        <v>200</v>
      </c>
      <c r="BL193">
        <v>5</v>
      </c>
      <c r="BM193">
        <v>2</v>
      </c>
      <c r="BN193">
        <v>1</v>
      </c>
      <c r="BO193">
        <v>0</v>
      </c>
      <c r="BP193">
        <v>0</v>
      </c>
      <c r="BQ193">
        <v>0.85489999999999999</v>
      </c>
      <c r="BR193">
        <v>0.85489999999999999</v>
      </c>
    </row>
    <row r="194" spans="49:70">
      <c r="AW194">
        <v>4</v>
      </c>
      <c r="AX194">
        <v>48.238697999999999</v>
      </c>
      <c r="AY194">
        <v>16.377278</v>
      </c>
      <c r="AZ194">
        <v>1</v>
      </c>
      <c r="BA194">
        <v>1230</v>
      </c>
      <c r="BB194">
        <v>1230</v>
      </c>
      <c r="BC194">
        <v>1</v>
      </c>
      <c r="BD194" t="s">
        <v>1334</v>
      </c>
      <c r="BE194">
        <v>1772103656</v>
      </c>
      <c r="BF194">
        <v>1772135664</v>
      </c>
      <c r="BG194">
        <v>0.97154300000000005</v>
      </c>
      <c r="BH194" t="s">
        <v>21</v>
      </c>
      <c r="BI194">
        <v>2</v>
      </c>
      <c r="BJ194">
        <v>1772103656</v>
      </c>
      <c r="BK194">
        <v>200</v>
      </c>
      <c r="BL194">
        <v>5</v>
      </c>
      <c r="BM194">
        <v>2</v>
      </c>
      <c r="BN194">
        <v>1</v>
      </c>
      <c r="BO194">
        <v>0</v>
      </c>
      <c r="BP194">
        <v>0</v>
      </c>
      <c r="BQ194">
        <v>0.80389999999999995</v>
      </c>
      <c r="BR194">
        <v>0.80389999999999995</v>
      </c>
    </row>
    <row r="195" spans="49:70">
      <c r="AW195">
        <v>4</v>
      </c>
      <c r="AX195">
        <v>48.238985999999997</v>
      </c>
      <c r="AY195">
        <v>16.377855</v>
      </c>
      <c r="AZ195">
        <v>1</v>
      </c>
      <c r="BA195">
        <v>1140</v>
      </c>
      <c r="BB195">
        <v>1140</v>
      </c>
      <c r="BC195">
        <v>1</v>
      </c>
      <c r="BD195" t="s">
        <v>1334</v>
      </c>
      <c r="BE195">
        <v>1772108662</v>
      </c>
      <c r="BF195">
        <v>1772135664</v>
      </c>
      <c r="BG195">
        <v>0.97154300000000005</v>
      </c>
      <c r="BH195" t="s">
        <v>21</v>
      </c>
      <c r="BI195">
        <v>2</v>
      </c>
      <c r="BJ195">
        <v>1772108662</v>
      </c>
      <c r="BK195">
        <v>200</v>
      </c>
      <c r="BL195">
        <v>5</v>
      </c>
      <c r="BM195">
        <v>2</v>
      </c>
      <c r="BN195">
        <v>1</v>
      </c>
      <c r="BO195">
        <v>0</v>
      </c>
      <c r="BP195">
        <v>0</v>
      </c>
      <c r="BQ195">
        <v>0.74509999999999998</v>
      </c>
      <c r="BR195">
        <v>0.74509999999999998</v>
      </c>
    </row>
    <row r="196" spans="49:70">
      <c r="AW196">
        <v>4</v>
      </c>
      <c r="AX196">
        <v>48.235781000000003</v>
      </c>
      <c r="AY196">
        <v>16.377077</v>
      </c>
      <c r="AZ196">
        <v>1</v>
      </c>
      <c r="BA196">
        <v>1110</v>
      </c>
      <c r="BB196">
        <v>1110</v>
      </c>
      <c r="BC196">
        <v>1</v>
      </c>
      <c r="BD196" t="s">
        <v>1334</v>
      </c>
      <c r="BE196">
        <v>1772115096</v>
      </c>
      <c r="BF196">
        <v>1772135664</v>
      </c>
      <c r="BG196">
        <v>0.97154300000000005</v>
      </c>
      <c r="BH196" t="s">
        <v>21</v>
      </c>
      <c r="BI196">
        <v>2</v>
      </c>
      <c r="BJ196">
        <v>1772115096</v>
      </c>
      <c r="BK196">
        <v>200</v>
      </c>
      <c r="BL196">
        <v>5</v>
      </c>
      <c r="BM196">
        <v>2</v>
      </c>
      <c r="BN196">
        <v>1</v>
      </c>
      <c r="BO196">
        <v>0</v>
      </c>
      <c r="BP196">
        <v>0</v>
      </c>
      <c r="BQ196">
        <v>0.72550000000000003</v>
      </c>
      <c r="BR196">
        <v>0.72550000000000003</v>
      </c>
    </row>
    <row r="197" spans="49:70">
      <c r="AW197">
        <v>4</v>
      </c>
      <c r="AX197">
        <v>48.235526</v>
      </c>
      <c r="AY197">
        <v>16.376975000000002</v>
      </c>
      <c r="AZ197">
        <v>1</v>
      </c>
      <c r="BA197">
        <v>1122</v>
      </c>
      <c r="BB197">
        <v>1122</v>
      </c>
      <c r="BC197">
        <v>1</v>
      </c>
      <c r="BD197" t="s">
        <v>1334</v>
      </c>
      <c r="BE197">
        <v>1772115102</v>
      </c>
      <c r="BF197">
        <v>1772135664</v>
      </c>
      <c r="BG197">
        <v>0.97154300000000005</v>
      </c>
      <c r="BH197" t="s">
        <v>21</v>
      </c>
      <c r="BI197">
        <v>2</v>
      </c>
      <c r="BJ197">
        <v>1772115102</v>
      </c>
      <c r="BK197">
        <v>200</v>
      </c>
      <c r="BL197">
        <v>5</v>
      </c>
      <c r="BM197">
        <v>2</v>
      </c>
      <c r="BN197">
        <v>1</v>
      </c>
      <c r="BO197">
        <v>0</v>
      </c>
      <c r="BP197">
        <v>0</v>
      </c>
      <c r="BQ197">
        <v>0.73329999999999995</v>
      </c>
      <c r="BR197">
        <v>0.73329999999999995</v>
      </c>
    </row>
    <row r="198" spans="49:70">
      <c r="AW198">
        <v>4</v>
      </c>
      <c r="AX198">
        <v>48.235726999999997</v>
      </c>
      <c r="AY198">
        <v>16.376671999999999</v>
      </c>
      <c r="AZ198">
        <v>1</v>
      </c>
      <c r="BA198">
        <v>1152</v>
      </c>
      <c r="BB198">
        <v>1152</v>
      </c>
      <c r="BC198">
        <v>1</v>
      </c>
      <c r="BD198" t="s">
        <v>1334</v>
      </c>
      <c r="BE198">
        <v>1772115107</v>
      </c>
      <c r="BF198">
        <v>1772135664</v>
      </c>
      <c r="BG198">
        <v>0.97154300000000005</v>
      </c>
      <c r="BH198" t="s">
        <v>21</v>
      </c>
      <c r="BI198">
        <v>2</v>
      </c>
      <c r="BJ198">
        <v>1772115107</v>
      </c>
      <c r="BK198">
        <v>200</v>
      </c>
      <c r="BL198">
        <v>5</v>
      </c>
      <c r="BM198">
        <v>2</v>
      </c>
      <c r="BN198">
        <v>1</v>
      </c>
      <c r="BO198">
        <v>0</v>
      </c>
      <c r="BP198">
        <v>0</v>
      </c>
      <c r="BQ198">
        <v>0.75290000000000001</v>
      </c>
      <c r="BR198">
        <v>0.75290000000000001</v>
      </c>
    </row>
    <row r="199" spans="49:70">
      <c r="AW199">
        <v>4</v>
      </c>
      <c r="AX199">
        <v>48.234600999999998</v>
      </c>
      <c r="AY199">
        <v>16.375363</v>
      </c>
      <c r="AZ199">
        <v>1</v>
      </c>
      <c r="BA199">
        <v>1254</v>
      </c>
      <c r="BB199">
        <v>1254</v>
      </c>
      <c r="BC199">
        <v>1</v>
      </c>
      <c r="BD199" t="s">
        <v>1334</v>
      </c>
      <c r="BE199">
        <v>1772115129</v>
      </c>
      <c r="BF199">
        <v>1772135664</v>
      </c>
      <c r="BG199">
        <v>0.97154300000000005</v>
      </c>
      <c r="BH199" t="s">
        <v>21</v>
      </c>
      <c r="BI199">
        <v>2</v>
      </c>
      <c r="BJ199">
        <v>1772115129</v>
      </c>
      <c r="BK199">
        <v>200</v>
      </c>
      <c r="BL199">
        <v>5</v>
      </c>
      <c r="BM199">
        <v>2</v>
      </c>
      <c r="BN199">
        <v>1</v>
      </c>
      <c r="BO199">
        <v>0</v>
      </c>
      <c r="BP199">
        <v>0</v>
      </c>
      <c r="BQ199">
        <v>0.8196</v>
      </c>
      <c r="BR199">
        <v>0.8196</v>
      </c>
    </row>
    <row r="200" spans="49:70">
      <c r="AW200">
        <v>4</v>
      </c>
      <c r="AX200">
        <v>48.234569</v>
      </c>
      <c r="AY200">
        <v>16.374960999999999</v>
      </c>
      <c r="AZ200">
        <v>1</v>
      </c>
      <c r="BA200">
        <v>1230</v>
      </c>
      <c r="BB200">
        <v>1230</v>
      </c>
      <c r="BC200">
        <v>1</v>
      </c>
      <c r="BD200" t="s">
        <v>1334</v>
      </c>
      <c r="BE200">
        <v>1772115140</v>
      </c>
      <c r="BF200">
        <v>1772135664</v>
      </c>
      <c r="BG200">
        <v>0.97154300000000005</v>
      </c>
      <c r="BH200" t="s">
        <v>21</v>
      </c>
      <c r="BI200">
        <v>2</v>
      </c>
      <c r="BJ200">
        <v>1772115140</v>
      </c>
      <c r="BK200">
        <v>200</v>
      </c>
      <c r="BL200">
        <v>5</v>
      </c>
      <c r="BM200">
        <v>2</v>
      </c>
      <c r="BN200">
        <v>1</v>
      </c>
      <c r="BO200">
        <v>0</v>
      </c>
      <c r="BP200">
        <v>0</v>
      </c>
      <c r="BQ200">
        <v>0.80389999999999995</v>
      </c>
      <c r="BR200">
        <v>0.80389999999999995</v>
      </c>
    </row>
    <row r="201" spans="49:70">
      <c r="AW201">
        <v>4</v>
      </c>
      <c r="AX201">
        <v>48.228126000000003</v>
      </c>
      <c r="AY201">
        <v>16.373944000000002</v>
      </c>
      <c r="AZ201">
        <v>1</v>
      </c>
      <c r="BA201">
        <v>1296</v>
      </c>
      <c r="BB201">
        <v>1296</v>
      </c>
      <c r="BC201">
        <v>1</v>
      </c>
      <c r="BD201" t="s">
        <v>1334</v>
      </c>
      <c r="BE201">
        <v>1772115374</v>
      </c>
      <c r="BF201">
        <v>1772135664</v>
      </c>
      <c r="BG201">
        <v>0.97154300000000005</v>
      </c>
      <c r="BH201" t="s">
        <v>21</v>
      </c>
      <c r="BI201">
        <v>2</v>
      </c>
      <c r="BJ201">
        <v>1772115374</v>
      </c>
      <c r="BK201">
        <v>200</v>
      </c>
      <c r="BL201">
        <v>5</v>
      </c>
      <c r="BM201">
        <v>2</v>
      </c>
      <c r="BN201">
        <v>1</v>
      </c>
      <c r="BO201">
        <v>0</v>
      </c>
      <c r="BP201">
        <v>0</v>
      </c>
      <c r="BQ201">
        <v>0.84709999999999996</v>
      </c>
      <c r="BR201">
        <v>0.84709999999999996</v>
      </c>
    </row>
    <row r="202" spans="49:70">
      <c r="AW202">
        <v>4</v>
      </c>
      <c r="AX202">
        <v>48.228090999999999</v>
      </c>
      <c r="AY202">
        <v>16.373161</v>
      </c>
      <c r="AZ202">
        <v>1</v>
      </c>
      <c r="BA202">
        <v>1428</v>
      </c>
      <c r="BB202">
        <v>1428</v>
      </c>
      <c r="BC202">
        <v>1</v>
      </c>
      <c r="BD202" t="s">
        <v>1334</v>
      </c>
      <c r="BE202">
        <v>1772115396</v>
      </c>
      <c r="BF202">
        <v>1772135664</v>
      </c>
      <c r="BG202">
        <v>0.97154300000000005</v>
      </c>
      <c r="BH202" t="s">
        <v>21</v>
      </c>
      <c r="BI202">
        <v>2</v>
      </c>
      <c r="BJ202">
        <v>1772115396</v>
      </c>
      <c r="BK202">
        <v>200</v>
      </c>
      <c r="BL202">
        <v>5</v>
      </c>
      <c r="BM202">
        <v>2</v>
      </c>
      <c r="BN202">
        <v>1</v>
      </c>
      <c r="BO202">
        <v>0</v>
      </c>
      <c r="BP202">
        <v>0</v>
      </c>
      <c r="BQ202">
        <v>0.93330000000000002</v>
      </c>
      <c r="BR202">
        <v>0.93330000000000002</v>
      </c>
    </row>
    <row r="203" spans="49:70">
      <c r="AW203">
        <v>4</v>
      </c>
      <c r="AX203">
        <v>48.218153999999998</v>
      </c>
      <c r="AY203">
        <v>16.377638000000001</v>
      </c>
      <c r="AZ203">
        <v>1</v>
      </c>
      <c r="BA203">
        <v>1332</v>
      </c>
      <c r="BB203">
        <v>1332</v>
      </c>
      <c r="BC203">
        <v>1</v>
      </c>
      <c r="BD203" t="s">
        <v>1334</v>
      </c>
      <c r="BE203">
        <v>1772115805</v>
      </c>
      <c r="BF203">
        <v>1772135664</v>
      </c>
      <c r="BG203">
        <v>0.97154300000000005</v>
      </c>
      <c r="BH203" t="s">
        <v>21</v>
      </c>
      <c r="BI203">
        <v>2</v>
      </c>
      <c r="BJ203">
        <v>1772115805</v>
      </c>
      <c r="BK203">
        <v>200</v>
      </c>
      <c r="BL203">
        <v>5</v>
      </c>
      <c r="BM203">
        <v>2</v>
      </c>
      <c r="BN203">
        <v>1</v>
      </c>
      <c r="BO203">
        <v>0</v>
      </c>
      <c r="BP203">
        <v>0</v>
      </c>
      <c r="BQ203">
        <v>0.87060000000000004</v>
      </c>
      <c r="BR203">
        <v>0.87060000000000004</v>
      </c>
    </row>
    <row r="204" spans="49:70">
      <c r="AW204">
        <v>4</v>
      </c>
      <c r="AX204">
        <v>48.217776999999998</v>
      </c>
      <c r="AY204">
        <v>16.377576999999999</v>
      </c>
      <c r="AZ204">
        <v>1</v>
      </c>
      <c r="BA204">
        <v>1386</v>
      </c>
      <c r="BB204">
        <v>1386</v>
      </c>
      <c r="BC204">
        <v>1</v>
      </c>
      <c r="BD204" t="s">
        <v>1334</v>
      </c>
      <c r="BE204">
        <v>1772115810</v>
      </c>
      <c r="BF204">
        <v>1772135664</v>
      </c>
      <c r="BG204">
        <v>0.97154300000000005</v>
      </c>
      <c r="BH204" t="s">
        <v>21</v>
      </c>
      <c r="BI204">
        <v>2</v>
      </c>
      <c r="BJ204">
        <v>1772115810</v>
      </c>
      <c r="BK204">
        <v>200</v>
      </c>
      <c r="BL204">
        <v>5</v>
      </c>
      <c r="BM204">
        <v>2</v>
      </c>
      <c r="BN204">
        <v>1</v>
      </c>
      <c r="BO204">
        <v>0</v>
      </c>
      <c r="BP204">
        <v>0</v>
      </c>
      <c r="BQ204">
        <v>0.90590000000000004</v>
      </c>
      <c r="BR204">
        <v>0.90590000000000004</v>
      </c>
    </row>
    <row r="205" spans="49:70">
      <c r="AW205">
        <v>4</v>
      </c>
      <c r="AX205">
        <v>48.231636000000002</v>
      </c>
      <c r="AY205">
        <v>16.370736999999998</v>
      </c>
      <c r="AZ205">
        <v>1</v>
      </c>
      <c r="BA205">
        <v>1386</v>
      </c>
      <c r="BB205">
        <v>1386</v>
      </c>
      <c r="BC205">
        <v>1</v>
      </c>
      <c r="BD205" t="s">
        <v>1334</v>
      </c>
      <c r="BE205">
        <v>1772124885</v>
      </c>
      <c r="BF205">
        <v>1772135664</v>
      </c>
      <c r="BG205">
        <v>0.97154300000000005</v>
      </c>
      <c r="BH205" t="s">
        <v>21</v>
      </c>
      <c r="BI205">
        <v>2</v>
      </c>
      <c r="BJ205">
        <v>1772124885</v>
      </c>
      <c r="BK205">
        <v>200</v>
      </c>
      <c r="BL205">
        <v>5</v>
      </c>
      <c r="BM205">
        <v>2</v>
      </c>
      <c r="BN205">
        <v>1</v>
      </c>
      <c r="BO205">
        <v>0</v>
      </c>
      <c r="BP205">
        <v>0</v>
      </c>
      <c r="BQ205">
        <v>0.90590000000000004</v>
      </c>
      <c r="BR205">
        <v>0.90590000000000004</v>
      </c>
    </row>
    <row r="206" spans="49:70">
      <c r="AW206">
        <v>4</v>
      </c>
      <c r="AX206">
        <v>48.232126999999998</v>
      </c>
      <c r="AY206">
        <v>16.370842</v>
      </c>
      <c r="AZ206">
        <v>1</v>
      </c>
      <c r="BA206">
        <v>1530</v>
      </c>
      <c r="BB206">
        <v>1530</v>
      </c>
      <c r="BC206">
        <v>1</v>
      </c>
      <c r="BD206" t="s">
        <v>1334</v>
      </c>
      <c r="BE206">
        <v>1772124892</v>
      </c>
      <c r="BF206">
        <v>1772135664</v>
      </c>
      <c r="BG206">
        <v>0.97154300000000005</v>
      </c>
      <c r="BH206" t="s">
        <v>21</v>
      </c>
      <c r="BI206">
        <v>2</v>
      </c>
      <c r="BJ206">
        <v>1772124892</v>
      </c>
      <c r="BK206">
        <v>200</v>
      </c>
      <c r="BL206">
        <v>5</v>
      </c>
      <c r="BM206">
        <v>2</v>
      </c>
      <c r="BN206">
        <v>1</v>
      </c>
      <c r="BO206">
        <v>0</v>
      </c>
      <c r="BP206">
        <v>0</v>
      </c>
      <c r="BQ206">
        <v>1</v>
      </c>
      <c r="BR206">
        <v>1</v>
      </c>
    </row>
    <row r="207" spans="49:70">
      <c r="AW207">
        <v>4</v>
      </c>
      <c r="AX207">
        <v>48.232183999999997</v>
      </c>
      <c r="AY207">
        <v>16.370436000000002</v>
      </c>
      <c r="AZ207">
        <v>1</v>
      </c>
      <c r="BA207">
        <v>1518</v>
      </c>
      <c r="BB207">
        <v>1518</v>
      </c>
      <c r="BC207">
        <v>1</v>
      </c>
      <c r="BD207" t="s">
        <v>1334</v>
      </c>
      <c r="BE207">
        <v>1772124897</v>
      </c>
      <c r="BF207">
        <v>1772135664</v>
      </c>
      <c r="BG207">
        <v>0.97154300000000005</v>
      </c>
      <c r="BH207" t="s">
        <v>21</v>
      </c>
      <c r="BI207">
        <v>2</v>
      </c>
      <c r="BJ207">
        <v>1772124897</v>
      </c>
      <c r="BK207">
        <v>200</v>
      </c>
      <c r="BL207">
        <v>5</v>
      </c>
      <c r="BM207">
        <v>2</v>
      </c>
      <c r="BN207">
        <v>1</v>
      </c>
      <c r="BO207">
        <v>0</v>
      </c>
      <c r="BP207">
        <v>0</v>
      </c>
      <c r="BQ207">
        <v>0.99219999999999997</v>
      </c>
      <c r="BR207">
        <v>0.99219999999999997</v>
      </c>
    </row>
    <row r="208" spans="49:70">
      <c r="AW208">
        <v>4</v>
      </c>
      <c r="AX208">
        <v>48.232374999999998</v>
      </c>
      <c r="AY208">
        <v>16.370132999999999</v>
      </c>
      <c r="AZ208">
        <v>1</v>
      </c>
      <c r="BA208">
        <v>1332</v>
      </c>
      <c r="BB208">
        <v>1332</v>
      </c>
      <c r="BC208">
        <v>1</v>
      </c>
      <c r="BD208" t="s">
        <v>1334</v>
      </c>
      <c r="BE208">
        <v>1772124903</v>
      </c>
      <c r="BF208">
        <v>1772135664</v>
      </c>
      <c r="BG208">
        <v>0.97154300000000005</v>
      </c>
      <c r="BH208" t="s">
        <v>21</v>
      </c>
      <c r="BI208">
        <v>2</v>
      </c>
      <c r="BJ208">
        <v>1772124903</v>
      </c>
      <c r="BK208">
        <v>200</v>
      </c>
      <c r="BL208">
        <v>5</v>
      </c>
      <c r="BM208">
        <v>2</v>
      </c>
      <c r="BN208">
        <v>1</v>
      </c>
      <c r="BO208">
        <v>0</v>
      </c>
      <c r="BP208">
        <v>0</v>
      </c>
      <c r="BQ208">
        <v>0.87060000000000004</v>
      </c>
      <c r="BR208">
        <v>0.87060000000000004</v>
      </c>
    </row>
    <row r="209" spans="49:70">
      <c r="AW209">
        <v>4</v>
      </c>
      <c r="AX209">
        <v>48.232447000000001</v>
      </c>
      <c r="AY209">
        <v>16.370528</v>
      </c>
      <c r="AZ209">
        <v>1</v>
      </c>
      <c r="BA209">
        <v>1464</v>
      </c>
      <c r="BB209">
        <v>1464</v>
      </c>
      <c r="BC209">
        <v>1</v>
      </c>
      <c r="BD209" t="s">
        <v>1334</v>
      </c>
      <c r="BE209">
        <v>1772124910</v>
      </c>
      <c r="BF209">
        <v>1772135664</v>
      </c>
      <c r="BG209">
        <v>0.97154300000000005</v>
      </c>
      <c r="BH209" t="s">
        <v>21</v>
      </c>
      <c r="BI209">
        <v>2</v>
      </c>
      <c r="BJ209">
        <v>1772124910</v>
      </c>
      <c r="BK209">
        <v>200</v>
      </c>
      <c r="BL209">
        <v>5</v>
      </c>
      <c r="BM209">
        <v>2</v>
      </c>
      <c r="BN209">
        <v>1</v>
      </c>
      <c r="BO209">
        <v>0</v>
      </c>
      <c r="BP209">
        <v>0</v>
      </c>
      <c r="BQ209">
        <v>0.95689999999999997</v>
      </c>
      <c r="BR209">
        <v>0.95689999999999997</v>
      </c>
    </row>
    <row r="210" spans="49:70">
      <c r="AW210">
        <v>4</v>
      </c>
      <c r="AX210">
        <v>48.232390000000002</v>
      </c>
      <c r="AY210">
        <v>16.370923999999999</v>
      </c>
      <c r="AZ210">
        <v>1</v>
      </c>
      <c r="BA210">
        <v>1530</v>
      </c>
      <c r="BB210">
        <v>1530</v>
      </c>
      <c r="BC210">
        <v>1</v>
      </c>
      <c r="BD210" t="s">
        <v>1334</v>
      </c>
      <c r="BE210">
        <v>1772124914</v>
      </c>
      <c r="BF210">
        <v>1772135664</v>
      </c>
      <c r="BG210">
        <v>0.97154300000000005</v>
      </c>
      <c r="BH210" t="s">
        <v>21</v>
      </c>
      <c r="BI210">
        <v>2</v>
      </c>
      <c r="BJ210">
        <v>1772124914</v>
      </c>
      <c r="BK210">
        <v>200</v>
      </c>
      <c r="BL210">
        <v>5</v>
      </c>
      <c r="BM210">
        <v>2</v>
      </c>
      <c r="BN210">
        <v>1</v>
      </c>
      <c r="BO210">
        <v>0</v>
      </c>
      <c r="BP210">
        <v>0</v>
      </c>
      <c r="BQ210">
        <v>1</v>
      </c>
      <c r="BR210">
        <v>1</v>
      </c>
    </row>
    <row r="211" spans="49:70">
      <c r="AW211">
        <v>4</v>
      </c>
      <c r="AX211">
        <v>48.23265</v>
      </c>
      <c r="AY211">
        <v>16.370808</v>
      </c>
      <c r="AZ211">
        <v>1</v>
      </c>
      <c r="BA211">
        <v>1374</v>
      </c>
      <c r="BB211">
        <v>1374</v>
      </c>
      <c r="BC211">
        <v>1</v>
      </c>
      <c r="BD211" t="s">
        <v>1334</v>
      </c>
      <c r="BE211">
        <v>1772124919</v>
      </c>
      <c r="BF211">
        <v>1772135664</v>
      </c>
      <c r="BG211">
        <v>0.97154300000000005</v>
      </c>
      <c r="BH211" t="s">
        <v>21</v>
      </c>
      <c r="BI211">
        <v>2</v>
      </c>
      <c r="BJ211">
        <v>1772124919</v>
      </c>
      <c r="BK211">
        <v>200</v>
      </c>
      <c r="BL211">
        <v>5</v>
      </c>
      <c r="BM211">
        <v>2</v>
      </c>
      <c r="BN211">
        <v>1</v>
      </c>
      <c r="BO211">
        <v>0</v>
      </c>
      <c r="BP211">
        <v>0</v>
      </c>
      <c r="BQ211">
        <v>0.89800000000000002</v>
      </c>
      <c r="BR211">
        <v>0.89800000000000002</v>
      </c>
    </row>
    <row r="212" spans="49:70">
      <c r="AW212">
        <v>4</v>
      </c>
      <c r="AX212">
        <v>48.232644000000001</v>
      </c>
      <c r="AY212">
        <v>16.370241</v>
      </c>
      <c r="AZ212">
        <v>1</v>
      </c>
      <c r="BA212">
        <v>1362</v>
      </c>
      <c r="BB212">
        <v>1362</v>
      </c>
      <c r="BC212">
        <v>1</v>
      </c>
      <c r="BD212" t="s">
        <v>1334</v>
      </c>
      <c r="BE212">
        <v>1772124923</v>
      </c>
      <c r="BF212">
        <v>1772135664</v>
      </c>
      <c r="BG212">
        <v>0.97154300000000005</v>
      </c>
      <c r="BH212" t="s">
        <v>21</v>
      </c>
      <c r="BI212">
        <v>2</v>
      </c>
      <c r="BJ212">
        <v>1772124923</v>
      </c>
      <c r="BK212">
        <v>200</v>
      </c>
      <c r="BL212">
        <v>5</v>
      </c>
      <c r="BM212">
        <v>2</v>
      </c>
      <c r="BN212">
        <v>1</v>
      </c>
      <c r="BO212">
        <v>0</v>
      </c>
      <c r="BP212">
        <v>0</v>
      </c>
      <c r="BQ212">
        <v>0.89019999999999999</v>
      </c>
      <c r="BR212">
        <v>0.89019999999999999</v>
      </c>
    </row>
    <row r="213" spans="49:70">
      <c r="AW213">
        <v>4</v>
      </c>
      <c r="AX213">
        <v>48.232852999999999</v>
      </c>
      <c r="AY213">
        <v>16.370526999999999</v>
      </c>
      <c r="AZ213">
        <v>1</v>
      </c>
      <c r="BA213">
        <v>1296</v>
      </c>
      <c r="BB213">
        <v>1296</v>
      </c>
      <c r="BC213">
        <v>1</v>
      </c>
      <c r="BD213" t="s">
        <v>1334</v>
      </c>
      <c r="BE213">
        <v>1772124928</v>
      </c>
      <c r="BF213">
        <v>1772135664</v>
      </c>
      <c r="BG213">
        <v>0.97154300000000005</v>
      </c>
      <c r="BH213" t="s">
        <v>21</v>
      </c>
      <c r="BI213">
        <v>2</v>
      </c>
      <c r="BJ213">
        <v>1772124928</v>
      </c>
      <c r="BK213">
        <v>200</v>
      </c>
      <c r="BL213">
        <v>5</v>
      </c>
      <c r="BM213">
        <v>2</v>
      </c>
      <c r="BN213">
        <v>1</v>
      </c>
      <c r="BO213">
        <v>0</v>
      </c>
      <c r="BP213">
        <v>0</v>
      </c>
      <c r="BQ213">
        <v>0.84709999999999996</v>
      </c>
      <c r="BR213">
        <v>0.84709999999999996</v>
      </c>
    </row>
    <row r="214" spans="49:70">
      <c r="AW214">
        <v>4</v>
      </c>
      <c r="AX214">
        <v>48.233141000000003</v>
      </c>
      <c r="AY214">
        <v>16.370481000000002</v>
      </c>
      <c r="AZ214">
        <v>1</v>
      </c>
      <c r="BA214">
        <v>1386</v>
      </c>
      <c r="BB214">
        <v>1386</v>
      </c>
      <c r="BC214">
        <v>1</v>
      </c>
      <c r="BD214" t="s">
        <v>1334</v>
      </c>
      <c r="BE214">
        <v>1772124934</v>
      </c>
      <c r="BF214">
        <v>1772135664</v>
      </c>
      <c r="BG214">
        <v>0.97154300000000005</v>
      </c>
      <c r="BH214" t="s">
        <v>21</v>
      </c>
      <c r="BI214">
        <v>2</v>
      </c>
      <c r="BJ214">
        <v>1772124934</v>
      </c>
      <c r="BK214">
        <v>200</v>
      </c>
      <c r="BL214">
        <v>5</v>
      </c>
      <c r="BM214">
        <v>2</v>
      </c>
      <c r="BN214">
        <v>1</v>
      </c>
      <c r="BO214">
        <v>0</v>
      </c>
      <c r="BP214">
        <v>0</v>
      </c>
      <c r="BQ214">
        <v>0.90590000000000004</v>
      </c>
      <c r="BR214">
        <v>0.90590000000000004</v>
      </c>
    </row>
    <row r="215" spans="49:70">
      <c r="AW215">
        <v>4</v>
      </c>
      <c r="AX215">
        <v>48.233423000000002</v>
      </c>
      <c r="AY215">
        <v>16.370453999999999</v>
      </c>
      <c r="AZ215">
        <v>1</v>
      </c>
      <c r="BA215">
        <v>1242</v>
      </c>
      <c r="BB215">
        <v>1242</v>
      </c>
      <c r="BC215">
        <v>1</v>
      </c>
      <c r="BD215" t="s">
        <v>1334</v>
      </c>
      <c r="BE215">
        <v>1772124938</v>
      </c>
      <c r="BF215">
        <v>1772135664</v>
      </c>
      <c r="BG215">
        <v>0.97154300000000005</v>
      </c>
      <c r="BH215" t="s">
        <v>21</v>
      </c>
      <c r="BI215">
        <v>2</v>
      </c>
      <c r="BJ215">
        <v>1772124938</v>
      </c>
      <c r="BK215">
        <v>200</v>
      </c>
      <c r="BL215">
        <v>5</v>
      </c>
      <c r="BM215">
        <v>2</v>
      </c>
      <c r="BN215">
        <v>1</v>
      </c>
      <c r="BO215">
        <v>0</v>
      </c>
      <c r="BP215">
        <v>0</v>
      </c>
      <c r="BQ215">
        <v>0.81179999999999997</v>
      </c>
      <c r="BR215">
        <v>0.81179999999999997</v>
      </c>
    </row>
    <row r="216" spans="49:70">
      <c r="AW216">
        <v>4</v>
      </c>
      <c r="AX216">
        <v>50.022570999999999</v>
      </c>
      <c r="AY216">
        <v>14.455951000000001</v>
      </c>
      <c r="AZ216">
        <v>2.8</v>
      </c>
      <c r="BA216">
        <v>3662.4</v>
      </c>
      <c r="BB216">
        <v>1308</v>
      </c>
      <c r="BC216">
        <v>1</v>
      </c>
      <c r="BD216" t="s">
        <v>1334</v>
      </c>
      <c r="BE216">
        <v>1771894569</v>
      </c>
      <c r="BF216">
        <v>1772135664</v>
      </c>
      <c r="BG216">
        <v>0.97154300000000005</v>
      </c>
      <c r="BH216" t="s">
        <v>21</v>
      </c>
      <c r="BI216">
        <v>2</v>
      </c>
      <c r="BJ216">
        <v>1771894569</v>
      </c>
      <c r="BK216">
        <v>200</v>
      </c>
      <c r="BL216">
        <v>5</v>
      </c>
      <c r="BM216">
        <v>2</v>
      </c>
      <c r="BN216">
        <v>1</v>
      </c>
      <c r="BO216">
        <v>0</v>
      </c>
      <c r="BP216">
        <v>0</v>
      </c>
      <c r="BQ216">
        <v>0.85489999999999999</v>
      </c>
      <c r="BR216">
        <v>0.85489999999999999</v>
      </c>
    </row>
    <row r="217" spans="49:70">
      <c r="AW217">
        <v>4</v>
      </c>
      <c r="AX217">
        <v>50.022841999999997</v>
      </c>
      <c r="AY217">
        <v>14.455892</v>
      </c>
      <c r="AZ217">
        <v>2.8</v>
      </c>
      <c r="BA217">
        <v>3292.8</v>
      </c>
      <c r="BB217">
        <v>1176</v>
      </c>
      <c r="BC217">
        <v>1</v>
      </c>
      <c r="BD217" t="s">
        <v>1334</v>
      </c>
      <c r="BE217">
        <v>1771894577</v>
      </c>
      <c r="BF217">
        <v>1772135664</v>
      </c>
      <c r="BG217">
        <v>0.97154300000000005</v>
      </c>
      <c r="BH217" t="s">
        <v>21</v>
      </c>
      <c r="BI217">
        <v>2</v>
      </c>
      <c r="BJ217">
        <v>1771894577</v>
      </c>
      <c r="BK217">
        <v>200</v>
      </c>
      <c r="BL217">
        <v>5</v>
      </c>
      <c r="BM217">
        <v>2</v>
      </c>
      <c r="BN217">
        <v>1</v>
      </c>
      <c r="BO217">
        <v>0</v>
      </c>
      <c r="BP217">
        <v>0</v>
      </c>
      <c r="BQ217">
        <v>0.76859999999999995</v>
      </c>
      <c r="BR217">
        <v>0.76859999999999995</v>
      </c>
    </row>
    <row r="218" spans="49:70">
      <c r="AW218">
        <v>4</v>
      </c>
      <c r="AX218">
        <v>50.022295999999997</v>
      </c>
      <c r="AY218">
        <v>14.455864</v>
      </c>
      <c r="AZ218">
        <v>2.8</v>
      </c>
      <c r="BA218">
        <v>3192</v>
      </c>
      <c r="BB218">
        <v>1140</v>
      </c>
      <c r="BC218">
        <v>1</v>
      </c>
      <c r="BD218" t="s">
        <v>1334</v>
      </c>
      <c r="BE218">
        <v>1771894585</v>
      </c>
      <c r="BF218">
        <v>1772135664</v>
      </c>
      <c r="BG218">
        <v>0.97154300000000005</v>
      </c>
      <c r="BH218" t="s">
        <v>21</v>
      </c>
      <c r="BI218">
        <v>2</v>
      </c>
      <c r="BJ218">
        <v>1771894585</v>
      </c>
      <c r="BK218">
        <v>200</v>
      </c>
      <c r="BL218">
        <v>5</v>
      </c>
      <c r="BM218">
        <v>2</v>
      </c>
      <c r="BN218">
        <v>1</v>
      </c>
      <c r="BO218">
        <v>0</v>
      </c>
      <c r="BP218">
        <v>0</v>
      </c>
      <c r="BQ218">
        <v>0.74509999999999998</v>
      </c>
      <c r="BR218">
        <v>0.74509999999999998</v>
      </c>
    </row>
    <row r="219" spans="49:70">
      <c r="AW219">
        <v>4</v>
      </c>
      <c r="AX219">
        <v>50.022387999999999</v>
      </c>
      <c r="AY219">
        <v>14.45627</v>
      </c>
      <c r="AZ219">
        <v>2.8</v>
      </c>
      <c r="BA219">
        <v>3729.6</v>
      </c>
      <c r="BB219">
        <v>1332</v>
      </c>
      <c r="BC219">
        <v>1</v>
      </c>
      <c r="BD219" t="s">
        <v>1334</v>
      </c>
      <c r="BE219">
        <v>1771894607</v>
      </c>
      <c r="BF219">
        <v>1772135664</v>
      </c>
      <c r="BG219">
        <v>0.97154300000000005</v>
      </c>
      <c r="BH219" t="s">
        <v>21</v>
      </c>
      <c r="BI219">
        <v>2</v>
      </c>
      <c r="BJ219">
        <v>1771894607</v>
      </c>
      <c r="BK219">
        <v>200</v>
      </c>
      <c r="BL219">
        <v>5</v>
      </c>
      <c r="BM219">
        <v>2</v>
      </c>
      <c r="BN219">
        <v>1</v>
      </c>
      <c r="BO219">
        <v>0</v>
      </c>
      <c r="BP219">
        <v>0</v>
      </c>
      <c r="BQ219">
        <v>0.87060000000000004</v>
      </c>
      <c r="BR219">
        <v>0.87060000000000004</v>
      </c>
    </row>
    <row r="220" spans="49:70">
      <c r="AW220">
        <v>4</v>
      </c>
      <c r="AX220">
        <v>50.022737999999997</v>
      </c>
      <c r="AY220">
        <v>14.456289</v>
      </c>
      <c r="AZ220">
        <v>2.8</v>
      </c>
      <c r="BA220">
        <v>4284</v>
      </c>
      <c r="BB220">
        <v>1530</v>
      </c>
      <c r="BC220">
        <v>1</v>
      </c>
      <c r="BD220" t="s">
        <v>1334</v>
      </c>
      <c r="BE220">
        <v>1771894613</v>
      </c>
      <c r="BF220">
        <v>1772135664</v>
      </c>
      <c r="BG220">
        <v>0.97154300000000005</v>
      </c>
      <c r="BH220" t="s">
        <v>21</v>
      </c>
      <c r="BI220">
        <v>2</v>
      </c>
      <c r="BJ220">
        <v>1771894613</v>
      </c>
      <c r="BK220">
        <v>200</v>
      </c>
      <c r="BL220">
        <v>5</v>
      </c>
      <c r="BM220">
        <v>2</v>
      </c>
      <c r="BN220">
        <v>1</v>
      </c>
      <c r="BO220">
        <v>0</v>
      </c>
      <c r="BP220">
        <v>0</v>
      </c>
      <c r="BQ220">
        <v>1</v>
      </c>
      <c r="BR220">
        <v>1</v>
      </c>
    </row>
    <row r="221" spans="49:70">
      <c r="AW221">
        <v>4</v>
      </c>
      <c r="AX221">
        <v>50.023052999999997</v>
      </c>
      <c r="AY221">
        <v>14.456151999999999</v>
      </c>
      <c r="AZ221">
        <v>2.8</v>
      </c>
      <c r="BA221">
        <v>4284</v>
      </c>
      <c r="BB221">
        <v>1530</v>
      </c>
      <c r="BC221">
        <v>1</v>
      </c>
      <c r="BD221" t="s">
        <v>1334</v>
      </c>
      <c r="BE221">
        <v>1771894664</v>
      </c>
      <c r="BF221">
        <v>1772135664</v>
      </c>
      <c r="BG221">
        <v>0.97154300000000005</v>
      </c>
      <c r="BH221" t="s">
        <v>21</v>
      </c>
      <c r="BI221">
        <v>2</v>
      </c>
      <c r="BJ221">
        <v>1771894664</v>
      </c>
      <c r="BK221">
        <v>200</v>
      </c>
      <c r="BL221">
        <v>5</v>
      </c>
      <c r="BM221">
        <v>2</v>
      </c>
      <c r="BN221">
        <v>1</v>
      </c>
      <c r="BO221">
        <v>0</v>
      </c>
      <c r="BP221">
        <v>0</v>
      </c>
      <c r="BQ221">
        <v>1</v>
      </c>
      <c r="BR221">
        <v>1</v>
      </c>
    </row>
    <row r="222" spans="49:70">
      <c r="AW222">
        <v>4</v>
      </c>
      <c r="AX222">
        <v>50.0229</v>
      </c>
      <c r="AY222">
        <v>14.456630000000001</v>
      </c>
      <c r="AZ222">
        <v>2.8</v>
      </c>
      <c r="BA222">
        <v>4284</v>
      </c>
      <c r="BB222">
        <v>1530</v>
      </c>
      <c r="BC222">
        <v>1</v>
      </c>
      <c r="BD222" t="s">
        <v>1334</v>
      </c>
      <c r="BE222">
        <v>1771894670</v>
      </c>
      <c r="BF222">
        <v>1772135664</v>
      </c>
      <c r="BG222">
        <v>0.97154300000000005</v>
      </c>
      <c r="BH222" t="s">
        <v>21</v>
      </c>
      <c r="BI222">
        <v>2</v>
      </c>
      <c r="BJ222">
        <v>1771894670</v>
      </c>
      <c r="BK222">
        <v>200</v>
      </c>
      <c r="BL222">
        <v>5</v>
      </c>
      <c r="BM222">
        <v>2</v>
      </c>
      <c r="BN222">
        <v>1</v>
      </c>
      <c r="BO222">
        <v>0</v>
      </c>
      <c r="BP222">
        <v>0</v>
      </c>
      <c r="BQ222">
        <v>1</v>
      </c>
      <c r="BR222">
        <v>1</v>
      </c>
    </row>
    <row r="223" spans="49:70">
      <c r="AW223">
        <v>4</v>
      </c>
      <c r="AX223">
        <v>50.022632999999999</v>
      </c>
      <c r="AY223">
        <v>14.456674</v>
      </c>
      <c r="AZ223">
        <v>2.8</v>
      </c>
      <c r="BA223">
        <v>4284</v>
      </c>
      <c r="BB223">
        <v>1530</v>
      </c>
      <c r="BC223">
        <v>1</v>
      </c>
      <c r="BD223" t="s">
        <v>1334</v>
      </c>
      <c r="BE223">
        <v>1771894676</v>
      </c>
      <c r="BF223">
        <v>1772135664</v>
      </c>
      <c r="BG223">
        <v>0.97154300000000005</v>
      </c>
      <c r="BH223" t="s">
        <v>21</v>
      </c>
      <c r="BI223">
        <v>2</v>
      </c>
      <c r="BJ223">
        <v>1771894676</v>
      </c>
      <c r="BK223">
        <v>200</v>
      </c>
      <c r="BL223">
        <v>5</v>
      </c>
      <c r="BM223">
        <v>2</v>
      </c>
      <c r="BN223">
        <v>1</v>
      </c>
      <c r="BO223">
        <v>0</v>
      </c>
      <c r="BP223">
        <v>0</v>
      </c>
      <c r="BQ223">
        <v>1</v>
      </c>
      <c r="BR223">
        <v>1</v>
      </c>
    </row>
    <row r="224" spans="49:70">
      <c r="AW224">
        <v>4</v>
      </c>
      <c r="AX224">
        <v>50.022360999999997</v>
      </c>
      <c r="AY224">
        <v>14.456687000000001</v>
      </c>
      <c r="AZ224">
        <v>2.8</v>
      </c>
      <c r="BA224">
        <v>3780</v>
      </c>
      <c r="BB224">
        <v>1350</v>
      </c>
      <c r="BC224">
        <v>1</v>
      </c>
      <c r="BD224" t="s">
        <v>1334</v>
      </c>
      <c r="BE224">
        <v>1771894704</v>
      </c>
      <c r="BF224">
        <v>1772135664</v>
      </c>
      <c r="BG224">
        <v>0.97154300000000005</v>
      </c>
      <c r="BH224" t="s">
        <v>21</v>
      </c>
      <c r="BI224">
        <v>2</v>
      </c>
      <c r="BJ224">
        <v>1771894704</v>
      </c>
      <c r="BK224">
        <v>200</v>
      </c>
      <c r="BL224">
        <v>5</v>
      </c>
      <c r="BM224">
        <v>2</v>
      </c>
      <c r="BN224">
        <v>1</v>
      </c>
      <c r="BO224">
        <v>0</v>
      </c>
      <c r="BP224">
        <v>0</v>
      </c>
      <c r="BQ224">
        <v>0.88239999999999996</v>
      </c>
      <c r="BR224">
        <v>0.88239999999999996</v>
      </c>
    </row>
    <row r="225" spans="49:70">
      <c r="AW225">
        <v>4</v>
      </c>
      <c r="AX225">
        <v>50.022795000000002</v>
      </c>
      <c r="AY225">
        <v>14.457013999999999</v>
      </c>
      <c r="AZ225">
        <v>2.8</v>
      </c>
      <c r="BA225">
        <v>3813.6</v>
      </c>
      <c r="BB225">
        <v>1362</v>
      </c>
      <c r="BC225">
        <v>1</v>
      </c>
      <c r="BD225" t="s">
        <v>1334</v>
      </c>
      <c r="BE225">
        <v>1771894724</v>
      </c>
      <c r="BF225">
        <v>1772135664</v>
      </c>
      <c r="BG225">
        <v>0.97154300000000005</v>
      </c>
      <c r="BH225" t="s">
        <v>21</v>
      </c>
      <c r="BI225">
        <v>2</v>
      </c>
      <c r="BJ225">
        <v>1771894724</v>
      </c>
      <c r="BK225">
        <v>200</v>
      </c>
      <c r="BL225">
        <v>5</v>
      </c>
      <c r="BM225">
        <v>2</v>
      </c>
      <c r="BN225">
        <v>1</v>
      </c>
      <c r="BO225">
        <v>0</v>
      </c>
      <c r="BP225">
        <v>0</v>
      </c>
      <c r="BQ225">
        <v>0.89019999999999999</v>
      </c>
      <c r="BR225">
        <v>0.89019999999999999</v>
      </c>
    </row>
    <row r="226" spans="49:70">
      <c r="AW226">
        <v>4</v>
      </c>
      <c r="AX226">
        <v>50.022513000000004</v>
      </c>
      <c r="AY226">
        <v>14.457044</v>
      </c>
      <c r="AZ226">
        <v>2.8</v>
      </c>
      <c r="BA226">
        <v>3662.4</v>
      </c>
      <c r="BB226">
        <v>1308</v>
      </c>
      <c r="BC226">
        <v>1</v>
      </c>
      <c r="BD226" t="s">
        <v>1334</v>
      </c>
      <c r="BE226">
        <v>1771894729</v>
      </c>
      <c r="BF226">
        <v>1772135664</v>
      </c>
      <c r="BG226">
        <v>0.97154300000000005</v>
      </c>
      <c r="BH226" t="s">
        <v>21</v>
      </c>
      <c r="BI226">
        <v>2</v>
      </c>
      <c r="BJ226">
        <v>1771894729</v>
      </c>
      <c r="BK226">
        <v>200</v>
      </c>
      <c r="BL226">
        <v>5</v>
      </c>
      <c r="BM226">
        <v>2</v>
      </c>
      <c r="BN226">
        <v>1</v>
      </c>
      <c r="BO226">
        <v>0</v>
      </c>
      <c r="BP226">
        <v>0</v>
      </c>
      <c r="BQ226">
        <v>0.85489999999999999</v>
      </c>
      <c r="BR226">
        <v>0.85489999999999999</v>
      </c>
    </row>
    <row r="227" spans="49:70">
      <c r="AW227">
        <v>4</v>
      </c>
      <c r="AX227">
        <v>50.022239999999996</v>
      </c>
      <c r="AY227">
        <v>14.457065999999999</v>
      </c>
      <c r="AZ227">
        <v>2.8</v>
      </c>
      <c r="BA227">
        <v>3141.6</v>
      </c>
      <c r="BB227">
        <v>1122</v>
      </c>
      <c r="BC227">
        <v>1</v>
      </c>
      <c r="BD227" t="s">
        <v>1334</v>
      </c>
      <c r="BE227">
        <v>1771894762</v>
      </c>
      <c r="BF227">
        <v>1772135664</v>
      </c>
      <c r="BG227">
        <v>0.97154300000000005</v>
      </c>
      <c r="BH227" t="s">
        <v>21</v>
      </c>
      <c r="BI227">
        <v>2</v>
      </c>
      <c r="BJ227">
        <v>1771894762</v>
      </c>
      <c r="BK227">
        <v>200</v>
      </c>
      <c r="BL227">
        <v>5</v>
      </c>
      <c r="BM227">
        <v>2</v>
      </c>
      <c r="BN227">
        <v>1</v>
      </c>
      <c r="BO227">
        <v>0</v>
      </c>
      <c r="BP227">
        <v>0</v>
      </c>
      <c r="BQ227">
        <v>0.73329999999999995</v>
      </c>
      <c r="BR227">
        <v>0.73329999999999995</v>
      </c>
    </row>
    <row r="228" spans="49:70">
      <c r="AW228">
        <v>4</v>
      </c>
      <c r="AX228">
        <v>50.023071999999999</v>
      </c>
      <c r="AY228">
        <v>14.45696</v>
      </c>
      <c r="AZ228">
        <v>2.8</v>
      </c>
      <c r="BA228">
        <v>3444</v>
      </c>
      <c r="BB228">
        <v>1230</v>
      </c>
      <c r="BC228">
        <v>1</v>
      </c>
      <c r="BD228" t="s">
        <v>1334</v>
      </c>
      <c r="BE228">
        <v>1771894812</v>
      </c>
      <c r="BF228">
        <v>1772135664</v>
      </c>
      <c r="BG228">
        <v>0.97154300000000005</v>
      </c>
      <c r="BH228" t="s">
        <v>21</v>
      </c>
      <c r="BI228">
        <v>2</v>
      </c>
      <c r="BJ228">
        <v>1771894812</v>
      </c>
      <c r="BK228">
        <v>200</v>
      </c>
      <c r="BL228">
        <v>5</v>
      </c>
      <c r="BM228">
        <v>2</v>
      </c>
      <c r="BN228">
        <v>1</v>
      </c>
      <c r="BO228">
        <v>0</v>
      </c>
      <c r="BP228">
        <v>0</v>
      </c>
      <c r="BQ228">
        <v>0.80389999999999995</v>
      </c>
      <c r="BR228">
        <v>0.80389999999999995</v>
      </c>
    </row>
    <row r="229" spans="49:70">
      <c r="AW229">
        <v>21</v>
      </c>
      <c r="AX229">
        <v>48.245140999999997</v>
      </c>
      <c r="AY229">
        <v>16.368821000000001</v>
      </c>
      <c r="AZ229">
        <v>1</v>
      </c>
      <c r="BA229">
        <v>396</v>
      </c>
      <c r="BB229">
        <v>396</v>
      </c>
      <c r="BC229">
        <v>1</v>
      </c>
      <c r="BD229" t="s">
        <v>1351</v>
      </c>
      <c r="BE229">
        <v>1771685575</v>
      </c>
      <c r="BF229">
        <v>1772135664</v>
      </c>
      <c r="BG229">
        <v>0.97154300000000005</v>
      </c>
      <c r="BH229" t="s">
        <v>22</v>
      </c>
      <c r="BI229">
        <v>20</v>
      </c>
      <c r="BJ229">
        <v>1771685575</v>
      </c>
      <c r="BK229">
        <v>200</v>
      </c>
      <c r="BL229">
        <v>5</v>
      </c>
      <c r="BM229">
        <v>2</v>
      </c>
      <c r="BN229">
        <v>1</v>
      </c>
      <c r="BO229">
        <v>0</v>
      </c>
      <c r="BP229">
        <v>0</v>
      </c>
      <c r="BQ229">
        <v>0.77649999999999997</v>
      </c>
      <c r="BR229">
        <v>0.77649999999999997</v>
      </c>
    </row>
    <row r="230" spans="49:70">
      <c r="AW230">
        <v>21</v>
      </c>
      <c r="AX230">
        <v>48.210855000000002</v>
      </c>
      <c r="AY230">
        <v>16.391444</v>
      </c>
      <c r="AZ230">
        <v>1</v>
      </c>
      <c r="BA230">
        <v>446</v>
      </c>
      <c r="BB230">
        <v>446</v>
      </c>
      <c r="BC230">
        <v>1</v>
      </c>
      <c r="BD230" t="s">
        <v>1351</v>
      </c>
      <c r="BE230">
        <v>1771687163</v>
      </c>
      <c r="BF230">
        <v>1772135664</v>
      </c>
      <c r="BG230">
        <v>0.97154300000000005</v>
      </c>
      <c r="BH230" t="s">
        <v>22</v>
      </c>
      <c r="BI230">
        <v>20</v>
      </c>
      <c r="BJ230">
        <v>1771687163</v>
      </c>
      <c r="BK230">
        <v>200</v>
      </c>
      <c r="BL230">
        <v>5</v>
      </c>
      <c r="BM230">
        <v>2</v>
      </c>
      <c r="BN230">
        <v>1</v>
      </c>
      <c r="BO230">
        <v>0</v>
      </c>
      <c r="BP230">
        <v>0</v>
      </c>
      <c r="BQ230">
        <v>0.87450000000000006</v>
      </c>
      <c r="BR230">
        <v>0.87450000000000006</v>
      </c>
    </row>
    <row r="231" spans="49:70">
      <c r="AW231">
        <v>21</v>
      </c>
      <c r="AX231">
        <v>48.141677999999999</v>
      </c>
      <c r="AY231">
        <v>16.481034999999999</v>
      </c>
      <c r="AZ231">
        <v>1</v>
      </c>
      <c r="BA231">
        <v>404</v>
      </c>
      <c r="BB231">
        <v>404</v>
      </c>
      <c r="BC231">
        <v>1</v>
      </c>
      <c r="BD231" t="s">
        <v>1351</v>
      </c>
      <c r="BE231">
        <v>1771689071</v>
      </c>
      <c r="BF231">
        <v>1772135664</v>
      </c>
      <c r="BG231">
        <v>0.97154300000000005</v>
      </c>
      <c r="BH231" t="s">
        <v>22</v>
      </c>
      <c r="BI231">
        <v>20</v>
      </c>
      <c r="BJ231">
        <v>1771689071</v>
      </c>
      <c r="BK231">
        <v>200</v>
      </c>
      <c r="BL231">
        <v>5</v>
      </c>
      <c r="BM231">
        <v>2</v>
      </c>
      <c r="BN231">
        <v>1</v>
      </c>
      <c r="BO231">
        <v>0</v>
      </c>
      <c r="BP231">
        <v>0</v>
      </c>
      <c r="BQ231">
        <v>0.79220000000000002</v>
      </c>
      <c r="BR231">
        <v>0.79220000000000002</v>
      </c>
    </row>
    <row r="232" spans="49:70">
      <c r="AW232">
        <v>21</v>
      </c>
      <c r="AX232">
        <v>48.145789999999998</v>
      </c>
      <c r="AY232">
        <v>16.476410999999999</v>
      </c>
      <c r="AZ232">
        <v>1</v>
      </c>
      <c r="BA232">
        <v>376</v>
      </c>
      <c r="BB232">
        <v>376</v>
      </c>
      <c r="BC232">
        <v>1</v>
      </c>
      <c r="BD232" t="s">
        <v>1351</v>
      </c>
      <c r="BE232">
        <v>1771724644</v>
      </c>
      <c r="BF232">
        <v>1772135664</v>
      </c>
      <c r="BG232">
        <v>0.97154300000000005</v>
      </c>
      <c r="BH232" t="s">
        <v>22</v>
      </c>
      <c r="BI232">
        <v>20</v>
      </c>
      <c r="BJ232">
        <v>1771724644</v>
      </c>
      <c r="BK232">
        <v>200</v>
      </c>
      <c r="BL232">
        <v>5</v>
      </c>
      <c r="BM232">
        <v>2</v>
      </c>
      <c r="BN232">
        <v>1</v>
      </c>
      <c r="BO232">
        <v>0</v>
      </c>
      <c r="BP232">
        <v>0</v>
      </c>
      <c r="BQ232">
        <v>0.73729999999999996</v>
      </c>
      <c r="BR232">
        <v>0.73729999999999996</v>
      </c>
    </row>
    <row r="233" spans="49:70">
      <c r="AW233">
        <v>21</v>
      </c>
      <c r="AX233">
        <v>48.147053999999997</v>
      </c>
      <c r="AY233">
        <v>16.472643000000001</v>
      </c>
      <c r="AZ233">
        <v>1</v>
      </c>
      <c r="BA233">
        <v>460</v>
      </c>
      <c r="BB233">
        <v>460</v>
      </c>
      <c r="BC233">
        <v>1</v>
      </c>
      <c r="BD233" t="s">
        <v>1351</v>
      </c>
      <c r="BE233">
        <v>1771724669</v>
      </c>
      <c r="BF233">
        <v>1772135664</v>
      </c>
      <c r="BG233">
        <v>0.97154300000000005</v>
      </c>
      <c r="BH233" t="s">
        <v>22</v>
      </c>
      <c r="BI233">
        <v>20</v>
      </c>
      <c r="BJ233">
        <v>1771724669</v>
      </c>
      <c r="BK233">
        <v>200</v>
      </c>
      <c r="BL233">
        <v>5</v>
      </c>
      <c r="BM233">
        <v>2</v>
      </c>
      <c r="BN233">
        <v>1</v>
      </c>
      <c r="BO233">
        <v>0</v>
      </c>
      <c r="BP233">
        <v>0</v>
      </c>
      <c r="BQ233">
        <v>0.90200000000000002</v>
      </c>
      <c r="BR233">
        <v>0.90200000000000002</v>
      </c>
    </row>
    <row r="234" spans="49:70">
      <c r="AW234">
        <v>21</v>
      </c>
      <c r="AX234">
        <v>48.147913000000003</v>
      </c>
      <c r="AY234">
        <v>16.468851999999998</v>
      </c>
      <c r="AZ234">
        <v>1</v>
      </c>
      <c r="BA234">
        <v>410</v>
      </c>
      <c r="BB234">
        <v>410</v>
      </c>
      <c r="BC234">
        <v>1</v>
      </c>
      <c r="BD234" t="s">
        <v>1351</v>
      </c>
      <c r="BE234">
        <v>1771724691</v>
      </c>
      <c r="BF234">
        <v>1772135664</v>
      </c>
      <c r="BG234">
        <v>0.97154300000000005</v>
      </c>
      <c r="BH234" t="s">
        <v>22</v>
      </c>
      <c r="BI234">
        <v>20</v>
      </c>
      <c r="BJ234">
        <v>1771724691</v>
      </c>
      <c r="BK234">
        <v>200</v>
      </c>
      <c r="BL234">
        <v>5</v>
      </c>
      <c r="BM234">
        <v>2</v>
      </c>
      <c r="BN234">
        <v>1</v>
      </c>
      <c r="BO234">
        <v>0</v>
      </c>
      <c r="BP234">
        <v>0</v>
      </c>
      <c r="BQ234">
        <v>0.80389999999999995</v>
      </c>
      <c r="BR234">
        <v>0.80389999999999995</v>
      </c>
    </row>
    <row r="235" spans="49:70">
      <c r="AW235">
        <v>21</v>
      </c>
      <c r="AX235">
        <v>48.141955000000003</v>
      </c>
      <c r="AY235">
        <v>16.433432</v>
      </c>
      <c r="AZ235">
        <v>1</v>
      </c>
      <c r="BA235">
        <v>382</v>
      </c>
      <c r="BB235">
        <v>382</v>
      </c>
      <c r="BC235">
        <v>1</v>
      </c>
      <c r="BD235" t="s">
        <v>1351</v>
      </c>
      <c r="BE235">
        <v>1771724913</v>
      </c>
      <c r="BF235">
        <v>1772135664</v>
      </c>
      <c r="BG235">
        <v>0.97154300000000005</v>
      </c>
      <c r="BH235" t="s">
        <v>22</v>
      </c>
      <c r="BI235">
        <v>20</v>
      </c>
      <c r="BJ235">
        <v>1771724913</v>
      </c>
      <c r="BK235">
        <v>200</v>
      </c>
      <c r="BL235">
        <v>5</v>
      </c>
      <c r="BM235">
        <v>2</v>
      </c>
      <c r="BN235">
        <v>1</v>
      </c>
      <c r="BO235">
        <v>0</v>
      </c>
      <c r="BP235">
        <v>0</v>
      </c>
      <c r="BQ235">
        <v>0.749</v>
      </c>
      <c r="BR235">
        <v>0.749</v>
      </c>
    </row>
    <row r="236" spans="49:70">
      <c r="AW236">
        <v>21</v>
      </c>
      <c r="AX236">
        <v>48.142879000000001</v>
      </c>
      <c r="AY236">
        <v>16.432808999999999</v>
      </c>
      <c r="AZ236">
        <v>1</v>
      </c>
      <c r="BA236">
        <v>446</v>
      </c>
      <c r="BB236">
        <v>446</v>
      </c>
      <c r="BC236">
        <v>1</v>
      </c>
      <c r="BD236" t="s">
        <v>1351</v>
      </c>
      <c r="BE236">
        <v>1771724917</v>
      </c>
      <c r="BF236">
        <v>1772135664</v>
      </c>
      <c r="BG236">
        <v>0.97154300000000005</v>
      </c>
      <c r="BH236" t="s">
        <v>22</v>
      </c>
      <c r="BI236">
        <v>20</v>
      </c>
      <c r="BJ236">
        <v>1771724917</v>
      </c>
      <c r="BK236">
        <v>200</v>
      </c>
      <c r="BL236">
        <v>5</v>
      </c>
      <c r="BM236">
        <v>2</v>
      </c>
      <c r="BN236">
        <v>1</v>
      </c>
      <c r="BO236">
        <v>0</v>
      </c>
      <c r="BP236">
        <v>0</v>
      </c>
      <c r="BQ236">
        <v>0.87450000000000006</v>
      </c>
      <c r="BR236">
        <v>0.87450000000000006</v>
      </c>
    </row>
    <row r="237" spans="49:70">
      <c r="AW237">
        <v>21</v>
      </c>
      <c r="AX237">
        <v>48.176634999999997</v>
      </c>
      <c r="AY237">
        <v>16.408239999999999</v>
      </c>
      <c r="AZ237">
        <v>1</v>
      </c>
      <c r="BA237">
        <v>390</v>
      </c>
      <c r="BB237">
        <v>390</v>
      </c>
      <c r="BC237">
        <v>1</v>
      </c>
      <c r="BD237" t="s">
        <v>1351</v>
      </c>
      <c r="BE237">
        <v>1771725226</v>
      </c>
      <c r="BF237">
        <v>1772135664</v>
      </c>
      <c r="BG237">
        <v>0.97154300000000005</v>
      </c>
      <c r="BH237" t="s">
        <v>22</v>
      </c>
      <c r="BI237">
        <v>20</v>
      </c>
      <c r="BJ237">
        <v>1771725226</v>
      </c>
      <c r="BK237">
        <v>200</v>
      </c>
      <c r="BL237">
        <v>5</v>
      </c>
      <c r="BM237">
        <v>2</v>
      </c>
      <c r="BN237">
        <v>1</v>
      </c>
      <c r="BO237">
        <v>0</v>
      </c>
      <c r="BP237">
        <v>0</v>
      </c>
      <c r="BQ237">
        <v>0.76470000000000005</v>
      </c>
      <c r="BR237">
        <v>0.76470000000000005</v>
      </c>
    </row>
    <row r="238" spans="49:70">
      <c r="AW238">
        <v>21</v>
      </c>
      <c r="AX238">
        <v>48.209651000000001</v>
      </c>
      <c r="AY238">
        <v>16.389489000000001</v>
      </c>
      <c r="AZ238">
        <v>1</v>
      </c>
      <c r="BA238">
        <v>466</v>
      </c>
      <c r="BB238">
        <v>466</v>
      </c>
      <c r="BC238">
        <v>1</v>
      </c>
      <c r="BD238" t="s">
        <v>1351</v>
      </c>
      <c r="BE238">
        <v>1771725737</v>
      </c>
      <c r="BF238">
        <v>1772135664</v>
      </c>
      <c r="BG238">
        <v>0.97154300000000005</v>
      </c>
      <c r="BH238" t="s">
        <v>22</v>
      </c>
      <c r="BI238">
        <v>20</v>
      </c>
      <c r="BJ238">
        <v>1771725737</v>
      </c>
      <c r="BK238">
        <v>200</v>
      </c>
      <c r="BL238">
        <v>5</v>
      </c>
      <c r="BM238">
        <v>2</v>
      </c>
      <c r="BN238">
        <v>1</v>
      </c>
      <c r="BO238">
        <v>0</v>
      </c>
      <c r="BP238">
        <v>0</v>
      </c>
      <c r="BQ238">
        <v>0.91369999999999996</v>
      </c>
      <c r="BR238">
        <v>0.91369999999999996</v>
      </c>
    </row>
    <row r="239" spans="49:70">
      <c r="AW239">
        <v>21</v>
      </c>
      <c r="AX239">
        <v>48.211177999999997</v>
      </c>
      <c r="AY239">
        <v>16.391545000000001</v>
      </c>
      <c r="AZ239">
        <v>1</v>
      </c>
      <c r="BA239">
        <v>428</v>
      </c>
      <c r="BB239">
        <v>428</v>
      </c>
      <c r="BC239">
        <v>1</v>
      </c>
      <c r="BD239" t="s">
        <v>1351</v>
      </c>
      <c r="BE239">
        <v>1771725758</v>
      </c>
      <c r="BF239">
        <v>1772135664</v>
      </c>
      <c r="BG239">
        <v>0.97154300000000005</v>
      </c>
      <c r="BH239" t="s">
        <v>22</v>
      </c>
      <c r="BI239">
        <v>20</v>
      </c>
      <c r="BJ239">
        <v>1771725758</v>
      </c>
      <c r="BK239">
        <v>200</v>
      </c>
      <c r="BL239">
        <v>5</v>
      </c>
      <c r="BM239">
        <v>2</v>
      </c>
      <c r="BN239">
        <v>1</v>
      </c>
      <c r="BO239">
        <v>0</v>
      </c>
      <c r="BP239">
        <v>0</v>
      </c>
      <c r="BQ239">
        <v>0.83919999999999995</v>
      </c>
      <c r="BR239">
        <v>0.83919999999999995</v>
      </c>
    </row>
    <row r="240" spans="49:70">
      <c r="AW240">
        <v>21</v>
      </c>
      <c r="AX240">
        <v>48.211390999999999</v>
      </c>
      <c r="AY240">
        <v>16.391966</v>
      </c>
      <c r="AZ240">
        <v>1</v>
      </c>
      <c r="BA240">
        <v>414</v>
      </c>
      <c r="BB240">
        <v>414</v>
      </c>
      <c r="BC240">
        <v>1</v>
      </c>
      <c r="BD240" t="s">
        <v>1351</v>
      </c>
      <c r="BE240">
        <v>1771725761</v>
      </c>
      <c r="BF240">
        <v>1772135664</v>
      </c>
      <c r="BG240">
        <v>0.97154300000000005</v>
      </c>
      <c r="BH240" t="s">
        <v>22</v>
      </c>
      <c r="BI240">
        <v>20</v>
      </c>
      <c r="BJ240">
        <v>1771725761</v>
      </c>
      <c r="BK240">
        <v>200</v>
      </c>
      <c r="BL240">
        <v>5</v>
      </c>
      <c r="BM240">
        <v>2</v>
      </c>
      <c r="BN240">
        <v>1</v>
      </c>
      <c r="BO240">
        <v>0</v>
      </c>
      <c r="BP240">
        <v>0</v>
      </c>
      <c r="BQ240">
        <v>0.81179999999999997</v>
      </c>
      <c r="BR240">
        <v>0.81179999999999997</v>
      </c>
    </row>
    <row r="241" spans="49:70">
      <c r="AW241">
        <v>21</v>
      </c>
      <c r="AX241">
        <v>48.215995999999997</v>
      </c>
      <c r="AY241">
        <v>16.392493999999999</v>
      </c>
      <c r="AZ241">
        <v>1</v>
      </c>
      <c r="BA241">
        <v>446</v>
      </c>
      <c r="BB241">
        <v>446</v>
      </c>
      <c r="BC241">
        <v>1</v>
      </c>
      <c r="BD241" t="s">
        <v>1351</v>
      </c>
      <c r="BE241">
        <v>1771725805</v>
      </c>
      <c r="BF241">
        <v>1772135664</v>
      </c>
      <c r="BG241">
        <v>0.97154300000000005</v>
      </c>
      <c r="BH241" t="s">
        <v>22</v>
      </c>
      <c r="BI241">
        <v>20</v>
      </c>
      <c r="BJ241">
        <v>1771725805</v>
      </c>
      <c r="BK241">
        <v>200</v>
      </c>
      <c r="BL241">
        <v>5</v>
      </c>
      <c r="BM241">
        <v>2</v>
      </c>
      <c r="BN241">
        <v>1</v>
      </c>
      <c r="BO241">
        <v>0</v>
      </c>
      <c r="BP241">
        <v>0</v>
      </c>
      <c r="BQ241">
        <v>0.87450000000000006</v>
      </c>
      <c r="BR241">
        <v>0.87450000000000006</v>
      </c>
    </row>
    <row r="242" spans="49:70">
      <c r="AW242">
        <v>21</v>
      </c>
      <c r="AX242">
        <v>48.216735</v>
      </c>
      <c r="AY242">
        <v>16.391952</v>
      </c>
      <c r="AZ242">
        <v>1</v>
      </c>
      <c r="BA242">
        <v>438</v>
      </c>
      <c r="BB242">
        <v>438</v>
      </c>
      <c r="BC242">
        <v>1</v>
      </c>
      <c r="BD242" t="s">
        <v>1351</v>
      </c>
      <c r="BE242">
        <v>1771725811</v>
      </c>
      <c r="BF242">
        <v>1772135664</v>
      </c>
      <c r="BG242">
        <v>0.97154300000000005</v>
      </c>
      <c r="BH242" t="s">
        <v>22</v>
      </c>
      <c r="BI242">
        <v>20</v>
      </c>
      <c r="BJ242">
        <v>1771725811</v>
      </c>
      <c r="BK242">
        <v>200</v>
      </c>
      <c r="BL242">
        <v>5</v>
      </c>
      <c r="BM242">
        <v>2</v>
      </c>
      <c r="BN242">
        <v>1</v>
      </c>
      <c r="BO242">
        <v>0</v>
      </c>
      <c r="BP242">
        <v>0</v>
      </c>
      <c r="BQ242">
        <v>0.85880000000000001</v>
      </c>
      <c r="BR242">
        <v>0.85880000000000001</v>
      </c>
    </row>
    <row r="243" spans="49:70">
      <c r="AW243">
        <v>21</v>
      </c>
      <c r="AX243">
        <v>48.216701999999998</v>
      </c>
      <c r="AY243">
        <v>16.391421999999999</v>
      </c>
      <c r="AZ243">
        <v>1</v>
      </c>
      <c r="BA243">
        <v>428</v>
      </c>
      <c r="BB243">
        <v>428</v>
      </c>
      <c r="BC243">
        <v>1</v>
      </c>
      <c r="BD243" t="s">
        <v>1351</v>
      </c>
      <c r="BE243">
        <v>1771725815</v>
      </c>
      <c r="BF243">
        <v>1772135664</v>
      </c>
      <c r="BG243">
        <v>0.97154300000000005</v>
      </c>
      <c r="BH243" t="s">
        <v>22</v>
      </c>
      <c r="BI243">
        <v>20</v>
      </c>
      <c r="BJ243">
        <v>1771725815</v>
      </c>
      <c r="BK243">
        <v>200</v>
      </c>
      <c r="BL243">
        <v>5</v>
      </c>
      <c r="BM243">
        <v>2</v>
      </c>
      <c r="BN243">
        <v>1</v>
      </c>
      <c r="BO243">
        <v>0</v>
      </c>
      <c r="BP243">
        <v>0</v>
      </c>
      <c r="BQ243">
        <v>0.83919999999999995</v>
      </c>
      <c r="BR243">
        <v>0.83919999999999995</v>
      </c>
    </row>
    <row r="244" spans="49:70">
      <c r="AW244">
        <v>21</v>
      </c>
      <c r="AX244">
        <v>48.218314999999997</v>
      </c>
      <c r="AY244">
        <v>16.392714000000002</v>
      </c>
      <c r="AZ244">
        <v>1</v>
      </c>
      <c r="BA244">
        <v>456</v>
      </c>
      <c r="BB244">
        <v>456</v>
      </c>
      <c r="BC244">
        <v>1</v>
      </c>
      <c r="BD244" t="s">
        <v>1351</v>
      </c>
      <c r="BE244">
        <v>1771725839</v>
      </c>
      <c r="BF244">
        <v>1772135664</v>
      </c>
      <c r="BG244">
        <v>0.97154300000000005</v>
      </c>
      <c r="BH244" t="s">
        <v>22</v>
      </c>
      <c r="BI244">
        <v>20</v>
      </c>
      <c r="BJ244">
        <v>1771725839</v>
      </c>
      <c r="BK244">
        <v>200</v>
      </c>
      <c r="BL244">
        <v>5</v>
      </c>
      <c r="BM244">
        <v>2</v>
      </c>
      <c r="BN244">
        <v>1</v>
      </c>
      <c r="BO244">
        <v>0</v>
      </c>
      <c r="BP244">
        <v>0</v>
      </c>
      <c r="BQ244">
        <v>0.89410000000000001</v>
      </c>
      <c r="BR244">
        <v>0.89410000000000001</v>
      </c>
    </row>
    <row r="245" spans="49:70">
      <c r="AW245">
        <v>21</v>
      </c>
      <c r="AX245">
        <v>48.241452000000002</v>
      </c>
      <c r="AY245">
        <v>16.383942999999999</v>
      </c>
      <c r="AZ245">
        <v>1</v>
      </c>
      <c r="BA245">
        <v>368</v>
      </c>
      <c r="BB245">
        <v>368</v>
      </c>
      <c r="BC245">
        <v>1</v>
      </c>
      <c r="BD245" t="s">
        <v>1351</v>
      </c>
      <c r="BE245">
        <v>1771726153</v>
      </c>
      <c r="BF245">
        <v>1772135664</v>
      </c>
      <c r="BG245">
        <v>0.97154300000000005</v>
      </c>
      <c r="BH245" t="s">
        <v>22</v>
      </c>
      <c r="BI245">
        <v>20</v>
      </c>
      <c r="BJ245">
        <v>1771726153</v>
      </c>
      <c r="BK245">
        <v>200</v>
      </c>
      <c r="BL245">
        <v>5</v>
      </c>
      <c r="BM245">
        <v>2</v>
      </c>
      <c r="BN245">
        <v>1</v>
      </c>
      <c r="BO245">
        <v>0</v>
      </c>
      <c r="BP245">
        <v>0</v>
      </c>
      <c r="BQ245">
        <v>0.72160000000000002</v>
      </c>
      <c r="BR245">
        <v>0.72160000000000002</v>
      </c>
    </row>
    <row r="246" spans="49:70">
      <c r="AW246">
        <v>21</v>
      </c>
      <c r="AX246">
        <v>48.240816000000002</v>
      </c>
      <c r="AY246">
        <v>16.383185999999998</v>
      </c>
      <c r="AZ246">
        <v>1</v>
      </c>
      <c r="BA246">
        <v>372</v>
      </c>
      <c r="BB246">
        <v>372</v>
      </c>
      <c r="BC246">
        <v>1</v>
      </c>
      <c r="BD246" t="s">
        <v>1351</v>
      </c>
      <c r="BE246">
        <v>1771726494</v>
      </c>
      <c r="BF246">
        <v>1772135664</v>
      </c>
      <c r="BG246">
        <v>0.97154300000000005</v>
      </c>
      <c r="BH246" t="s">
        <v>22</v>
      </c>
      <c r="BI246">
        <v>20</v>
      </c>
      <c r="BJ246">
        <v>1771726494</v>
      </c>
      <c r="BK246">
        <v>200</v>
      </c>
      <c r="BL246">
        <v>5</v>
      </c>
      <c r="BM246">
        <v>2</v>
      </c>
      <c r="BN246">
        <v>1</v>
      </c>
      <c r="BO246">
        <v>0</v>
      </c>
      <c r="BP246">
        <v>0</v>
      </c>
      <c r="BQ246">
        <v>0.72940000000000005</v>
      </c>
      <c r="BR246">
        <v>0.72940000000000005</v>
      </c>
    </row>
    <row r="247" spans="49:70">
      <c r="AW247">
        <v>21</v>
      </c>
      <c r="AX247">
        <v>48.242400000000004</v>
      </c>
      <c r="AY247">
        <v>16.373896999999999</v>
      </c>
      <c r="AZ247">
        <v>1</v>
      </c>
      <c r="BA247">
        <v>344</v>
      </c>
      <c r="BB247">
        <v>344</v>
      </c>
      <c r="BC247">
        <v>1</v>
      </c>
      <c r="BD247" t="s">
        <v>1351</v>
      </c>
      <c r="BE247">
        <v>1771726897</v>
      </c>
      <c r="BF247">
        <v>1772135664</v>
      </c>
      <c r="BG247">
        <v>0.97154300000000005</v>
      </c>
      <c r="BH247" t="s">
        <v>22</v>
      </c>
      <c r="BI247">
        <v>20</v>
      </c>
      <c r="BJ247">
        <v>1771726897</v>
      </c>
      <c r="BK247">
        <v>200</v>
      </c>
      <c r="BL247">
        <v>5</v>
      </c>
      <c r="BM247">
        <v>2</v>
      </c>
      <c r="BN247">
        <v>1</v>
      </c>
      <c r="BO247">
        <v>0</v>
      </c>
      <c r="BP247">
        <v>0</v>
      </c>
      <c r="BQ247">
        <v>0.67449999999999999</v>
      </c>
      <c r="BR247">
        <v>0.67449999999999999</v>
      </c>
    </row>
    <row r="248" spans="49:70">
      <c r="AW248">
        <v>21</v>
      </c>
      <c r="AX248">
        <v>48.245404000000001</v>
      </c>
      <c r="AY248">
        <v>16.368784999999999</v>
      </c>
      <c r="AZ248">
        <v>1</v>
      </c>
      <c r="BA248">
        <v>410</v>
      </c>
      <c r="BB248">
        <v>410</v>
      </c>
      <c r="BC248">
        <v>1</v>
      </c>
      <c r="BD248" t="s">
        <v>1351</v>
      </c>
      <c r="BE248">
        <v>1771726986</v>
      </c>
      <c r="BF248">
        <v>1772135664</v>
      </c>
      <c r="BG248">
        <v>0.97154300000000005</v>
      </c>
      <c r="BH248" t="s">
        <v>22</v>
      </c>
      <c r="BI248">
        <v>20</v>
      </c>
      <c r="BJ248">
        <v>1771726986</v>
      </c>
      <c r="BK248">
        <v>200</v>
      </c>
      <c r="BL248">
        <v>5</v>
      </c>
      <c r="BM248">
        <v>2</v>
      </c>
      <c r="BN248">
        <v>1</v>
      </c>
      <c r="BO248">
        <v>0</v>
      </c>
      <c r="BP248">
        <v>0</v>
      </c>
      <c r="BQ248">
        <v>0.80389999999999995</v>
      </c>
      <c r="BR248">
        <v>0.80389999999999995</v>
      </c>
    </row>
    <row r="249" spans="49:70">
      <c r="AW249">
        <v>21</v>
      </c>
      <c r="AX249">
        <v>48.242970999999997</v>
      </c>
      <c r="AY249">
        <v>16.381865999999999</v>
      </c>
      <c r="AZ249">
        <v>1</v>
      </c>
      <c r="BA249">
        <v>414</v>
      </c>
      <c r="BB249">
        <v>414</v>
      </c>
      <c r="BC249">
        <v>1</v>
      </c>
      <c r="BD249" t="s">
        <v>1351</v>
      </c>
      <c r="BE249">
        <v>1771758710</v>
      </c>
      <c r="BF249">
        <v>1772135664</v>
      </c>
      <c r="BG249">
        <v>0.97154300000000005</v>
      </c>
      <c r="BH249" t="s">
        <v>22</v>
      </c>
      <c r="BI249">
        <v>20</v>
      </c>
      <c r="BJ249">
        <v>1771758710</v>
      </c>
      <c r="BK249">
        <v>200</v>
      </c>
      <c r="BL249">
        <v>5</v>
      </c>
      <c r="BM249">
        <v>2</v>
      </c>
      <c r="BN249">
        <v>1</v>
      </c>
      <c r="BO249">
        <v>0</v>
      </c>
      <c r="BP249">
        <v>0</v>
      </c>
      <c r="BQ249">
        <v>0.81179999999999997</v>
      </c>
      <c r="BR249">
        <v>0.81179999999999997</v>
      </c>
    </row>
    <row r="250" spans="49:70">
      <c r="AW250">
        <v>21</v>
      </c>
      <c r="AX250">
        <v>48.242728999999997</v>
      </c>
      <c r="AY250">
        <v>16.382127000000001</v>
      </c>
      <c r="AZ250">
        <v>1</v>
      </c>
      <c r="BA250">
        <v>460</v>
      </c>
      <c r="BB250">
        <v>460</v>
      </c>
      <c r="BC250">
        <v>1</v>
      </c>
      <c r="BD250" t="s">
        <v>1351</v>
      </c>
      <c r="BE250">
        <v>1771758715</v>
      </c>
      <c r="BF250">
        <v>1772135664</v>
      </c>
      <c r="BG250">
        <v>0.97154300000000005</v>
      </c>
      <c r="BH250" t="s">
        <v>22</v>
      </c>
      <c r="BI250">
        <v>20</v>
      </c>
      <c r="BJ250">
        <v>1771758715</v>
      </c>
      <c r="BK250">
        <v>200</v>
      </c>
      <c r="BL250">
        <v>5</v>
      </c>
      <c r="BM250">
        <v>2</v>
      </c>
      <c r="BN250">
        <v>1</v>
      </c>
      <c r="BO250">
        <v>0</v>
      </c>
      <c r="BP250">
        <v>0</v>
      </c>
      <c r="BQ250">
        <v>0.90200000000000002</v>
      </c>
      <c r="BR250">
        <v>0.90200000000000002</v>
      </c>
    </row>
    <row r="251" spans="49:70">
      <c r="AW251">
        <v>21</v>
      </c>
      <c r="AX251">
        <v>48.242465000000003</v>
      </c>
      <c r="AY251">
        <v>16.382321999999998</v>
      </c>
      <c r="AZ251">
        <v>1</v>
      </c>
      <c r="BA251">
        <v>418</v>
      </c>
      <c r="BB251">
        <v>418</v>
      </c>
      <c r="BC251">
        <v>1</v>
      </c>
      <c r="BD251" t="s">
        <v>1351</v>
      </c>
      <c r="BE251">
        <v>1771758719</v>
      </c>
      <c r="BF251">
        <v>1772135664</v>
      </c>
      <c r="BG251">
        <v>0.97154300000000005</v>
      </c>
      <c r="BH251" t="s">
        <v>22</v>
      </c>
      <c r="BI251">
        <v>20</v>
      </c>
      <c r="BJ251">
        <v>1771758719</v>
      </c>
      <c r="BK251">
        <v>200</v>
      </c>
      <c r="BL251">
        <v>5</v>
      </c>
      <c r="BM251">
        <v>2</v>
      </c>
      <c r="BN251">
        <v>1</v>
      </c>
      <c r="BO251">
        <v>0</v>
      </c>
      <c r="BP251">
        <v>0</v>
      </c>
      <c r="BQ251">
        <v>0.8196</v>
      </c>
      <c r="BR251">
        <v>0.8196</v>
      </c>
    </row>
    <row r="252" spans="49:70">
      <c r="AW252">
        <v>21</v>
      </c>
      <c r="AX252">
        <v>48.242182999999997</v>
      </c>
      <c r="AY252">
        <v>16.382560999999999</v>
      </c>
      <c r="AZ252">
        <v>1</v>
      </c>
      <c r="BA252">
        <v>424</v>
      </c>
      <c r="BB252">
        <v>424</v>
      </c>
      <c r="BC252">
        <v>1</v>
      </c>
      <c r="BD252" t="s">
        <v>1351</v>
      </c>
      <c r="BE252">
        <v>1771758722</v>
      </c>
      <c r="BF252">
        <v>1772135664</v>
      </c>
      <c r="BG252">
        <v>0.97154300000000005</v>
      </c>
      <c r="BH252" t="s">
        <v>22</v>
      </c>
      <c r="BI252">
        <v>20</v>
      </c>
      <c r="BJ252">
        <v>1771758722</v>
      </c>
      <c r="BK252">
        <v>200</v>
      </c>
      <c r="BL252">
        <v>5</v>
      </c>
      <c r="BM252">
        <v>2</v>
      </c>
      <c r="BN252">
        <v>1</v>
      </c>
      <c r="BO252">
        <v>0</v>
      </c>
      <c r="BP252">
        <v>0</v>
      </c>
      <c r="BQ252">
        <v>0.83140000000000003</v>
      </c>
      <c r="BR252">
        <v>0.83140000000000003</v>
      </c>
    </row>
    <row r="253" spans="49:70">
      <c r="AW253">
        <v>21</v>
      </c>
      <c r="AX253">
        <v>48.241925000000002</v>
      </c>
      <c r="AY253">
        <v>16.382795999999999</v>
      </c>
      <c r="AZ253">
        <v>1</v>
      </c>
      <c r="BA253">
        <v>414</v>
      </c>
      <c r="BB253">
        <v>414</v>
      </c>
      <c r="BC253">
        <v>1</v>
      </c>
      <c r="BD253" t="s">
        <v>1351</v>
      </c>
      <c r="BE253">
        <v>1771758726</v>
      </c>
      <c r="BF253">
        <v>1772135664</v>
      </c>
      <c r="BG253">
        <v>0.97154300000000005</v>
      </c>
      <c r="BH253" t="s">
        <v>22</v>
      </c>
      <c r="BI253">
        <v>20</v>
      </c>
      <c r="BJ253">
        <v>1771758726</v>
      </c>
      <c r="BK253">
        <v>200</v>
      </c>
      <c r="BL253">
        <v>5</v>
      </c>
      <c r="BM253">
        <v>2</v>
      </c>
      <c r="BN253">
        <v>1</v>
      </c>
      <c r="BO253">
        <v>0</v>
      </c>
      <c r="BP253">
        <v>0</v>
      </c>
      <c r="BQ253">
        <v>0.81179999999999997</v>
      </c>
      <c r="BR253">
        <v>0.81179999999999997</v>
      </c>
    </row>
    <row r="254" spans="49:70">
      <c r="AW254">
        <v>21</v>
      </c>
      <c r="AX254">
        <v>48.241688000000003</v>
      </c>
      <c r="AY254">
        <v>16.383006000000002</v>
      </c>
      <c r="AZ254">
        <v>1</v>
      </c>
      <c r="BA254">
        <v>348</v>
      </c>
      <c r="BB254">
        <v>348</v>
      </c>
      <c r="BC254">
        <v>1</v>
      </c>
      <c r="BD254" t="s">
        <v>1351</v>
      </c>
      <c r="BE254">
        <v>1771758732</v>
      </c>
      <c r="BF254">
        <v>1772135664</v>
      </c>
      <c r="BG254">
        <v>0.97154300000000005</v>
      </c>
      <c r="BH254" t="s">
        <v>22</v>
      </c>
      <c r="BI254">
        <v>20</v>
      </c>
      <c r="BJ254">
        <v>1771758732</v>
      </c>
      <c r="BK254">
        <v>200</v>
      </c>
      <c r="BL254">
        <v>5</v>
      </c>
      <c r="BM254">
        <v>2</v>
      </c>
      <c r="BN254">
        <v>1</v>
      </c>
      <c r="BO254">
        <v>0</v>
      </c>
      <c r="BP254">
        <v>0</v>
      </c>
      <c r="BQ254">
        <v>0.68240000000000001</v>
      </c>
      <c r="BR254">
        <v>0.68240000000000001</v>
      </c>
    </row>
    <row r="255" spans="49:70">
      <c r="AW255">
        <v>21</v>
      </c>
      <c r="AX255">
        <v>48.241432000000003</v>
      </c>
      <c r="AY255">
        <v>16.383230999999999</v>
      </c>
      <c r="AZ255">
        <v>1</v>
      </c>
      <c r="BA255">
        <v>330</v>
      </c>
      <c r="BB255">
        <v>330</v>
      </c>
      <c r="BC255">
        <v>1</v>
      </c>
      <c r="BD255" t="s">
        <v>1351</v>
      </c>
      <c r="BE255">
        <v>1771758736</v>
      </c>
      <c r="BF255">
        <v>1772135664</v>
      </c>
      <c r="BG255">
        <v>0.97154300000000005</v>
      </c>
      <c r="BH255" t="s">
        <v>22</v>
      </c>
      <c r="BI255">
        <v>20</v>
      </c>
      <c r="BJ255">
        <v>1771758736</v>
      </c>
      <c r="BK255">
        <v>200</v>
      </c>
      <c r="BL255">
        <v>5</v>
      </c>
      <c r="BM255">
        <v>2</v>
      </c>
      <c r="BN255">
        <v>1</v>
      </c>
      <c r="BO255">
        <v>0</v>
      </c>
      <c r="BP255">
        <v>0</v>
      </c>
      <c r="BQ255">
        <v>0.64710000000000001</v>
      </c>
      <c r="BR255">
        <v>0.64710000000000001</v>
      </c>
    </row>
    <row r="256" spans="49:70">
      <c r="AW256">
        <v>21</v>
      </c>
      <c r="AX256">
        <v>48.241131000000003</v>
      </c>
      <c r="AY256">
        <v>16.383299999999998</v>
      </c>
      <c r="AZ256">
        <v>1</v>
      </c>
      <c r="BA256">
        <v>414</v>
      </c>
      <c r="BB256">
        <v>414</v>
      </c>
      <c r="BC256">
        <v>1</v>
      </c>
      <c r="BD256" t="s">
        <v>1351</v>
      </c>
      <c r="BE256">
        <v>1771758741</v>
      </c>
      <c r="BF256">
        <v>1772135664</v>
      </c>
      <c r="BG256">
        <v>0.97154300000000005</v>
      </c>
      <c r="BH256" t="s">
        <v>22</v>
      </c>
      <c r="BI256">
        <v>20</v>
      </c>
      <c r="BJ256">
        <v>1771758741</v>
      </c>
      <c r="BK256">
        <v>200</v>
      </c>
      <c r="BL256">
        <v>5</v>
      </c>
      <c r="BM256">
        <v>2</v>
      </c>
      <c r="BN256">
        <v>1</v>
      </c>
      <c r="BO256">
        <v>0</v>
      </c>
      <c r="BP256">
        <v>0</v>
      </c>
      <c r="BQ256">
        <v>0.81179999999999997</v>
      </c>
      <c r="BR256">
        <v>0.81179999999999997</v>
      </c>
    </row>
    <row r="257" spans="49:70">
      <c r="AW257">
        <v>21</v>
      </c>
      <c r="AX257">
        <v>48.222351000000003</v>
      </c>
      <c r="AY257">
        <v>16.391461</v>
      </c>
      <c r="AZ257">
        <v>1</v>
      </c>
      <c r="BA257">
        <v>404</v>
      </c>
      <c r="BB257">
        <v>404</v>
      </c>
      <c r="BC257">
        <v>1</v>
      </c>
      <c r="BD257" t="s">
        <v>1351</v>
      </c>
      <c r="BE257">
        <v>1771759206</v>
      </c>
      <c r="BF257">
        <v>1772135664</v>
      </c>
      <c r="BG257">
        <v>0.97154300000000005</v>
      </c>
      <c r="BH257" t="s">
        <v>22</v>
      </c>
      <c r="BI257">
        <v>20</v>
      </c>
      <c r="BJ257">
        <v>1771759206</v>
      </c>
      <c r="BK257">
        <v>200</v>
      </c>
      <c r="BL257">
        <v>5</v>
      </c>
      <c r="BM257">
        <v>2</v>
      </c>
      <c r="BN257">
        <v>1</v>
      </c>
      <c r="BO257">
        <v>0</v>
      </c>
      <c r="BP257">
        <v>0</v>
      </c>
      <c r="BQ257">
        <v>0.79220000000000002</v>
      </c>
      <c r="BR257">
        <v>0.79220000000000002</v>
      </c>
    </row>
    <row r="258" spans="49:70">
      <c r="AW258">
        <v>21</v>
      </c>
      <c r="AX258">
        <v>48.222065999999998</v>
      </c>
      <c r="AY258">
        <v>16.391393000000001</v>
      </c>
      <c r="AZ258">
        <v>1</v>
      </c>
      <c r="BA258">
        <v>424</v>
      </c>
      <c r="BB258">
        <v>424</v>
      </c>
      <c r="BC258">
        <v>1</v>
      </c>
      <c r="BD258" t="s">
        <v>1351</v>
      </c>
      <c r="BE258">
        <v>1771759210</v>
      </c>
      <c r="BF258">
        <v>1772135664</v>
      </c>
      <c r="BG258">
        <v>0.97154300000000005</v>
      </c>
      <c r="BH258" t="s">
        <v>22</v>
      </c>
      <c r="BI258">
        <v>20</v>
      </c>
      <c r="BJ258">
        <v>1771759210</v>
      </c>
      <c r="BK258">
        <v>200</v>
      </c>
      <c r="BL258">
        <v>5</v>
      </c>
      <c r="BM258">
        <v>2</v>
      </c>
      <c r="BN258">
        <v>1</v>
      </c>
      <c r="BO258">
        <v>0</v>
      </c>
      <c r="BP258">
        <v>0</v>
      </c>
      <c r="BQ258">
        <v>0.83140000000000003</v>
      </c>
      <c r="BR258">
        <v>0.83140000000000003</v>
      </c>
    </row>
    <row r="259" spans="49:70">
      <c r="AW259">
        <v>21</v>
      </c>
      <c r="AX259">
        <v>48.221753</v>
      </c>
      <c r="AY259">
        <v>16.391421000000001</v>
      </c>
      <c r="AZ259">
        <v>1</v>
      </c>
      <c r="BA259">
        <v>466</v>
      </c>
      <c r="BB259">
        <v>466</v>
      </c>
      <c r="BC259">
        <v>1</v>
      </c>
      <c r="BD259" t="s">
        <v>1351</v>
      </c>
      <c r="BE259">
        <v>1771759214</v>
      </c>
      <c r="BF259">
        <v>1772135664</v>
      </c>
      <c r="BG259">
        <v>0.97154300000000005</v>
      </c>
      <c r="BH259" t="s">
        <v>22</v>
      </c>
      <c r="BI259">
        <v>20</v>
      </c>
      <c r="BJ259">
        <v>1771759214</v>
      </c>
      <c r="BK259">
        <v>200</v>
      </c>
      <c r="BL259">
        <v>5</v>
      </c>
      <c r="BM259">
        <v>2</v>
      </c>
      <c r="BN259">
        <v>1</v>
      </c>
      <c r="BO259">
        <v>0</v>
      </c>
      <c r="BP259">
        <v>0</v>
      </c>
      <c r="BQ259">
        <v>0.91369999999999996</v>
      </c>
      <c r="BR259">
        <v>0.91369999999999996</v>
      </c>
    </row>
    <row r="260" spans="49:70">
      <c r="AW260">
        <v>21</v>
      </c>
      <c r="AX260">
        <v>48.220334999999999</v>
      </c>
      <c r="AY260">
        <v>16.391552000000001</v>
      </c>
      <c r="AZ260">
        <v>1</v>
      </c>
      <c r="BA260">
        <v>494</v>
      </c>
      <c r="BB260">
        <v>494</v>
      </c>
      <c r="BC260">
        <v>1</v>
      </c>
      <c r="BD260" t="s">
        <v>1351</v>
      </c>
      <c r="BE260">
        <v>1771759224</v>
      </c>
      <c r="BF260">
        <v>1772135664</v>
      </c>
      <c r="BG260">
        <v>0.97154300000000005</v>
      </c>
      <c r="BH260" t="s">
        <v>22</v>
      </c>
      <c r="BI260">
        <v>20</v>
      </c>
      <c r="BJ260">
        <v>1771759224</v>
      </c>
      <c r="BK260">
        <v>200</v>
      </c>
      <c r="BL260">
        <v>5</v>
      </c>
      <c r="BM260">
        <v>2</v>
      </c>
      <c r="BN260">
        <v>1</v>
      </c>
      <c r="BO260">
        <v>0</v>
      </c>
      <c r="BP260">
        <v>0</v>
      </c>
      <c r="BQ260">
        <v>0.96860000000000002</v>
      </c>
      <c r="BR260">
        <v>0.96860000000000002</v>
      </c>
    </row>
    <row r="261" spans="49:70">
      <c r="AW261">
        <v>21</v>
      </c>
      <c r="AX261">
        <v>48.219757999999999</v>
      </c>
      <c r="AY261">
        <v>16.391894000000001</v>
      </c>
      <c r="AZ261">
        <v>1</v>
      </c>
      <c r="BA261">
        <v>510</v>
      </c>
      <c r="BB261">
        <v>510</v>
      </c>
      <c r="BC261">
        <v>1</v>
      </c>
      <c r="BD261" t="s">
        <v>1351</v>
      </c>
      <c r="BE261">
        <v>1771759231</v>
      </c>
      <c r="BF261">
        <v>1772135664</v>
      </c>
      <c r="BG261">
        <v>0.97154300000000005</v>
      </c>
      <c r="BH261" t="s">
        <v>22</v>
      </c>
      <c r="BI261">
        <v>20</v>
      </c>
      <c r="BJ261">
        <v>1771759231</v>
      </c>
      <c r="BK261">
        <v>200</v>
      </c>
      <c r="BL261">
        <v>5</v>
      </c>
      <c r="BM261">
        <v>2</v>
      </c>
      <c r="BN261">
        <v>1</v>
      </c>
      <c r="BO261">
        <v>0</v>
      </c>
      <c r="BP261">
        <v>0</v>
      </c>
      <c r="BQ261">
        <v>1</v>
      </c>
      <c r="BR261">
        <v>1</v>
      </c>
    </row>
    <row r="262" spans="49:70">
      <c r="AW262">
        <v>21</v>
      </c>
      <c r="AX262">
        <v>48.216985000000001</v>
      </c>
      <c r="AY262">
        <v>16.392271000000001</v>
      </c>
      <c r="AZ262">
        <v>1</v>
      </c>
      <c r="BA262">
        <v>466</v>
      </c>
      <c r="BB262">
        <v>466</v>
      </c>
      <c r="BC262">
        <v>1</v>
      </c>
      <c r="BD262" t="s">
        <v>1351</v>
      </c>
      <c r="BE262">
        <v>1771759303</v>
      </c>
      <c r="BF262">
        <v>1772135664</v>
      </c>
      <c r="BG262">
        <v>0.97154300000000005</v>
      </c>
      <c r="BH262" t="s">
        <v>22</v>
      </c>
      <c r="BI262">
        <v>20</v>
      </c>
      <c r="BJ262">
        <v>1771759303</v>
      </c>
      <c r="BK262">
        <v>200</v>
      </c>
      <c r="BL262">
        <v>5</v>
      </c>
      <c r="BM262">
        <v>2</v>
      </c>
      <c r="BN262">
        <v>1</v>
      </c>
      <c r="BO262">
        <v>0</v>
      </c>
      <c r="BP262">
        <v>0</v>
      </c>
      <c r="BQ262">
        <v>0.91369999999999996</v>
      </c>
      <c r="BR262">
        <v>0.91369999999999996</v>
      </c>
    </row>
    <row r="263" spans="49:70">
      <c r="AW263">
        <v>21</v>
      </c>
      <c r="AX263">
        <v>48.216611999999998</v>
      </c>
      <c r="AY263">
        <v>16.392334999999999</v>
      </c>
      <c r="AZ263">
        <v>1</v>
      </c>
      <c r="BA263">
        <v>510</v>
      </c>
      <c r="BB263">
        <v>510</v>
      </c>
      <c r="BC263">
        <v>1</v>
      </c>
      <c r="BD263" t="s">
        <v>1351</v>
      </c>
      <c r="BE263">
        <v>1771759307</v>
      </c>
      <c r="BF263">
        <v>1772135664</v>
      </c>
      <c r="BG263">
        <v>0.97154300000000005</v>
      </c>
      <c r="BH263" t="s">
        <v>22</v>
      </c>
      <c r="BI263">
        <v>20</v>
      </c>
      <c r="BJ263">
        <v>1771759307</v>
      </c>
      <c r="BK263">
        <v>200</v>
      </c>
      <c r="BL263">
        <v>5</v>
      </c>
      <c r="BM263">
        <v>2</v>
      </c>
      <c r="BN263">
        <v>1</v>
      </c>
      <c r="BO263">
        <v>0</v>
      </c>
      <c r="BP263">
        <v>0</v>
      </c>
      <c r="BQ263">
        <v>1</v>
      </c>
      <c r="BR263">
        <v>1</v>
      </c>
    </row>
    <row r="264" spans="49:70">
      <c r="AW264">
        <v>21</v>
      </c>
      <c r="AX264">
        <v>48.216191999999999</v>
      </c>
      <c r="AY264">
        <v>16.392043999999999</v>
      </c>
      <c r="AZ264">
        <v>1</v>
      </c>
      <c r="BA264">
        <v>480</v>
      </c>
      <c r="BB264">
        <v>480</v>
      </c>
      <c r="BC264">
        <v>1</v>
      </c>
      <c r="BD264" t="s">
        <v>1351</v>
      </c>
      <c r="BE264">
        <v>1771759311</v>
      </c>
      <c r="BF264">
        <v>1772135664</v>
      </c>
      <c r="BG264">
        <v>0.97154300000000005</v>
      </c>
      <c r="BH264" t="s">
        <v>22</v>
      </c>
      <c r="BI264">
        <v>20</v>
      </c>
      <c r="BJ264">
        <v>1771759311</v>
      </c>
      <c r="BK264">
        <v>200</v>
      </c>
      <c r="BL264">
        <v>5</v>
      </c>
      <c r="BM264">
        <v>2</v>
      </c>
      <c r="BN264">
        <v>1</v>
      </c>
      <c r="BO264">
        <v>0</v>
      </c>
      <c r="BP264">
        <v>0</v>
      </c>
      <c r="BQ264">
        <v>0.94120000000000004</v>
      </c>
      <c r="BR264">
        <v>0.94120000000000004</v>
      </c>
    </row>
    <row r="265" spans="49:70">
      <c r="AW265">
        <v>21</v>
      </c>
      <c r="AX265">
        <v>48.215141000000003</v>
      </c>
      <c r="AY265">
        <v>16.392226000000001</v>
      </c>
      <c r="AZ265">
        <v>1</v>
      </c>
      <c r="BA265">
        <v>452</v>
      </c>
      <c r="BB265">
        <v>452</v>
      </c>
      <c r="BC265">
        <v>1</v>
      </c>
      <c r="BD265" t="s">
        <v>1351</v>
      </c>
      <c r="BE265">
        <v>1771759320</v>
      </c>
      <c r="BF265">
        <v>1772135664</v>
      </c>
      <c r="BG265">
        <v>0.97154300000000005</v>
      </c>
      <c r="BH265" t="s">
        <v>22</v>
      </c>
      <c r="BI265">
        <v>20</v>
      </c>
      <c r="BJ265">
        <v>1771759320</v>
      </c>
      <c r="BK265">
        <v>200</v>
      </c>
      <c r="BL265">
        <v>5</v>
      </c>
      <c r="BM265">
        <v>2</v>
      </c>
      <c r="BN265">
        <v>1</v>
      </c>
      <c r="BO265">
        <v>0</v>
      </c>
      <c r="BP265">
        <v>0</v>
      </c>
      <c r="BQ265">
        <v>0.88629999999999998</v>
      </c>
      <c r="BR265">
        <v>0.88629999999999998</v>
      </c>
    </row>
    <row r="266" spans="49:70">
      <c r="AW266">
        <v>21</v>
      </c>
      <c r="AX266">
        <v>48.214871000000002</v>
      </c>
      <c r="AY266">
        <v>16.392206999999999</v>
      </c>
      <c r="AZ266">
        <v>1</v>
      </c>
      <c r="BA266">
        <v>400</v>
      </c>
      <c r="BB266">
        <v>400</v>
      </c>
      <c r="BC266">
        <v>1</v>
      </c>
      <c r="BD266" t="s">
        <v>1351</v>
      </c>
      <c r="BE266">
        <v>1771759323</v>
      </c>
      <c r="BF266">
        <v>1772135664</v>
      </c>
      <c r="BG266">
        <v>0.97154300000000005</v>
      </c>
      <c r="BH266" t="s">
        <v>22</v>
      </c>
      <c r="BI266">
        <v>20</v>
      </c>
      <c r="BJ266">
        <v>1771759323</v>
      </c>
      <c r="BK266">
        <v>200</v>
      </c>
      <c r="BL266">
        <v>5</v>
      </c>
      <c r="BM266">
        <v>2</v>
      </c>
      <c r="BN266">
        <v>1</v>
      </c>
      <c r="BO266">
        <v>0</v>
      </c>
      <c r="BP266">
        <v>0</v>
      </c>
      <c r="BQ266">
        <v>0.7843</v>
      </c>
      <c r="BR266">
        <v>0.7843</v>
      </c>
    </row>
    <row r="267" spans="49:70">
      <c r="AW267">
        <v>21</v>
      </c>
      <c r="AX267">
        <v>48.211475</v>
      </c>
      <c r="AY267">
        <v>16.391570000000002</v>
      </c>
      <c r="AZ267">
        <v>1</v>
      </c>
      <c r="BA267">
        <v>456</v>
      </c>
      <c r="BB267">
        <v>456</v>
      </c>
      <c r="BC267">
        <v>1</v>
      </c>
      <c r="BD267" t="s">
        <v>1351</v>
      </c>
      <c r="BE267">
        <v>1771759360</v>
      </c>
      <c r="BF267">
        <v>1772135664</v>
      </c>
      <c r="BG267">
        <v>0.97154300000000005</v>
      </c>
      <c r="BH267" t="s">
        <v>22</v>
      </c>
      <c r="BI267">
        <v>20</v>
      </c>
      <c r="BJ267">
        <v>1771759360</v>
      </c>
      <c r="BK267">
        <v>200</v>
      </c>
      <c r="BL267">
        <v>5</v>
      </c>
      <c r="BM267">
        <v>2</v>
      </c>
      <c r="BN267">
        <v>1</v>
      </c>
      <c r="BO267">
        <v>0</v>
      </c>
      <c r="BP267">
        <v>0</v>
      </c>
      <c r="BQ267">
        <v>0.89410000000000001</v>
      </c>
      <c r="BR267">
        <v>0.89410000000000001</v>
      </c>
    </row>
    <row r="268" spans="49:70">
      <c r="AW268">
        <v>21</v>
      </c>
      <c r="AX268">
        <v>48.202038999999999</v>
      </c>
      <c r="AY268">
        <v>16.385038000000002</v>
      </c>
      <c r="AZ268">
        <v>1</v>
      </c>
      <c r="BA268">
        <v>390</v>
      </c>
      <c r="BB268">
        <v>390</v>
      </c>
      <c r="BC268">
        <v>1</v>
      </c>
      <c r="BD268" t="s">
        <v>1351</v>
      </c>
      <c r="BE268">
        <v>1771759554</v>
      </c>
      <c r="BF268">
        <v>1772135664</v>
      </c>
      <c r="BG268">
        <v>0.97154300000000005</v>
      </c>
      <c r="BH268" t="s">
        <v>22</v>
      </c>
      <c r="BI268">
        <v>20</v>
      </c>
      <c r="BJ268">
        <v>1771759554</v>
      </c>
      <c r="BK268">
        <v>200</v>
      </c>
      <c r="BL268">
        <v>5</v>
      </c>
      <c r="BM268">
        <v>2</v>
      </c>
      <c r="BN268">
        <v>1</v>
      </c>
      <c r="BO268">
        <v>0</v>
      </c>
      <c r="BP268">
        <v>0</v>
      </c>
      <c r="BQ268">
        <v>0.76470000000000005</v>
      </c>
      <c r="BR268">
        <v>0.76470000000000005</v>
      </c>
    </row>
    <row r="269" spans="49:70">
      <c r="AW269">
        <v>21</v>
      </c>
      <c r="AX269">
        <v>48.230432</v>
      </c>
      <c r="AY269">
        <v>16.453009000000002</v>
      </c>
      <c r="AZ269">
        <v>1</v>
      </c>
      <c r="BA269">
        <v>510</v>
      </c>
      <c r="BB269">
        <v>510</v>
      </c>
      <c r="BC269">
        <v>1</v>
      </c>
      <c r="BD269" t="s">
        <v>1351</v>
      </c>
      <c r="BE269">
        <v>1771762581</v>
      </c>
      <c r="BF269">
        <v>1772135664</v>
      </c>
      <c r="BG269">
        <v>0.97154300000000005</v>
      </c>
      <c r="BH269" t="s">
        <v>22</v>
      </c>
      <c r="BI269">
        <v>20</v>
      </c>
      <c r="BJ269">
        <v>1771762581</v>
      </c>
      <c r="BK269">
        <v>200</v>
      </c>
      <c r="BL269">
        <v>5</v>
      </c>
      <c r="BM269">
        <v>2</v>
      </c>
      <c r="BN269">
        <v>1</v>
      </c>
      <c r="BO269">
        <v>0</v>
      </c>
      <c r="BP269">
        <v>0</v>
      </c>
      <c r="BQ269">
        <v>1</v>
      </c>
      <c r="BR269">
        <v>1</v>
      </c>
    </row>
    <row r="270" spans="49:70">
      <c r="AW270">
        <v>21</v>
      </c>
      <c r="AX270">
        <v>48.231073000000002</v>
      </c>
      <c r="AY270">
        <v>16.45335</v>
      </c>
      <c r="AZ270">
        <v>1</v>
      </c>
      <c r="BA270">
        <v>510</v>
      </c>
      <c r="BB270">
        <v>510</v>
      </c>
      <c r="BC270">
        <v>1</v>
      </c>
      <c r="BD270" t="s">
        <v>1351</v>
      </c>
      <c r="BE270">
        <v>1771762585</v>
      </c>
      <c r="BF270">
        <v>1772135664</v>
      </c>
      <c r="BG270">
        <v>0.97154300000000005</v>
      </c>
      <c r="BH270" t="s">
        <v>22</v>
      </c>
      <c r="BI270">
        <v>20</v>
      </c>
      <c r="BJ270">
        <v>1771762585</v>
      </c>
      <c r="BK270">
        <v>200</v>
      </c>
      <c r="BL270">
        <v>5</v>
      </c>
      <c r="BM270">
        <v>2</v>
      </c>
      <c r="BN270">
        <v>1</v>
      </c>
      <c r="BO270">
        <v>0</v>
      </c>
      <c r="BP270">
        <v>0</v>
      </c>
      <c r="BQ270">
        <v>1</v>
      </c>
      <c r="BR270">
        <v>1</v>
      </c>
    </row>
    <row r="271" spans="49:70">
      <c r="AW271">
        <v>21</v>
      </c>
      <c r="AX271">
        <v>48.231524999999998</v>
      </c>
      <c r="AY271">
        <v>16.453990999999998</v>
      </c>
      <c r="AZ271">
        <v>1</v>
      </c>
      <c r="BA271">
        <v>382</v>
      </c>
      <c r="BB271">
        <v>382</v>
      </c>
      <c r="BC271">
        <v>1</v>
      </c>
      <c r="BD271" t="s">
        <v>1351</v>
      </c>
      <c r="BE271">
        <v>1771762589</v>
      </c>
      <c r="BF271">
        <v>1772135664</v>
      </c>
      <c r="BG271">
        <v>0.97154300000000005</v>
      </c>
      <c r="BH271" t="s">
        <v>22</v>
      </c>
      <c r="BI271">
        <v>20</v>
      </c>
      <c r="BJ271">
        <v>1771762589</v>
      </c>
      <c r="BK271">
        <v>200</v>
      </c>
      <c r="BL271">
        <v>5</v>
      </c>
      <c r="BM271">
        <v>2</v>
      </c>
      <c r="BN271">
        <v>1</v>
      </c>
      <c r="BO271">
        <v>0</v>
      </c>
      <c r="BP271">
        <v>0</v>
      </c>
      <c r="BQ271">
        <v>0.749</v>
      </c>
      <c r="BR271">
        <v>0.749</v>
      </c>
    </row>
    <row r="272" spans="49:70">
      <c r="AW272">
        <v>21</v>
      </c>
      <c r="AX272">
        <v>48.261620999999998</v>
      </c>
      <c r="AY272">
        <v>16.47522</v>
      </c>
      <c r="AZ272">
        <v>1</v>
      </c>
      <c r="BA272">
        <v>470</v>
      </c>
      <c r="BB272">
        <v>470</v>
      </c>
      <c r="BC272">
        <v>1</v>
      </c>
      <c r="BD272" t="s">
        <v>1351</v>
      </c>
      <c r="BE272">
        <v>1771762765</v>
      </c>
      <c r="BF272">
        <v>1772135664</v>
      </c>
      <c r="BG272">
        <v>0.97154300000000005</v>
      </c>
      <c r="BH272" t="s">
        <v>22</v>
      </c>
      <c r="BI272">
        <v>20</v>
      </c>
      <c r="BJ272">
        <v>1771762765</v>
      </c>
      <c r="BK272">
        <v>200</v>
      </c>
      <c r="BL272">
        <v>5</v>
      </c>
      <c r="BM272">
        <v>2</v>
      </c>
      <c r="BN272">
        <v>1</v>
      </c>
      <c r="BO272">
        <v>0</v>
      </c>
      <c r="BP272">
        <v>0</v>
      </c>
      <c r="BQ272">
        <v>0.92159999999999997</v>
      </c>
      <c r="BR272">
        <v>0.92159999999999997</v>
      </c>
    </row>
    <row r="273" spans="49:70">
      <c r="AW273">
        <v>21</v>
      </c>
      <c r="AX273">
        <v>48.2624</v>
      </c>
      <c r="AY273">
        <v>16.475180999999999</v>
      </c>
      <c r="AZ273">
        <v>1</v>
      </c>
      <c r="BA273">
        <v>470</v>
      </c>
      <c r="BB273">
        <v>470</v>
      </c>
      <c r="BC273">
        <v>1</v>
      </c>
      <c r="BD273" t="s">
        <v>1351</v>
      </c>
      <c r="BE273">
        <v>1771762768</v>
      </c>
      <c r="BF273">
        <v>1772135664</v>
      </c>
      <c r="BG273">
        <v>0.97154300000000005</v>
      </c>
      <c r="BH273" t="s">
        <v>22</v>
      </c>
      <c r="BI273">
        <v>20</v>
      </c>
      <c r="BJ273">
        <v>1771762768</v>
      </c>
      <c r="BK273">
        <v>200</v>
      </c>
      <c r="BL273">
        <v>5</v>
      </c>
      <c r="BM273">
        <v>2</v>
      </c>
      <c r="BN273">
        <v>1</v>
      </c>
      <c r="BO273">
        <v>0</v>
      </c>
      <c r="BP273">
        <v>0</v>
      </c>
      <c r="BQ273">
        <v>0.92159999999999997</v>
      </c>
      <c r="BR273">
        <v>0.92159999999999997</v>
      </c>
    </row>
    <row r="274" spans="49:70">
      <c r="AW274">
        <v>21</v>
      </c>
      <c r="AX274">
        <v>48.263210000000001</v>
      </c>
      <c r="AY274">
        <v>16.475414000000001</v>
      </c>
      <c r="AZ274">
        <v>1</v>
      </c>
      <c r="BA274">
        <v>382</v>
      </c>
      <c r="BB274">
        <v>382</v>
      </c>
      <c r="BC274">
        <v>1</v>
      </c>
      <c r="BD274" t="s">
        <v>1351</v>
      </c>
      <c r="BE274">
        <v>1771762771</v>
      </c>
      <c r="BF274">
        <v>1772135664</v>
      </c>
      <c r="BG274">
        <v>0.97154300000000005</v>
      </c>
      <c r="BH274" t="s">
        <v>22</v>
      </c>
      <c r="BI274">
        <v>20</v>
      </c>
      <c r="BJ274">
        <v>1771762771</v>
      </c>
      <c r="BK274">
        <v>200</v>
      </c>
      <c r="BL274">
        <v>5</v>
      </c>
      <c r="BM274">
        <v>2</v>
      </c>
      <c r="BN274">
        <v>1</v>
      </c>
      <c r="BO274">
        <v>0</v>
      </c>
      <c r="BP274">
        <v>0</v>
      </c>
      <c r="BQ274">
        <v>0.749</v>
      </c>
      <c r="BR274">
        <v>0.749</v>
      </c>
    </row>
    <row r="275" spans="49:70">
      <c r="AW275">
        <v>21</v>
      </c>
      <c r="AX275">
        <v>48.336553000000002</v>
      </c>
      <c r="AY275">
        <v>16.508956000000001</v>
      </c>
      <c r="AZ275">
        <v>1</v>
      </c>
      <c r="BA275">
        <v>510</v>
      </c>
      <c r="BB275">
        <v>510</v>
      </c>
      <c r="BC275">
        <v>1</v>
      </c>
      <c r="BD275" t="s">
        <v>1351</v>
      </c>
      <c r="BE275">
        <v>1771763170</v>
      </c>
      <c r="BF275">
        <v>1772135664</v>
      </c>
      <c r="BG275">
        <v>0.97154300000000005</v>
      </c>
      <c r="BH275" t="s">
        <v>22</v>
      </c>
      <c r="BI275">
        <v>20</v>
      </c>
      <c r="BJ275">
        <v>1771763170</v>
      </c>
      <c r="BK275">
        <v>200</v>
      </c>
      <c r="BL275">
        <v>5</v>
      </c>
      <c r="BM275">
        <v>2</v>
      </c>
      <c r="BN275">
        <v>1</v>
      </c>
      <c r="BO275">
        <v>0</v>
      </c>
      <c r="BP275">
        <v>0</v>
      </c>
      <c r="BQ275">
        <v>1</v>
      </c>
      <c r="BR275">
        <v>1</v>
      </c>
    </row>
    <row r="276" spans="49:70">
      <c r="AW276">
        <v>21</v>
      </c>
      <c r="AX276">
        <v>48.347586999999997</v>
      </c>
      <c r="AY276">
        <v>16.489644999999999</v>
      </c>
      <c r="AZ276">
        <v>1</v>
      </c>
      <c r="BA276">
        <v>390</v>
      </c>
      <c r="BB276">
        <v>390</v>
      </c>
      <c r="BC276">
        <v>1</v>
      </c>
      <c r="BD276" t="s">
        <v>1351</v>
      </c>
      <c r="BE276">
        <v>1771763235</v>
      </c>
      <c r="BF276">
        <v>1772135664</v>
      </c>
      <c r="BG276">
        <v>0.97154300000000005</v>
      </c>
      <c r="BH276" t="s">
        <v>22</v>
      </c>
      <c r="BI276">
        <v>20</v>
      </c>
      <c r="BJ276">
        <v>1771763235</v>
      </c>
      <c r="BK276">
        <v>200</v>
      </c>
      <c r="BL276">
        <v>5</v>
      </c>
      <c r="BM276">
        <v>2</v>
      </c>
      <c r="BN276">
        <v>1</v>
      </c>
      <c r="BO276">
        <v>0</v>
      </c>
      <c r="BP276">
        <v>0</v>
      </c>
      <c r="BQ276">
        <v>0.76470000000000005</v>
      </c>
      <c r="BR276">
        <v>0.76470000000000005</v>
      </c>
    </row>
    <row r="277" spans="49:70">
      <c r="AW277">
        <v>21</v>
      </c>
      <c r="AX277">
        <v>48.347683000000004</v>
      </c>
      <c r="AY277">
        <v>16.489051</v>
      </c>
      <c r="AZ277">
        <v>1</v>
      </c>
      <c r="BA277">
        <v>396</v>
      </c>
      <c r="BB277">
        <v>396</v>
      </c>
      <c r="BC277">
        <v>1</v>
      </c>
      <c r="BD277" t="s">
        <v>1351</v>
      </c>
      <c r="BE277">
        <v>1771763238</v>
      </c>
      <c r="BF277">
        <v>1772135664</v>
      </c>
      <c r="BG277">
        <v>0.97154300000000005</v>
      </c>
      <c r="BH277" t="s">
        <v>22</v>
      </c>
      <c r="BI277">
        <v>20</v>
      </c>
      <c r="BJ277">
        <v>1771763238</v>
      </c>
      <c r="BK277">
        <v>200</v>
      </c>
      <c r="BL277">
        <v>5</v>
      </c>
      <c r="BM277">
        <v>2</v>
      </c>
      <c r="BN277">
        <v>1</v>
      </c>
      <c r="BO277">
        <v>0</v>
      </c>
      <c r="BP277">
        <v>0</v>
      </c>
      <c r="BQ277">
        <v>0.77649999999999997</v>
      </c>
      <c r="BR277">
        <v>0.77649999999999997</v>
      </c>
    </row>
    <row r="278" spans="49:70">
      <c r="AW278">
        <v>21</v>
      </c>
      <c r="AX278">
        <v>48.400742999999999</v>
      </c>
      <c r="AY278">
        <v>16.525264</v>
      </c>
      <c r="AZ278">
        <v>1</v>
      </c>
      <c r="BA278">
        <v>400</v>
      </c>
      <c r="BB278">
        <v>400</v>
      </c>
      <c r="BC278">
        <v>1</v>
      </c>
      <c r="BD278" t="s">
        <v>1351</v>
      </c>
      <c r="BE278">
        <v>1771763520</v>
      </c>
      <c r="BF278">
        <v>1772135664</v>
      </c>
      <c r="BG278">
        <v>0.97154300000000005</v>
      </c>
      <c r="BH278" t="s">
        <v>22</v>
      </c>
      <c r="BI278">
        <v>20</v>
      </c>
      <c r="BJ278">
        <v>1771763520</v>
      </c>
      <c r="BK278">
        <v>200</v>
      </c>
      <c r="BL278">
        <v>5</v>
      </c>
      <c r="BM278">
        <v>2</v>
      </c>
      <c r="BN278">
        <v>1</v>
      </c>
      <c r="BO278">
        <v>0</v>
      </c>
      <c r="BP278">
        <v>0</v>
      </c>
      <c r="BQ278">
        <v>0.7843</v>
      </c>
      <c r="BR278">
        <v>0.7843</v>
      </c>
    </row>
    <row r="279" spans="49:70">
      <c r="AW279">
        <v>21</v>
      </c>
      <c r="AX279">
        <v>48.444361999999998</v>
      </c>
      <c r="AY279">
        <v>16.556207000000001</v>
      </c>
      <c r="AZ279">
        <v>1</v>
      </c>
      <c r="BA279">
        <v>368</v>
      </c>
      <c r="BB279">
        <v>368</v>
      </c>
      <c r="BC279">
        <v>1</v>
      </c>
      <c r="BD279" t="s">
        <v>1351</v>
      </c>
      <c r="BE279">
        <v>1771763717</v>
      </c>
      <c r="BF279">
        <v>1772135664</v>
      </c>
      <c r="BG279">
        <v>0.97154300000000005</v>
      </c>
      <c r="BH279" t="s">
        <v>22</v>
      </c>
      <c r="BI279">
        <v>20</v>
      </c>
      <c r="BJ279">
        <v>1771763717</v>
      </c>
      <c r="BK279">
        <v>200</v>
      </c>
      <c r="BL279">
        <v>5</v>
      </c>
      <c r="BM279">
        <v>2</v>
      </c>
      <c r="BN279">
        <v>1</v>
      </c>
      <c r="BO279">
        <v>0</v>
      </c>
      <c r="BP279">
        <v>0</v>
      </c>
      <c r="BQ279">
        <v>0.72160000000000002</v>
      </c>
      <c r="BR279">
        <v>0.72160000000000002</v>
      </c>
    </row>
    <row r="280" spans="49:70">
      <c r="AW280">
        <v>21</v>
      </c>
      <c r="AX280">
        <v>48.445278999999999</v>
      </c>
      <c r="AY280">
        <v>16.555859000000002</v>
      </c>
      <c r="AZ280">
        <v>1</v>
      </c>
      <c r="BA280">
        <v>424</v>
      </c>
      <c r="BB280">
        <v>424</v>
      </c>
      <c r="BC280">
        <v>1</v>
      </c>
      <c r="BD280" t="s">
        <v>1351</v>
      </c>
      <c r="BE280">
        <v>1771763721</v>
      </c>
      <c r="BF280">
        <v>1772135664</v>
      </c>
      <c r="BG280">
        <v>0.97154300000000005</v>
      </c>
      <c r="BH280" t="s">
        <v>22</v>
      </c>
      <c r="BI280">
        <v>20</v>
      </c>
      <c r="BJ280">
        <v>1771763721</v>
      </c>
      <c r="BK280">
        <v>200</v>
      </c>
      <c r="BL280">
        <v>5</v>
      </c>
      <c r="BM280">
        <v>2</v>
      </c>
      <c r="BN280">
        <v>1</v>
      </c>
      <c r="BO280">
        <v>0</v>
      </c>
      <c r="BP280">
        <v>0</v>
      </c>
      <c r="BQ280">
        <v>0.83140000000000003</v>
      </c>
      <c r="BR280">
        <v>0.83140000000000003</v>
      </c>
    </row>
    <row r="281" spans="49:70">
      <c r="AW281">
        <v>21</v>
      </c>
      <c r="AX281">
        <v>48.457990000000002</v>
      </c>
      <c r="AY281">
        <v>16.552606000000001</v>
      </c>
      <c r="AZ281">
        <v>1</v>
      </c>
      <c r="BA281">
        <v>510</v>
      </c>
      <c r="BB281">
        <v>510</v>
      </c>
      <c r="BC281">
        <v>1</v>
      </c>
      <c r="BD281" t="s">
        <v>1351</v>
      </c>
      <c r="BE281">
        <v>1771763773</v>
      </c>
      <c r="BF281">
        <v>1772135664</v>
      </c>
      <c r="BG281">
        <v>0.97154300000000005</v>
      </c>
      <c r="BH281" t="s">
        <v>22</v>
      </c>
      <c r="BI281">
        <v>20</v>
      </c>
      <c r="BJ281">
        <v>1771763773</v>
      </c>
      <c r="BK281">
        <v>200</v>
      </c>
      <c r="BL281">
        <v>5</v>
      </c>
      <c r="BM281">
        <v>2</v>
      </c>
      <c r="BN281">
        <v>1</v>
      </c>
      <c r="BO281">
        <v>0</v>
      </c>
      <c r="BP281">
        <v>0</v>
      </c>
      <c r="BQ281">
        <v>1</v>
      </c>
      <c r="BR281">
        <v>1</v>
      </c>
    </row>
    <row r="282" spans="49:70">
      <c r="AW282">
        <v>21</v>
      </c>
      <c r="AX282">
        <v>48.459251000000002</v>
      </c>
      <c r="AY282">
        <v>16.552824999999999</v>
      </c>
      <c r="AZ282">
        <v>1</v>
      </c>
      <c r="BA282">
        <v>466</v>
      </c>
      <c r="BB282">
        <v>466</v>
      </c>
      <c r="BC282">
        <v>1</v>
      </c>
      <c r="BD282" t="s">
        <v>1351</v>
      </c>
      <c r="BE282">
        <v>1771763781</v>
      </c>
      <c r="BF282">
        <v>1772135664</v>
      </c>
      <c r="BG282">
        <v>0.97154300000000005</v>
      </c>
      <c r="BH282" t="s">
        <v>22</v>
      </c>
      <c r="BI282">
        <v>20</v>
      </c>
      <c r="BJ282">
        <v>1771763781</v>
      </c>
      <c r="BK282">
        <v>200</v>
      </c>
      <c r="BL282">
        <v>5</v>
      </c>
      <c r="BM282">
        <v>2</v>
      </c>
      <c r="BN282">
        <v>1</v>
      </c>
      <c r="BO282">
        <v>0</v>
      </c>
      <c r="BP282">
        <v>0</v>
      </c>
      <c r="BQ282">
        <v>0.91369999999999996</v>
      </c>
      <c r="BR282">
        <v>0.91369999999999996</v>
      </c>
    </row>
    <row r="283" spans="49:70">
      <c r="AW283">
        <v>21</v>
      </c>
      <c r="AX283">
        <v>48.488712</v>
      </c>
      <c r="AY283">
        <v>16.581534999999999</v>
      </c>
      <c r="AZ283">
        <v>1</v>
      </c>
      <c r="BA283">
        <v>418</v>
      </c>
      <c r="BB283">
        <v>418</v>
      </c>
      <c r="BC283">
        <v>1</v>
      </c>
      <c r="BD283" t="s">
        <v>1351</v>
      </c>
      <c r="BE283">
        <v>1771763921</v>
      </c>
      <c r="BF283">
        <v>1772135664</v>
      </c>
      <c r="BG283">
        <v>0.97154300000000005</v>
      </c>
      <c r="BH283" t="s">
        <v>22</v>
      </c>
      <c r="BI283">
        <v>20</v>
      </c>
      <c r="BJ283">
        <v>1771763921</v>
      </c>
      <c r="BK283">
        <v>200</v>
      </c>
      <c r="BL283">
        <v>5</v>
      </c>
      <c r="BM283">
        <v>2</v>
      </c>
      <c r="BN283">
        <v>1</v>
      </c>
      <c r="BO283">
        <v>0</v>
      </c>
      <c r="BP283">
        <v>0</v>
      </c>
      <c r="BQ283">
        <v>0.8196</v>
      </c>
      <c r="BR283">
        <v>0.8196</v>
      </c>
    </row>
    <row r="284" spans="49:70">
      <c r="AW284">
        <v>21</v>
      </c>
      <c r="AX284">
        <v>48.611699999999999</v>
      </c>
      <c r="AY284">
        <v>16.674351999999999</v>
      </c>
      <c r="AZ284">
        <v>1</v>
      </c>
      <c r="BA284">
        <v>442</v>
      </c>
      <c r="BB284">
        <v>442</v>
      </c>
      <c r="BC284">
        <v>1</v>
      </c>
      <c r="BD284" t="s">
        <v>1351</v>
      </c>
      <c r="BE284">
        <v>1771764551</v>
      </c>
      <c r="BF284">
        <v>1772135664</v>
      </c>
      <c r="BG284">
        <v>0.97154300000000005</v>
      </c>
      <c r="BH284" t="s">
        <v>22</v>
      </c>
      <c r="BI284">
        <v>20</v>
      </c>
      <c r="BJ284">
        <v>1771764551</v>
      </c>
      <c r="BK284">
        <v>200</v>
      </c>
      <c r="BL284">
        <v>5</v>
      </c>
      <c r="BM284">
        <v>2</v>
      </c>
      <c r="BN284">
        <v>1</v>
      </c>
      <c r="BO284">
        <v>0</v>
      </c>
      <c r="BP284">
        <v>0</v>
      </c>
      <c r="BQ284">
        <v>0.86670000000000003</v>
      </c>
      <c r="BR284">
        <v>0.86670000000000003</v>
      </c>
    </row>
    <row r="285" spans="49:70">
      <c r="AW285">
        <v>21</v>
      </c>
      <c r="AX285">
        <v>48.623440000000002</v>
      </c>
      <c r="AY285">
        <v>16.675837000000001</v>
      </c>
      <c r="AZ285">
        <v>1</v>
      </c>
      <c r="BA285">
        <v>372</v>
      </c>
      <c r="BB285">
        <v>372</v>
      </c>
      <c r="BC285">
        <v>1</v>
      </c>
      <c r="BD285" t="s">
        <v>1351</v>
      </c>
      <c r="BE285">
        <v>1771764599</v>
      </c>
      <c r="BF285">
        <v>1772135664</v>
      </c>
      <c r="BG285">
        <v>0.97154300000000005</v>
      </c>
      <c r="BH285" t="s">
        <v>22</v>
      </c>
      <c r="BI285">
        <v>20</v>
      </c>
      <c r="BJ285">
        <v>1771764599</v>
      </c>
      <c r="BK285">
        <v>200</v>
      </c>
      <c r="BL285">
        <v>5</v>
      </c>
      <c r="BM285">
        <v>2</v>
      </c>
      <c r="BN285">
        <v>1</v>
      </c>
      <c r="BO285">
        <v>0</v>
      </c>
      <c r="BP285">
        <v>0</v>
      </c>
      <c r="BQ285">
        <v>0.72940000000000005</v>
      </c>
      <c r="BR285">
        <v>0.72940000000000005</v>
      </c>
    </row>
    <row r="286" spans="49:70">
      <c r="AW286">
        <v>21</v>
      </c>
      <c r="AX286">
        <v>48.625034999999997</v>
      </c>
      <c r="AY286">
        <v>16.676212</v>
      </c>
      <c r="AZ286">
        <v>1</v>
      </c>
      <c r="BA286">
        <v>418</v>
      </c>
      <c r="BB286">
        <v>418</v>
      </c>
      <c r="BC286">
        <v>1</v>
      </c>
      <c r="BD286" t="s">
        <v>1351</v>
      </c>
      <c r="BE286">
        <v>1771764605</v>
      </c>
      <c r="BF286">
        <v>1772135664</v>
      </c>
      <c r="BG286">
        <v>0.97154300000000005</v>
      </c>
      <c r="BH286" t="s">
        <v>22</v>
      </c>
      <c r="BI286">
        <v>20</v>
      </c>
      <c r="BJ286">
        <v>1771764605</v>
      </c>
      <c r="BK286">
        <v>200</v>
      </c>
      <c r="BL286">
        <v>5</v>
      </c>
      <c r="BM286">
        <v>2</v>
      </c>
      <c r="BN286">
        <v>1</v>
      </c>
      <c r="BO286">
        <v>0</v>
      </c>
      <c r="BP286">
        <v>0</v>
      </c>
      <c r="BQ286">
        <v>0.8196</v>
      </c>
      <c r="BR286">
        <v>0.8196</v>
      </c>
    </row>
    <row r="287" spans="49:70">
      <c r="AW287">
        <v>21</v>
      </c>
      <c r="AX287">
        <v>50.035165999999997</v>
      </c>
      <c r="AY287">
        <v>14.456110000000001</v>
      </c>
      <c r="AZ287">
        <v>1</v>
      </c>
      <c r="BA287">
        <v>362</v>
      </c>
      <c r="BB287">
        <v>362</v>
      </c>
      <c r="BC287">
        <v>1</v>
      </c>
      <c r="BD287" t="s">
        <v>1351</v>
      </c>
      <c r="BE287">
        <v>1771868762</v>
      </c>
      <c r="BF287">
        <v>1772135664</v>
      </c>
      <c r="BG287">
        <v>0.97154300000000005</v>
      </c>
      <c r="BH287" t="s">
        <v>22</v>
      </c>
      <c r="BI287">
        <v>20</v>
      </c>
      <c r="BJ287">
        <v>1771868762</v>
      </c>
      <c r="BK287">
        <v>200</v>
      </c>
      <c r="BL287">
        <v>5</v>
      </c>
      <c r="BM287">
        <v>2</v>
      </c>
      <c r="BN287">
        <v>1</v>
      </c>
      <c r="BO287">
        <v>0</v>
      </c>
      <c r="BP287">
        <v>0</v>
      </c>
      <c r="BQ287">
        <v>0.70979999999999999</v>
      </c>
      <c r="BR287">
        <v>0.70979999999999999</v>
      </c>
    </row>
    <row r="288" spans="49:70">
      <c r="AW288">
        <v>21</v>
      </c>
      <c r="AX288">
        <v>50.035043000000002</v>
      </c>
      <c r="AY288">
        <v>14.455574</v>
      </c>
      <c r="AZ288">
        <v>1</v>
      </c>
      <c r="BA288">
        <v>424</v>
      </c>
      <c r="BB288">
        <v>424</v>
      </c>
      <c r="BC288">
        <v>1</v>
      </c>
      <c r="BD288" t="s">
        <v>1351</v>
      </c>
      <c r="BE288">
        <v>1771868767</v>
      </c>
      <c r="BF288">
        <v>1772135664</v>
      </c>
      <c r="BG288">
        <v>0.97154300000000005</v>
      </c>
      <c r="BH288" t="s">
        <v>22</v>
      </c>
      <c r="BI288">
        <v>20</v>
      </c>
      <c r="BJ288">
        <v>1771868767</v>
      </c>
      <c r="BK288">
        <v>200</v>
      </c>
      <c r="BL288">
        <v>5</v>
      </c>
      <c r="BM288">
        <v>2</v>
      </c>
      <c r="BN288">
        <v>1</v>
      </c>
      <c r="BO288">
        <v>0</v>
      </c>
      <c r="BP288">
        <v>0</v>
      </c>
      <c r="BQ288">
        <v>0.83140000000000003</v>
      </c>
      <c r="BR288">
        <v>0.83140000000000003</v>
      </c>
    </row>
    <row r="289" spans="49:70">
      <c r="AW289">
        <v>21</v>
      </c>
      <c r="AX289">
        <v>50.038153999999999</v>
      </c>
      <c r="AY289">
        <v>14.458454</v>
      </c>
      <c r="AZ289">
        <v>1</v>
      </c>
      <c r="BA289">
        <v>390</v>
      </c>
      <c r="BB289">
        <v>390</v>
      </c>
      <c r="BC289">
        <v>1</v>
      </c>
      <c r="BD289" t="s">
        <v>1351</v>
      </c>
      <c r="BE289">
        <v>1771868863</v>
      </c>
      <c r="BF289">
        <v>1772135664</v>
      </c>
      <c r="BG289">
        <v>0.97154300000000005</v>
      </c>
      <c r="BH289" t="s">
        <v>22</v>
      </c>
      <c r="BI289">
        <v>20</v>
      </c>
      <c r="BJ289">
        <v>1771868863</v>
      </c>
      <c r="BK289">
        <v>200</v>
      </c>
      <c r="BL289">
        <v>5</v>
      </c>
      <c r="BM289">
        <v>2</v>
      </c>
      <c r="BN289">
        <v>1</v>
      </c>
      <c r="BO289">
        <v>0</v>
      </c>
      <c r="BP289">
        <v>0</v>
      </c>
      <c r="BQ289">
        <v>0.76470000000000005</v>
      </c>
      <c r="BR289">
        <v>0.76470000000000005</v>
      </c>
    </row>
    <row r="290" spans="49:70">
      <c r="AW290">
        <v>21</v>
      </c>
      <c r="AX290">
        <v>50.042071999999997</v>
      </c>
      <c r="AY290">
        <v>14.461045</v>
      </c>
      <c r="AZ290">
        <v>1</v>
      </c>
      <c r="BA290">
        <v>382</v>
      </c>
      <c r="BB290">
        <v>382</v>
      </c>
      <c r="BC290">
        <v>1</v>
      </c>
      <c r="BD290" t="s">
        <v>1351</v>
      </c>
      <c r="BE290">
        <v>1771868906</v>
      </c>
      <c r="BF290">
        <v>1772135664</v>
      </c>
      <c r="BG290">
        <v>0.97154300000000005</v>
      </c>
      <c r="BH290" t="s">
        <v>22</v>
      </c>
      <c r="BI290">
        <v>20</v>
      </c>
      <c r="BJ290">
        <v>1771868906</v>
      </c>
      <c r="BK290">
        <v>200</v>
      </c>
      <c r="BL290">
        <v>5</v>
      </c>
      <c r="BM290">
        <v>2</v>
      </c>
      <c r="BN290">
        <v>1</v>
      </c>
      <c r="BO290">
        <v>0</v>
      </c>
      <c r="BP290">
        <v>0</v>
      </c>
      <c r="BQ290">
        <v>0.749</v>
      </c>
      <c r="BR290">
        <v>0.749</v>
      </c>
    </row>
    <row r="291" spans="49:70">
      <c r="AW291">
        <v>21</v>
      </c>
      <c r="AX291">
        <v>50.041694999999997</v>
      </c>
      <c r="AY291">
        <v>14.461717</v>
      </c>
      <c r="AZ291">
        <v>1</v>
      </c>
      <c r="BA291">
        <v>372</v>
      </c>
      <c r="BB291">
        <v>372</v>
      </c>
      <c r="BC291">
        <v>1</v>
      </c>
      <c r="BD291" t="s">
        <v>1351</v>
      </c>
      <c r="BE291">
        <v>1771868915</v>
      </c>
      <c r="BF291">
        <v>1772135664</v>
      </c>
      <c r="BG291">
        <v>0.97154300000000005</v>
      </c>
      <c r="BH291" t="s">
        <v>22</v>
      </c>
      <c r="BI291">
        <v>20</v>
      </c>
      <c r="BJ291">
        <v>1771868915</v>
      </c>
      <c r="BK291">
        <v>200</v>
      </c>
      <c r="BL291">
        <v>5</v>
      </c>
      <c r="BM291">
        <v>2</v>
      </c>
      <c r="BN291">
        <v>1</v>
      </c>
      <c r="BO291">
        <v>0</v>
      </c>
      <c r="BP291">
        <v>0</v>
      </c>
      <c r="BQ291">
        <v>0.72940000000000005</v>
      </c>
      <c r="BR291">
        <v>0.72940000000000005</v>
      </c>
    </row>
    <row r="292" spans="49:70">
      <c r="AW292">
        <v>21</v>
      </c>
      <c r="AX292">
        <v>50.080421999999999</v>
      </c>
      <c r="AY292">
        <v>14.416694</v>
      </c>
      <c r="AZ292">
        <v>1</v>
      </c>
      <c r="BA292">
        <v>400</v>
      </c>
      <c r="BB292">
        <v>400</v>
      </c>
      <c r="BC292">
        <v>1</v>
      </c>
      <c r="BD292" t="s">
        <v>1351</v>
      </c>
      <c r="BE292">
        <v>1771891963</v>
      </c>
      <c r="BF292">
        <v>1772135664</v>
      </c>
      <c r="BG292">
        <v>0.97154300000000005</v>
      </c>
      <c r="BH292" t="s">
        <v>22</v>
      </c>
      <c r="BI292">
        <v>20</v>
      </c>
      <c r="BJ292">
        <v>1771891963</v>
      </c>
      <c r="BK292">
        <v>200</v>
      </c>
      <c r="BL292">
        <v>5</v>
      </c>
      <c r="BM292">
        <v>2</v>
      </c>
      <c r="BN292">
        <v>1</v>
      </c>
      <c r="BO292">
        <v>0</v>
      </c>
      <c r="BP292">
        <v>0</v>
      </c>
      <c r="BQ292">
        <v>0.7843</v>
      </c>
      <c r="BR292">
        <v>0.7843</v>
      </c>
    </row>
    <row r="293" spans="49:70">
      <c r="AW293">
        <v>21</v>
      </c>
      <c r="AX293">
        <v>50.080137999999998</v>
      </c>
      <c r="AY293">
        <v>14.416675</v>
      </c>
      <c r="AZ293">
        <v>1</v>
      </c>
      <c r="BA293">
        <v>358</v>
      </c>
      <c r="BB293">
        <v>358</v>
      </c>
      <c r="BC293">
        <v>1</v>
      </c>
      <c r="BD293" t="s">
        <v>1351</v>
      </c>
      <c r="BE293">
        <v>1771891998</v>
      </c>
      <c r="BF293">
        <v>1772135664</v>
      </c>
      <c r="BG293">
        <v>0.97154300000000005</v>
      </c>
      <c r="BH293" t="s">
        <v>22</v>
      </c>
      <c r="BI293">
        <v>20</v>
      </c>
      <c r="BJ293">
        <v>1771891998</v>
      </c>
      <c r="BK293">
        <v>200</v>
      </c>
      <c r="BL293">
        <v>5</v>
      </c>
      <c r="BM293">
        <v>2</v>
      </c>
      <c r="BN293">
        <v>1</v>
      </c>
      <c r="BO293">
        <v>0</v>
      </c>
      <c r="BP293">
        <v>0</v>
      </c>
      <c r="BQ293">
        <v>0.70199999999999996</v>
      </c>
      <c r="BR293">
        <v>0.70199999999999996</v>
      </c>
    </row>
    <row r="294" spans="49:70">
      <c r="AW294">
        <v>21</v>
      </c>
      <c r="AX294">
        <v>50.077005999999997</v>
      </c>
      <c r="AY294">
        <v>14.41859</v>
      </c>
      <c r="AZ294">
        <v>1</v>
      </c>
      <c r="BA294">
        <v>382</v>
      </c>
      <c r="BB294">
        <v>382</v>
      </c>
      <c r="BC294">
        <v>1</v>
      </c>
      <c r="BD294" t="s">
        <v>1351</v>
      </c>
      <c r="BE294">
        <v>1771892622</v>
      </c>
      <c r="BF294">
        <v>1772135664</v>
      </c>
      <c r="BG294">
        <v>0.97154300000000005</v>
      </c>
      <c r="BH294" t="s">
        <v>22</v>
      </c>
      <c r="BI294">
        <v>20</v>
      </c>
      <c r="BJ294">
        <v>1771892622</v>
      </c>
      <c r="BK294">
        <v>200</v>
      </c>
      <c r="BL294">
        <v>5</v>
      </c>
      <c r="BM294">
        <v>2</v>
      </c>
      <c r="BN294">
        <v>1</v>
      </c>
      <c r="BO294">
        <v>0</v>
      </c>
      <c r="BP294">
        <v>0</v>
      </c>
      <c r="BQ294">
        <v>0.749</v>
      </c>
      <c r="BR294">
        <v>0.749</v>
      </c>
    </row>
    <row r="295" spans="49:70">
      <c r="AW295">
        <v>21</v>
      </c>
      <c r="AX295">
        <v>50.071489</v>
      </c>
      <c r="AY295">
        <v>14.429252</v>
      </c>
      <c r="AZ295">
        <v>1</v>
      </c>
      <c r="BA295">
        <v>510</v>
      </c>
      <c r="BB295">
        <v>510</v>
      </c>
      <c r="BC295">
        <v>1</v>
      </c>
      <c r="BD295" t="s">
        <v>1351</v>
      </c>
      <c r="BE295">
        <v>1771892872</v>
      </c>
      <c r="BF295">
        <v>1772135664</v>
      </c>
      <c r="BG295">
        <v>0.97154300000000005</v>
      </c>
      <c r="BH295" t="s">
        <v>22</v>
      </c>
      <c r="BI295">
        <v>20</v>
      </c>
      <c r="BJ295">
        <v>1771892872</v>
      </c>
      <c r="BK295">
        <v>200</v>
      </c>
      <c r="BL295">
        <v>5</v>
      </c>
      <c r="BM295">
        <v>2</v>
      </c>
      <c r="BN295">
        <v>1</v>
      </c>
      <c r="BO295">
        <v>0</v>
      </c>
      <c r="BP295">
        <v>0</v>
      </c>
      <c r="BQ295">
        <v>1</v>
      </c>
      <c r="BR295">
        <v>1</v>
      </c>
    </row>
    <row r="296" spans="49:70">
      <c r="AW296">
        <v>21</v>
      </c>
      <c r="AX296">
        <v>50.070131000000003</v>
      </c>
      <c r="AY296">
        <v>14.429145</v>
      </c>
      <c r="AZ296">
        <v>1</v>
      </c>
      <c r="BA296">
        <v>470</v>
      </c>
      <c r="BB296">
        <v>470</v>
      </c>
      <c r="BC296">
        <v>1</v>
      </c>
      <c r="BD296" t="s">
        <v>1351</v>
      </c>
      <c r="BE296">
        <v>1771892891</v>
      </c>
      <c r="BF296">
        <v>1772135664</v>
      </c>
      <c r="BG296">
        <v>0.97154300000000005</v>
      </c>
      <c r="BH296" t="s">
        <v>22</v>
      </c>
      <c r="BI296">
        <v>20</v>
      </c>
      <c r="BJ296">
        <v>1771892891</v>
      </c>
      <c r="BK296">
        <v>200</v>
      </c>
      <c r="BL296">
        <v>5</v>
      </c>
      <c r="BM296">
        <v>2</v>
      </c>
      <c r="BN296">
        <v>1</v>
      </c>
      <c r="BO296">
        <v>0</v>
      </c>
      <c r="BP296">
        <v>0</v>
      </c>
      <c r="BQ296">
        <v>0.92159999999999997</v>
      </c>
      <c r="BR296">
        <v>0.92159999999999997</v>
      </c>
    </row>
    <row r="297" spans="49:70">
      <c r="AW297">
        <v>21</v>
      </c>
      <c r="AX297">
        <v>50.069280999999997</v>
      </c>
      <c r="AY297">
        <v>14.429954</v>
      </c>
      <c r="AZ297">
        <v>1</v>
      </c>
      <c r="BA297">
        <v>404</v>
      </c>
      <c r="BB297">
        <v>404</v>
      </c>
      <c r="BC297">
        <v>1</v>
      </c>
      <c r="BD297" t="s">
        <v>1351</v>
      </c>
      <c r="BE297">
        <v>1771892900</v>
      </c>
      <c r="BF297">
        <v>1772135664</v>
      </c>
      <c r="BG297">
        <v>0.97154300000000005</v>
      </c>
      <c r="BH297" t="s">
        <v>22</v>
      </c>
      <c r="BI297">
        <v>20</v>
      </c>
      <c r="BJ297">
        <v>1771892900</v>
      </c>
      <c r="BK297">
        <v>200</v>
      </c>
      <c r="BL297">
        <v>5</v>
      </c>
      <c r="BM297">
        <v>2</v>
      </c>
      <c r="BN297">
        <v>1</v>
      </c>
      <c r="BO297">
        <v>0</v>
      </c>
      <c r="BP297">
        <v>0</v>
      </c>
      <c r="BQ297">
        <v>0.79220000000000002</v>
      </c>
      <c r="BR297">
        <v>0.79220000000000002</v>
      </c>
    </row>
    <row r="298" spans="49:70">
      <c r="AW298">
        <v>21</v>
      </c>
      <c r="AX298">
        <v>50.062342999999998</v>
      </c>
      <c r="AY298">
        <v>14.430778</v>
      </c>
      <c r="AZ298">
        <v>1</v>
      </c>
      <c r="BA298">
        <v>488</v>
      </c>
      <c r="BB298">
        <v>488</v>
      </c>
      <c r="BC298">
        <v>1</v>
      </c>
      <c r="BD298" t="s">
        <v>1351</v>
      </c>
      <c r="BE298">
        <v>1771892967</v>
      </c>
      <c r="BF298">
        <v>1772135664</v>
      </c>
      <c r="BG298">
        <v>0.97154300000000005</v>
      </c>
      <c r="BH298" t="s">
        <v>22</v>
      </c>
      <c r="BI298">
        <v>20</v>
      </c>
      <c r="BJ298">
        <v>1771892967</v>
      </c>
      <c r="BK298">
        <v>200</v>
      </c>
      <c r="BL298">
        <v>5</v>
      </c>
      <c r="BM298">
        <v>2</v>
      </c>
      <c r="BN298">
        <v>1</v>
      </c>
      <c r="BO298">
        <v>0</v>
      </c>
      <c r="BP298">
        <v>0</v>
      </c>
      <c r="BQ298">
        <v>0.95689999999999997</v>
      </c>
      <c r="BR298">
        <v>0.95689999999999997</v>
      </c>
    </row>
    <row r="299" spans="49:70">
      <c r="AW299">
        <v>21</v>
      </c>
      <c r="AX299">
        <v>50.062204000000001</v>
      </c>
      <c r="AY299">
        <v>14.430415</v>
      </c>
      <c r="AZ299">
        <v>1</v>
      </c>
      <c r="BA299">
        <v>480</v>
      </c>
      <c r="BB299">
        <v>480</v>
      </c>
      <c r="BC299">
        <v>1</v>
      </c>
      <c r="BD299" t="s">
        <v>1351</v>
      </c>
      <c r="BE299">
        <v>1771892970</v>
      </c>
      <c r="BF299">
        <v>1772135664</v>
      </c>
      <c r="BG299">
        <v>0.97154300000000005</v>
      </c>
      <c r="BH299" t="s">
        <v>22</v>
      </c>
      <c r="BI299">
        <v>20</v>
      </c>
      <c r="BJ299">
        <v>1771892970</v>
      </c>
      <c r="BK299">
        <v>200</v>
      </c>
      <c r="BL299">
        <v>5</v>
      </c>
      <c r="BM299">
        <v>2</v>
      </c>
      <c r="BN299">
        <v>1</v>
      </c>
      <c r="BO299">
        <v>0</v>
      </c>
      <c r="BP299">
        <v>0</v>
      </c>
      <c r="BQ299">
        <v>0.94120000000000004</v>
      </c>
      <c r="BR299">
        <v>0.94120000000000004</v>
      </c>
    </row>
    <row r="300" spans="49:70">
      <c r="AW300">
        <v>21</v>
      </c>
      <c r="AX300">
        <v>50.062064999999997</v>
      </c>
      <c r="AY300">
        <v>14.430782000000001</v>
      </c>
      <c r="AZ300">
        <v>1</v>
      </c>
      <c r="BA300">
        <v>424</v>
      </c>
      <c r="BB300">
        <v>424</v>
      </c>
      <c r="BC300">
        <v>1</v>
      </c>
      <c r="BD300" t="s">
        <v>1351</v>
      </c>
      <c r="BE300">
        <v>1771892974</v>
      </c>
      <c r="BF300">
        <v>1772135664</v>
      </c>
      <c r="BG300">
        <v>0.97154300000000005</v>
      </c>
      <c r="BH300" t="s">
        <v>22</v>
      </c>
      <c r="BI300">
        <v>20</v>
      </c>
      <c r="BJ300">
        <v>1771892974</v>
      </c>
      <c r="BK300">
        <v>200</v>
      </c>
      <c r="BL300">
        <v>5</v>
      </c>
      <c r="BM300">
        <v>2</v>
      </c>
      <c r="BN300">
        <v>1</v>
      </c>
      <c r="BO300">
        <v>0</v>
      </c>
      <c r="BP300">
        <v>0</v>
      </c>
      <c r="BQ300">
        <v>0.83140000000000003</v>
      </c>
      <c r="BR300">
        <v>0.83140000000000003</v>
      </c>
    </row>
    <row r="301" spans="49:70">
      <c r="AW301">
        <v>21</v>
      </c>
      <c r="AX301">
        <v>50.061920000000001</v>
      </c>
      <c r="AY301">
        <v>14.430414000000001</v>
      </c>
      <c r="AZ301">
        <v>1</v>
      </c>
      <c r="BA301">
        <v>414</v>
      </c>
      <c r="BB301">
        <v>414</v>
      </c>
      <c r="BC301">
        <v>1</v>
      </c>
      <c r="BD301" t="s">
        <v>1351</v>
      </c>
      <c r="BE301">
        <v>1771892977</v>
      </c>
      <c r="BF301">
        <v>1772135664</v>
      </c>
      <c r="BG301">
        <v>0.97154300000000005</v>
      </c>
      <c r="BH301" t="s">
        <v>22</v>
      </c>
      <c r="BI301">
        <v>20</v>
      </c>
      <c r="BJ301">
        <v>1771892977</v>
      </c>
      <c r="BK301">
        <v>200</v>
      </c>
      <c r="BL301">
        <v>5</v>
      </c>
      <c r="BM301">
        <v>2</v>
      </c>
      <c r="BN301">
        <v>1</v>
      </c>
      <c r="BO301">
        <v>0</v>
      </c>
      <c r="BP301">
        <v>0</v>
      </c>
      <c r="BQ301">
        <v>0.81179999999999997</v>
      </c>
      <c r="BR301">
        <v>0.81179999999999997</v>
      </c>
    </row>
    <row r="302" spans="49:70">
      <c r="AW302">
        <v>21</v>
      </c>
      <c r="AX302">
        <v>50.060245000000002</v>
      </c>
      <c r="AY302">
        <v>14.428637</v>
      </c>
      <c r="AZ302">
        <v>1</v>
      </c>
      <c r="BA302">
        <v>452</v>
      </c>
      <c r="BB302">
        <v>452</v>
      </c>
      <c r="BC302">
        <v>1</v>
      </c>
      <c r="BD302" t="s">
        <v>1351</v>
      </c>
      <c r="BE302">
        <v>1771893002</v>
      </c>
      <c r="BF302">
        <v>1772135664</v>
      </c>
      <c r="BG302">
        <v>0.97154300000000005</v>
      </c>
      <c r="BH302" t="s">
        <v>22</v>
      </c>
      <c r="BI302">
        <v>20</v>
      </c>
      <c r="BJ302">
        <v>1771893002</v>
      </c>
      <c r="BK302">
        <v>200</v>
      </c>
      <c r="BL302">
        <v>5</v>
      </c>
      <c r="BM302">
        <v>2</v>
      </c>
      <c r="BN302">
        <v>1</v>
      </c>
      <c r="BO302">
        <v>0</v>
      </c>
      <c r="BP302">
        <v>0</v>
      </c>
      <c r="BQ302">
        <v>0.88629999999999998</v>
      </c>
      <c r="BR302">
        <v>0.88629999999999998</v>
      </c>
    </row>
    <row r="303" spans="49:70">
      <c r="AW303">
        <v>21</v>
      </c>
      <c r="AX303">
        <v>50.060009999999998</v>
      </c>
      <c r="AY303">
        <v>14.428884</v>
      </c>
      <c r="AZ303">
        <v>1</v>
      </c>
      <c r="BA303">
        <v>456</v>
      </c>
      <c r="BB303">
        <v>456</v>
      </c>
      <c r="BC303">
        <v>1</v>
      </c>
      <c r="BD303" t="s">
        <v>1351</v>
      </c>
      <c r="BE303">
        <v>1771893005</v>
      </c>
      <c r="BF303">
        <v>1772135664</v>
      </c>
      <c r="BG303">
        <v>0.97154300000000005</v>
      </c>
      <c r="BH303" t="s">
        <v>22</v>
      </c>
      <c r="BI303">
        <v>20</v>
      </c>
      <c r="BJ303">
        <v>1771893005</v>
      </c>
      <c r="BK303">
        <v>200</v>
      </c>
      <c r="BL303">
        <v>5</v>
      </c>
      <c r="BM303">
        <v>2</v>
      </c>
      <c r="BN303">
        <v>1</v>
      </c>
      <c r="BO303">
        <v>0</v>
      </c>
      <c r="BP303">
        <v>0</v>
      </c>
      <c r="BQ303">
        <v>0.89410000000000001</v>
      </c>
      <c r="BR303">
        <v>0.89410000000000001</v>
      </c>
    </row>
    <row r="304" spans="49:70">
      <c r="AW304">
        <v>21</v>
      </c>
      <c r="AX304">
        <v>50.058067999999999</v>
      </c>
      <c r="AY304">
        <v>14.432918000000001</v>
      </c>
      <c r="AZ304">
        <v>1</v>
      </c>
      <c r="BA304">
        <v>428</v>
      </c>
      <c r="BB304">
        <v>428</v>
      </c>
      <c r="BC304">
        <v>1</v>
      </c>
      <c r="BD304" t="s">
        <v>1351</v>
      </c>
      <c r="BE304">
        <v>1771893068</v>
      </c>
      <c r="BF304">
        <v>1772135664</v>
      </c>
      <c r="BG304">
        <v>0.97154300000000005</v>
      </c>
      <c r="BH304" t="s">
        <v>22</v>
      </c>
      <c r="BI304">
        <v>20</v>
      </c>
      <c r="BJ304">
        <v>1771893068</v>
      </c>
      <c r="BK304">
        <v>200</v>
      </c>
      <c r="BL304">
        <v>5</v>
      </c>
      <c r="BM304">
        <v>2</v>
      </c>
      <c r="BN304">
        <v>1</v>
      </c>
      <c r="BO304">
        <v>0</v>
      </c>
      <c r="BP304">
        <v>0</v>
      </c>
      <c r="BQ304">
        <v>0.83919999999999995</v>
      </c>
      <c r="BR304">
        <v>0.83919999999999995</v>
      </c>
    </row>
    <row r="305" spans="49:70">
      <c r="AW305">
        <v>21</v>
      </c>
      <c r="AX305">
        <v>50.057875000000003</v>
      </c>
      <c r="AY305">
        <v>14.433244</v>
      </c>
      <c r="AZ305">
        <v>1</v>
      </c>
      <c r="BA305">
        <v>498</v>
      </c>
      <c r="BB305">
        <v>498</v>
      </c>
      <c r="BC305">
        <v>1</v>
      </c>
      <c r="BD305" t="s">
        <v>1351</v>
      </c>
      <c r="BE305">
        <v>1771893073</v>
      </c>
      <c r="BF305">
        <v>1772135664</v>
      </c>
      <c r="BG305">
        <v>0.97154300000000005</v>
      </c>
      <c r="BH305" t="s">
        <v>22</v>
      </c>
      <c r="BI305">
        <v>20</v>
      </c>
      <c r="BJ305">
        <v>1771893073</v>
      </c>
      <c r="BK305">
        <v>200</v>
      </c>
      <c r="BL305">
        <v>5</v>
      </c>
      <c r="BM305">
        <v>2</v>
      </c>
      <c r="BN305">
        <v>1</v>
      </c>
      <c r="BO305">
        <v>0</v>
      </c>
      <c r="BP305">
        <v>0</v>
      </c>
      <c r="BQ305">
        <v>0.97650000000000003</v>
      </c>
      <c r="BR305">
        <v>0.97650000000000003</v>
      </c>
    </row>
    <row r="306" spans="49:70">
      <c r="AW306">
        <v>21</v>
      </c>
      <c r="AX306">
        <v>50.057817999999997</v>
      </c>
      <c r="AY306">
        <v>14.433664</v>
      </c>
      <c r="AZ306">
        <v>1</v>
      </c>
      <c r="BA306">
        <v>480</v>
      </c>
      <c r="BB306">
        <v>480</v>
      </c>
      <c r="BC306">
        <v>1</v>
      </c>
      <c r="BD306" t="s">
        <v>1351</v>
      </c>
      <c r="BE306">
        <v>1771893078</v>
      </c>
      <c r="BF306">
        <v>1772135664</v>
      </c>
      <c r="BG306">
        <v>0.97154300000000005</v>
      </c>
      <c r="BH306" t="s">
        <v>22</v>
      </c>
      <c r="BI306">
        <v>20</v>
      </c>
      <c r="BJ306">
        <v>1771893078</v>
      </c>
      <c r="BK306">
        <v>200</v>
      </c>
      <c r="BL306">
        <v>5</v>
      </c>
      <c r="BM306">
        <v>2</v>
      </c>
      <c r="BN306">
        <v>1</v>
      </c>
      <c r="BO306">
        <v>0</v>
      </c>
      <c r="BP306">
        <v>0</v>
      </c>
      <c r="BQ306">
        <v>0.94120000000000004</v>
      </c>
      <c r="BR306">
        <v>0.94120000000000004</v>
      </c>
    </row>
    <row r="307" spans="49:70">
      <c r="AW307">
        <v>21</v>
      </c>
      <c r="AX307">
        <v>50.057316999999998</v>
      </c>
      <c r="AY307">
        <v>14.434013</v>
      </c>
      <c r="AZ307">
        <v>1</v>
      </c>
      <c r="BA307">
        <v>452</v>
      </c>
      <c r="BB307">
        <v>452</v>
      </c>
      <c r="BC307">
        <v>1</v>
      </c>
      <c r="BD307" t="s">
        <v>1351</v>
      </c>
      <c r="BE307">
        <v>1771893082</v>
      </c>
      <c r="BF307">
        <v>1772135664</v>
      </c>
      <c r="BG307">
        <v>0.97154300000000005</v>
      </c>
      <c r="BH307" t="s">
        <v>22</v>
      </c>
      <c r="BI307">
        <v>20</v>
      </c>
      <c r="BJ307">
        <v>1771893082</v>
      </c>
      <c r="BK307">
        <v>200</v>
      </c>
      <c r="BL307">
        <v>5</v>
      </c>
      <c r="BM307">
        <v>2</v>
      </c>
      <c r="BN307">
        <v>1</v>
      </c>
      <c r="BO307">
        <v>0</v>
      </c>
      <c r="BP307">
        <v>0</v>
      </c>
      <c r="BQ307">
        <v>0.88629999999999998</v>
      </c>
      <c r="BR307">
        <v>0.88629999999999998</v>
      </c>
    </row>
    <row r="308" spans="49:70">
      <c r="AW308">
        <v>21</v>
      </c>
      <c r="AX308">
        <v>50.057082000000001</v>
      </c>
      <c r="AY308">
        <v>14.434215</v>
      </c>
      <c r="AZ308">
        <v>1</v>
      </c>
      <c r="BA308">
        <v>396</v>
      </c>
      <c r="BB308">
        <v>396</v>
      </c>
      <c r="BC308">
        <v>1</v>
      </c>
      <c r="BD308" t="s">
        <v>1351</v>
      </c>
      <c r="BE308">
        <v>1771893086</v>
      </c>
      <c r="BF308">
        <v>1772135664</v>
      </c>
      <c r="BG308">
        <v>0.97154300000000005</v>
      </c>
      <c r="BH308" t="s">
        <v>22</v>
      </c>
      <c r="BI308">
        <v>20</v>
      </c>
      <c r="BJ308">
        <v>1771893086</v>
      </c>
      <c r="BK308">
        <v>200</v>
      </c>
      <c r="BL308">
        <v>5</v>
      </c>
      <c r="BM308">
        <v>2</v>
      </c>
      <c r="BN308">
        <v>1</v>
      </c>
      <c r="BO308">
        <v>0</v>
      </c>
      <c r="BP308">
        <v>0</v>
      </c>
      <c r="BQ308">
        <v>0.77649999999999997</v>
      </c>
      <c r="BR308">
        <v>0.77649999999999997</v>
      </c>
    </row>
    <row r="309" spans="49:70">
      <c r="AW309">
        <v>21</v>
      </c>
      <c r="AX309">
        <v>50.056800000000003</v>
      </c>
      <c r="AY309">
        <v>14.434161</v>
      </c>
      <c r="AZ309">
        <v>1</v>
      </c>
      <c r="BA309">
        <v>362</v>
      </c>
      <c r="BB309">
        <v>362</v>
      </c>
      <c r="BC309">
        <v>1</v>
      </c>
      <c r="BD309" t="s">
        <v>1351</v>
      </c>
      <c r="BE309">
        <v>1771893091</v>
      </c>
      <c r="BF309">
        <v>1772135664</v>
      </c>
      <c r="BG309">
        <v>0.97154300000000005</v>
      </c>
      <c r="BH309" t="s">
        <v>22</v>
      </c>
      <c r="BI309">
        <v>20</v>
      </c>
      <c r="BJ309">
        <v>1771893091</v>
      </c>
      <c r="BK309">
        <v>200</v>
      </c>
      <c r="BL309">
        <v>5</v>
      </c>
      <c r="BM309">
        <v>2</v>
      </c>
      <c r="BN309">
        <v>1</v>
      </c>
      <c r="BO309">
        <v>0</v>
      </c>
      <c r="BP309">
        <v>0</v>
      </c>
      <c r="BQ309">
        <v>0.70979999999999999</v>
      </c>
      <c r="BR309">
        <v>0.70979999999999999</v>
      </c>
    </row>
    <row r="310" spans="49:70">
      <c r="AW310">
        <v>21</v>
      </c>
      <c r="AX310">
        <v>50.052750000000003</v>
      </c>
      <c r="AY310">
        <v>14.438133000000001</v>
      </c>
      <c r="AZ310">
        <v>1</v>
      </c>
      <c r="BA310">
        <v>354</v>
      </c>
      <c r="BB310">
        <v>354</v>
      </c>
      <c r="BC310">
        <v>1</v>
      </c>
      <c r="BD310" t="s">
        <v>1351</v>
      </c>
      <c r="BE310">
        <v>1771893175</v>
      </c>
      <c r="BF310">
        <v>1772135664</v>
      </c>
      <c r="BG310">
        <v>0.97154300000000005</v>
      </c>
      <c r="BH310" t="s">
        <v>22</v>
      </c>
      <c r="BI310">
        <v>20</v>
      </c>
      <c r="BJ310">
        <v>1771893175</v>
      </c>
      <c r="BK310">
        <v>200</v>
      </c>
      <c r="BL310">
        <v>5</v>
      </c>
      <c r="BM310">
        <v>2</v>
      </c>
      <c r="BN310">
        <v>1</v>
      </c>
      <c r="BO310">
        <v>0</v>
      </c>
      <c r="BP310">
        <v>0</v>
      </c>
      <c r="BQ310">
        <v>0.69410000000000005</v>
      </c>
      <c r="BR310">
        <v>0.69410000000000005</v>
      </c>
    </row>
    <row r="311" spans="49:70">
      <c r="AW311">
        <v>21</v>
      </c>
      <c r="AX311">
        <v>50.049151999999999</v>
      </c>
      <c r="AY311">
        <v>14.441678</v>
      </c>
      <c r="AZ311">
        <v>1</v>
      </c>
      <c r="BA311">
        <v>354</v>
      </c>
      <c r="BB311">
        <v>354</v>
      </c>
      <c r="BC311">
        <v>1</v>
      </c>
      <c r="BD311" t="s">
        <v>1351</v>
      </c>
      <c r="BE311">
        <v>1771893254</v>
      </c>
      <c r="BF311">
        <v>1772135664</v>
      </c>
      <c r="BG311">
        <v>0.97154300000000005</v>
      </c>
      <c r="BH311" t="s">
        <v>22</v>
      </c>
      <c r="BI311">
        <v>20</v>
      </c>
      <c r="BJ311">
        <v>1771893254</v>
      </c>
      <c r="BK311">
        <v>200</v>
      </c>
      <c r="BL311">
        <v>5</v>
      </c>
      <c r="BM311">
        <v>2</v>
      </c>
      <c r="BN311">
        <v>1</v>
      </c>
      <c r="BO311">
        <v>0</v>
      </c>
      <c r="BP311">
        <v>0</v>
      </c>
      <c r="BQ311">
        <v>0.69410000000000005</v>
      </c>
      <c r="BR311">
        <v>0.69410000000000005</v>
      </c>
    </row>
    <row r="312" spans="49:70">
      <c r="AW312">
        <v>21</v>
      </c>
      <c r="AX312">
        <v>50.047745999999997</v>
      </c>
      <c r="AY312">
        <v>14.444822</v>
      </c>
      <c r="AZ312">
        <v>1</v>
      </c>
      <c r="BA312">
        <v>382</v>
      </c>
      <c r="BB312">
        <v>382</v>
      </c>
      <c r="BC312">
        <v>1</v>
      </c>
      <c r="BD312" t="s">
        <v>1351</v>
      </c>
      <c r="BE312">
        <v>1771893305</v>
      </c>
      <c r="BF312">
        <v>1772135664</v>
      </c>
      <c r="BG312">
        <v>0.97154300000000005</v>
      </c>
      <c r="BH312" t="s">
        <v>22</v>
      </c>
      <c r="BI312">
        <v>20</v>
      </c>
      <c r="BJ312">
        <v>1771893305</v>
      </c>
      <c r="BK312">
        <v>200</v>
      </c>
      <c r="BL312">
        <v>5</v>
      </c>
      <c r="BM312">
        <v>2</v>
      </c>
      <c r="BN312">
        <v>1</v>
      </c>
      <c r="BO312">
        <v>0</v>
      </c>
      <c r="BP312">
        <v>0</v>
      </c>
      <c r="BQ312">
        <v>0.749</v>
      </c>
      <c r="BR312">
        <v>0.749</v>
      </c>
    </row>
    <row r="313" spans="49:70">
      <c r="AW313">
        <v>21</v>
      </c>
      <c r="AX313">
        <v>50.046014</v>
      </c>
      <c r="AY313">
        <v>14.447053</v>
      </c>
      <c r="AZ313">
        <v>1</v>
      </c>
      <c r="BA313">
        <v>372</v>
      </c>
      <c r="BB313">
        <v>372</v>
      </c>
      <c r="BC313">
        <v>1</v>
      </c>
      <c r="BD313" t="s">
        <v>1351</v>
      </c>
      <c r="BE313">
        <v>1771893327</v>
      </c>
      <c r="BF313">
        <v>1772135664</v>
      </c>
      <c r="BG313">
        <v>0.97154300000000005</v>
      </c>
      <c r="BH313" t="s">
        <v>22</v>
      </c>
      <c r="BI313">
        <v>20</v>
      </c>
      <c r="BJ313">
        <v>1771893327</v>
      </c>
      <c r="BK313">
        <v>200</v>
      </c>
      <c r="BL313">
        <v>5</v>
      </c>
      <c r="BM313">
        <v>2</v>
      </c>
      <c r="BN313">
        <v>1</v>
      </c>
      <c r="BO313">
        <v>0</v>
      </c>
      <c r="BP313">
        <v>0</v>
      </c>
      <c r="BQ313">
        <v>0.72940000000000005</v>
      </c>
      <c r="BR313">
        <v>0.72940000000000005</v>
      </c>
    </row>
    <row r="314" spans="49:70">
      <c r="AW314">
        <v>21</v>
      </c>
      <c r="AX314">
        <v>50.045527999999997</v>
      </c>
      <c r="AY314">
        <v>14.448358000000001</v>
      </c>
      <c r="AZ314">
        <v>1</v>
      </c>
      <c r="BA314">
        <v>390</v>
      </c>
      <c r="BB314">
        <v>390</v>
      </c>
      <c r="BC314">
        <v>1</v>
      </c>
      <c r="BD314" t="s">
        <v>1351</v>
      </c>
      <c r="BE314">
        <v>1771893344</v>
      </c>
      <c r="BF314">
        <v>1772135664</v>
      </c>
      <c r="BG314">
        <v>0.97154300000000005</v>
      </c>
      <c r="BH314" t="s">
        <v>22</v>
      </c>
      <c r="BI314">
        <v>20</v>
      </c>
      <c r="BJ314">
        <v>1771893344</v>
      </c>
      <c r="BK314">
        <v>200</v>
      </c>
      <c r="BL314">
        <v>5</v>
      </c>
      <c r="BM314">
        <v>2</v>
      </c>
      <c r="BN314">
        <v>1</v>
      </c>
      <c r="BO314">
        <v>0</v>
      </c>
      <c r="BP314">
        <v>0</v>
      </c>
      <c r="BQ314">
        <v>0.76470000000000005</v>
      </c>
      <c r="BR314">
        <v>0.76470000000000005</v>
      </c>
    </row>
    <row r="315" spans="49:70">
      <c r="AW315">
        <v>21</v>
      </c>
      <c r="AX315">
        <v>50.048116</v>
      </c>
      <c r="AY315">
        <v>14.456452000000001</v>
      </c>
      <c r="AZ315">
        <v>1</v>
      </c>
      <c r="BA315">
        <v>410</v>
      </c>
      <c r="BB315">
        <v>410</v>
      </c>
      <c r="BC315">
        <v>1</v>
      </c>
      <c r="BD315" t="s">
        <v>1351</v>
      </c>
      <c r="BE315">
        <v>1771893833</v>
      </c>
      <c r="BF315">
        <v>1772135664</v>
      </c>
      <c r="BG315">
        <v>0.97154300000000005</v>
      </c>
      <c r="BH315" t="s">
        <v>22</v>
      </c>
      <c r="BI315">
        <v>20</v>
      </c>
      <c r="BJ315">
        <v>1771893833</v>
      </c>
      <c r="BK315">
        <v>200</v>
      </c>
      <c r="BL315">
        <v>5</v>
      </c>
      <c r="BM315">
        <v>2</v>
      </c>
      <c r="BN315">
        <v>1</v>
      </c>
      <c r="BO315">
        <v>0</v>
      </c>
      <c r="BP315">
        <v>0</v>
      </c>
      <c r="BQ315">
        <v>0.80389999999999995</v>
      </c>
      <c r="BR315">
        <v>0.80389999999999995</v>
      </c>
    </row>
    <row r="316" spans="49:70">
      <c r="AW316">
        <v>21</v>
      </c>
      <c r="AX316">
        <v>50.048389</v>
      </c>
      <c r="AY316">
        <v>14.457451000000001</v>
      </c>
      <c r="AZ316">
        <v>1</v>
      </c>
      <c r="BA316">
        <v>438</v>
      </c>
      <c r="BB316">
        <v>438</v>
      </c>
      <c r="BC316">
        <v>1</v>
      </c>
      <c r="BD316" t="s">
        <v>1351</v>
      </c>
      <c r="BE316">
        <v>1771893841</v>
      </c>
      <c r="BF316">
        <v>1772135664</v>
      </c>
      <c r="BG316">
        <v>0.97154300000000005</v>
      </c>
      <c r="BH316" t="s">
        <v>22</v>
      </c>
      <c r="BI316">
        <v>20</v>
      </c>
      <c r="BJ316">
        <v>1771893841</v>
      </c>
      <c r="BK316">
        <v>200</v>
      </c>
      <c r="BL316">
        <v>5</v>
      </c>
      <c r="BM316">
        <v>2</v>
      </c>
      <c r="BN316">
        <v>1</v>
      </c>
      <c r="BO316">
        <v>0</v>
      </c>
      <c r="BP316">
        <v>0</v>
      </c>
      <c r="BQ316">
        <v>0.85880000000000001</v>
      </c>
      <c r="BR316">
        <v>0.85880000000000001</v>
      </c>
    </row>
    <row r="317" spans="49:70">
      <c r="AW317">
        <v>21</v>
      </c>
      <c r="AX317">
        <v>50.048499</v>
      </c>
      <c r="AY317">
        <v>14.457852000000001</v>
      </c>
      <c r="AZ317">
        <v>1</v>
      </c>
      <c r="BA317">
        <v>460</v>
      </c>
      <c r="BB317">
        <v>460</v>
      </c>
      <c r="BC317">
        <v>1</v>
      </c>
      <c r="BD317" t="s">
        <v>1351</v>
      </c>
      <c r="BE317">
        <v>1771893845</v>
      </c>
      <c r="BF317">
        <v>1772135664</v>
      </c>
      <c r="BG317">
        <v>0.97154300000000005</v>
      </c>
      <c r="BH317" t="s">
        <v>22</v>
      </c>
      <c r="BI317">
        <v>20</v>
      </c>
      <c r="BJ317">
        <v>1771893845</v>
      </c>
      <c r="BK317">
        <v>200</v>
      </c>
      <c r="BL317">
        <v>5</v>
      </c>
      <c r="BM317">
        <v>2</v>
      </c>
      <c r="BN317">
        <v>1</v>
      </c>
      <c r="BO317">
        <v>0</v>
      </c>
      <c r="BP317">
        <v>0</v>
      </c>
      <c r="BQ317">
        <v>0.90200000000000002</v>
      </c>
      <c r="BR317">
        <v>0.90200000000000002</v>
      </c>
    </row>
    <row r="318" spans="49:70">
      <c r="AW318">
        <v>21</v>
      </c>
      <c r="AX318">
        <v>50.048203000000001</v>
      </c>
      <c r="AY318">
        <v>14.45856</v>
      </c>
      <c r="AZ318">
        <v>1</v>
      </c>
      <c r="BA318">
        <v>396</v>
      </c>
      <c r="BB318">
        <v>396</v>
      </c>
      <c r="BC318">
        <v>1</v>
      </c>
      <c r="BD318" t="s">
        <v>1351</v>
      </c>
      <c r="BE318">
        <v>1771893849</v>
      </c>
      <c r="BF318">
        <v>1772135664</v>
      </c>
      <c r="BG318">
        <v>0.97154300000000005</v>
      </c>
      <c r="BH318" t="s">
        <v>22</v>
      </c>
      <c r="BI318">
        <v>20</v>
      </c>
      <c r="BJ318">
        <v>1771893849</v>
      </c>
      <c r="BK318">
        <v>200</v>
      </c>
      <c r="BL318">
        <v>5</v>
      </c>
      <c r="BM318">
        <v>2</v>
      </c>
      <c r="BN318">
        <v>1</v>
      </c>
      <c r="BO318">
        <v>0</v>
      </c>
      <c r="BP318">
        <v>0</v>
      </c>
      <c r="BQ318">
        <v>0.77649999999999997</v>
      </c>
      <c r="BR318">
        <v>0.77649999999999997</v>
      </c>
    </row>
    <row r="319" spans="49:70">
      <c r="AW319">
        <v>21</v>
      </c>
      <c r="AX319">
        <v>50.048788000000002</v>
      </c>
      <c r="AY319">
        <v>14.459655</v>
      </c>
      <c r="AZ319">
        <v>1</v>
      </c>
      <c r="BA319">
        <v>362</v>
      </c>
      <c r="BB319">
        <v>362</v>
      </c>
      <c r="BC319">
        <v>1</v>
      </c>
      <c r="BD319" t="s">
        <v>1351</v>
      </c>
      <c r="BE319">
        <v>1771893857</v>
      </c>
      <c r="BF319">
        <v>1772135664</v>
      </c>
      <c r="BG319">
        <v>0.97154300000000005</v>
      </c>
      <c r="BH319" t="s">
        <v>22</v>
      </c>
      <c r="BI319">
        <v>20</v>
      </c>
      <c r="BJ319">
        <v>1771893857</v>
      </c>
      <c r="BK319">
        <v>200</v>
      </c>
      <c r="BL319">
        <v>5</v>
      </c>
      <c r="BM319">
        <v>2</v>
      </c>
      <c r="BN319">
        <v>1</v>
      </c>
      <c r="BO319">
        <v>0</v>
      </c>
      <c r="BP319">
        <v>0</v>
      </c>
      <c r="BQ319">
        <v>0.70979999999999999</v>
      </c>
      <c r="BR319">
        <v>0.70979999999999999</v>
      </c>
    </row>
    <row r="320" spans="49:70">
      <c r="AW320">
        <v>21</v>
      </c>
      <c r="AX320">
        <v>50.04701</v>
      </c>
      <c r="AY320">
        <v>14.46048</v>
      </c>
      <c r="AZ320">
        <v>1</v>
      </c>
      <c r="BA320">
        <v>376</v>
      </c>
      <c r="BB320">
        <v>376</v>
      </c>
      <c r="BC320">
        <v>1</v>
      </c>
      <c r="BD320" t="s">
        <v>1351</v>
      </c>
      <c r="BE320">
        <v>1771893880</v>
      </c>
      <c r="BF320">
        <v>1772135664</v>
      </c>
      <c r="BG320">
        <v>0.97154300000000005</v>
      </c>
      <c r="BH320" t="s">
        <v>22</v>
      </c>
      <c r="BI320">
        <v>20</v>
      </c>
      <c r="BJ320">
        <v>1771893880</v>
      </c>
      <c r="BK320">
        <v>200</v>
      </c>
      <c r="BL320">
        <v>5</v>
      </c>
      <c r="BM320">
        <v>2</v>
      </c>
      <c r="BN320">
        <v>1</v>
      </c>
      <c r="BO320">
        <v>0</v>
      </c>
      <c r="BP320">
        <v>0</v>
      </c>
      <c r="BQ320">
        <v>0.73729999999999996</v>
      </c>
      <c r="BR320">
        <v>0.73729999999999996</v>
      </c>
    </row>
    <row r="321" spans="49:70">
      <c r="AW321">
        <v>21</v>
      </c>
      <c r="AX321">
        <v>50.046742000000002</v>
      </c>
      <c r="AY321">
        <v>14.460568</v>
      </c>
      <c r="AZ321">
        <v>1</v>
      </c>
      <c r="BA321">
        <v>418</v>
      </c>
      <c r="BB321">
        <v>418</v>
      </c>
      <c r="BC321">
        <v>1</v>
      </c>
      <c r="BD321" t="s">
        <v>1351</v>
      </c>
      <c r="BE321">
        <v>1771893885</v>
      </c>
      <c r="BF321">
        <v>1772135664</v>
      </c>
      <c r="BG321">
        <v>0.97154300000000005</v>
      </c>
      <c r="BH321" t="s">
        <v>22</v>
      </c>
      <c r="BI321">
        <v>20</v>
      </c>
      <c r="BJ321">
        <v>1771893885</v>
      </c>
      <c r="BK321">
        <v>200</v>
      </c>
      <c r="BL321">
        <v>5</v>
      </c>
      <c r="BM321">
        <v>2</v>
      </c>
      <c r="BN321">
        <v>1</v>
      </c>
      <c r="BO321">
        <v>0</v>
      </c>
      <c r="BP321">
        <v>0</v>
      </c>
      <c r="BQ321">
        <v>0.8196</v>
      </c>
      <c r="BR321">
        <v>0.8196</v>
      </c>
    </row>
    <row r="322" spans="49:70">
      <c r="AW322">
        <v>21</v>
      </c>
      <c r="AX322">
        <v>50.046472000000001</v>
      </c>
      <c r="AY322">
        <v>14.460649</v>
      </c>
      <c r="AZ322">
        <v>1</v>
      </c>
      <c r="BA322">
        <v>386</v>
      </c>
      <c r="BB322">
        <v>386</v>
      </c>
      <c r="BC322">
        <v>1</v>
      </c>
      <c r="BD322" t="s">
        <v>1351</v>
      </c>
      <c r="BE322">
        <v>1771893888</v>
      </c>
      <c r="BF322">
        <v>1772135664</v>
      </c>
      <c r="BG322">
        <v>0.97154300000000005</v>
      </c>
      <c r="BH322" t="s">
        <v>22</v>
      </c>
      <c r="BI322">
        <v>20</v>
      </c>
      <c r="BJ322">
        <v>1771893888</v>
      </c>
      <c r="BK322">
        <v>200</v>
      </c>
      <c r="BL322">
        <v>5</v>
      </c>
      <c r="BM322">
        <v>2</v>
      </c>
      <c r="BN322">
        <v>1</v>
      </c>
      <c r="BO322">
        <v>0</v>
      </c>
      <c r="BP322">
        <v>0</v>
      </c>
      <c r="BQ322">
        <v>0.75690000000000002</v>
      </c>
      <c r="BR322">
        <v>0.75690000000000002</v>
      </c>
    </row>
    <row r="323" spans="49:70">
      <c r="AW323">
        <v>21</v>
      </c>
      <c r="AX323">
        <v>50.046574999999997</v>
      </c>
      <c r="AY323">
        <v>14.46022</v>
      </c>
      <c r="AZ323">
        <v>1</v>
      </c>
      <c r="BA323">
        <v>428</v>
      </c>
      <c r="BB323">
        <v>428</v>
      </c>
      <c r="BC323">
        <v>1</v>
      </c>
      <c r="BD323" t="s">
        <v>1351</v>
      </c>
      <c r="BE323">
        <v>1771893892</v>
      </c>
      <c r="BF323">
        <v>1772135664</v>
      </c>
      <c r="BG323">
        <v>0.97154300000000005</v>
      </c>
      <c r="BH323" t="s">
        <v>22</v>
      </c>
      <c r="BI323">
        <v>20</v>
      </c>
      <c r="BJ323">
        <v>1771893892</v>
      </c>
      <c r="BK323">
        <v>200</v>
      </c>
      <c r="BL323">
        <v>5</v>
      </c>
      <c r="BM323">
        <v>2</v>
      </c>
      <c r="BN323">
        <v>1</v>
      </c>
      <c r="BO323">
        <v>0</v>
      </c>
      <c r="BP323">
        <v>0</v>
      </c>
      <c r="BQ323">
        <v>0.83919999999999995</v>
      </c>
      <c r="BR323">
        <v>0.83919999999999995</v>
      </c>
    </row>
    <row r="324" spans="49:70">
      <c r="AW324">
        <v>21</v>
      </c>
      <c r="AX324">
        <v>50.046315999999997</v>
      </c>
      <c r="AY324">
        <v>14.460305</v>
      </c>
      <c r="AZ324">
        <v>1</v>
      </c>
      <c r="BA324">
        <v>400</v>
      </c>
      <c r="BB324">
        <v>400</v>
      </c>
      <c r="BC324">
        <v>1</v>
      </c>
      <c r="BD324" t="s">
        <v>1351</v>
      </c>
      <c r="BE324">
        <v>1771893896</v>
      </c>
      <c r="BF324">
        <v>1772135664</v>
      </c>
      <c r="BG324">
        <v>0.97154300000000005</v>
      </c>
      <c r="BH324" t="s">
        <v>22</v>
      </c>
      <c r="BI324">
        <v>20</v>
      </c>
      <c r="BJ324">
        <v>1771893896</v>
      </c>
      <c r="BK324">
        <v>200</v>
      </c>
      <c r="BL324">
        <v>5</v>
      </c>
      <c r="BM324">
        <v>2</v>
      </c>
      <c r="BN324">
        <v>1</v>
      </c>
      <c r="BO324">
        <v>0</v>
      </c>
      <c r="BP324">
        <v>0</v>
      </c>
      <c r="BQ324">
        <v>0.7843</v>
      </c>
      <c r="BR324">
        <v>0.7843</v>
      </c>
    </row>
    <row r="325" spans="49:70">
      <c r="AW325">
        <v>21</v>
      </c>
      <c r="AX325">
        <v>50.046042999999997</v>
      </c>
      <c r="AY325">
        <v>14.460362999999999</v>
      </c>
      <c r="AZ325">
        <v>1</v>
      </c>
      <c r="BA325">
        <v>382</v>
      </c>
      <c r="BB325">
        <v>382</v>
      </c>
      <c r="BC325">
        <v>1</v>
      </c>
      <c r="BD325" t="s">
        <v>1351</v>
      </c>
      <c r="BE325">
        <v>1771893906</v>
      </c>
      <c r="BF325">
        <v>1772135664</v>
      </c>
      <c r="BG325">
        <v>0.97154300000000005</v>
      </c>
      <c r="BH325" t="s">
        <v>22</v>
      </c>
      <c r="BI325">
        <v>20</v>
      </c>
      <c r="BJ325">
        <v>1771893906</v>
      </c>
      <c r="BK325">
        <v>200</v>
      </c>
      <c r="BL325">
        <v>5</v>
      </c>
      <c r="BM325">
        <v>2</v>
      </c>
      <c r="BN325">
        <v>1</v>
      </c>
      <c r="BO325">
        <v>0</v>
      </c>
      <c r="BP325">
        <v>0</v>
      </c>
      <c r="BQ325">
        <v>0.749</v>
      </c>
      <c r="BR325">
        <v>0.749</v>
      </c>
    </row>
    <row r="326" spans="49:70">
      <c r="AW326">
        <v>21</v>
      </c>
      <c r="AX326">
        <v>50.042312000000003</v>
      </c>
      <c r="AY326">
        <v>14.46078</v>
      </c>
      <c r="AZ326">
        <v>1</v>
      </c>
      <c r="BA326">
        <v>390</v>
      </c>
      <c r="BB326">
        <v>390</v>
      </c>
      <c r="BC326">
        <v>1</v>
      </c>
      <c r="BD326" t="s">
        <v>1351</v>
      </c>
      <c r="BE326">
        <v>1771893997</v>
      </c>
      <c r="BF326">
        <v>1772135664</v>
      </c>
      <c r="BG326">
        <v>0.97154300000000005</v>
      </c>
      <c r="BH326" t="s">
        <v>22</v>
      </c>
      <c r="BI326">
        <v>20</v>
      </c>
      <c r="BJ326">
        <v>1771893997</v>
      </c>
      <c r="BK326">
        <v>200</v>
      </c>
      <c r="BL326">
        <v>5</v>
      </c>
      <c r="BM326">
        <v>2</v>
      </c>
      <c r="BN326">
        <v>1</v>
      </c>
      <c r="BO326">
        <v>0</v>
      </c>
      <c r="BP326">
        <v>0</v>
      </c>
      <c r="BQ326">
        <v>0.76470000000000005</v>
      </c>
      <c r="BR326">
        <v>0.76470000000000005</v>
      </c>
    </row>
    <row r="327" spans="49:70">
      <c r="AW327">
        <v>21</v>
      </c>
      <c r="AX327">
        <v>50.040965999999997</v>
      </c>
      <c r="AY327">
        <v>14.460041</v>
      </c>
      <c r="AZ327">
        <v>1</v>
      </c>
      <c r="BA327">
        <v>376</v>
      </c>
      <c r="BB327">
        <v>376</v>
      </c>
      <c r="BC327">
        <v>1</v>
      </c>
      <c r="BD327" t="s">
        <v>1351</v>
      </c>
      <c r="BE327">
        <v>1771894012</v>
      </c>
      <c r="BF327">
        <v>1772135664</v>
      </c>
      <c r="BG327">
        <v>0.97154300000000005</v>
      </c>
      <c r="BH327" t="s">
        <v>22</v>
      </c>
      <c r="BI327">
        <v>20</v>
      </c>
      <c r="BJ327">
        <v>1771894012</v>
      </c>
      <c r="BK327">
        <v>200</v>
      </c>
      <c r="BL327">
        <v>5</v>
      </c>
      <c r="BM327">
        <v>2</v>
      </c>
      <c r="BN327">
        <v>1</v>
      </c>
      <c r="BO327">
        <v>0</v>
      </c>
      <c r="BP327">
        <v>0</v>
      </c>
      <c r="BQ327">
        <v>0.73729999999999996</v>
      </c>
      <c r="BR327">
        <v>0.73729999999999996</v>
      </c>
    </row>
    <row r="328" spans="49:70">
      <c r="AW328">
        <v>21</v>
      </c>
      <c r="AX328">
        <v>50.038784</v>
      </c>
      <c r="AY328">
        <v>14.458614000000001</v>
      </c>
      <c r="AZ328">
        <v>1</v>
      </c>
      <c r="BA328">
        <v>508</v>
      </c>
      <c r="BB328">
        <v>508</v>
      </c>
      <c r="BC328">
        <v>1</v>
      </c>
      <c r="BD328" t="s">
        <v>1351</v>
      </c>
      <c r="BE328">
        <v>1771894039</v>
      </c>
      <c r="BF328">
        <v>1772135664</v>
      </c>
      <c r="BG328">
        <v>0.97154300000000005</v>
      </c>
      <c r="BH328" t="s">
        <v>22</v>
      </c>
      <c r="BI328">
        <v>20</v>
      </c>
      <c r="BJ328">
        <v>1771894039</v>
      </c>
      <c r="BK328">
        <v>200</v>
      </c>
      <c r="BL328">
        <v>5</v>
      </c>
      <c r="BM328">
        <v>2</v>
      </c>
      <c r="BN328">
        <v>1</v>
      </c>
      <c r="BO328">
        <v>0</v>
      </c>
      <c r="BP328">
        <v>0</v>
      </c>
      <c r="BQ328">
        <v>0.99609999999999999</v>
      </c>
      <c r="BR328">
        <v>0.99609999999999999</v>
      </c>
    </row>
    <row r="329" spans="49:70">
      <c r="AW329">
        <v>21</v>
      </c>
      <c r="AX329">
        <v>50.038549000000003</v>
      </c>
      <c r="AY329">
        <v>14.458335999999999</v>
      </c>
      <c r="AZ329">
        <v>1</v>
      </c>
      <c r="BA329">
        <v>510</v>
      </c>
      <c r="BB329">
        <v>510</v>
      </c>
      <c r="BC329">
        <v>1</v>
      </c>
      <c r="BD329" t="s">
        <v>1351</v>
      </c>
      <c r="BE329">
        <v>1771894044</v>
      </c>
      <c r="BF329">
        <v>1772135664</v>
      </c>
      <c r="BG329">
        <v>0.97154300000000005</v>
      </c>
      <c r="BH329" t="s">
        <v>22</v>
      </c>
      <c r="BI329">
        <v>20</v>
      </c>
      <c r="BJ329">
        <v>1771894044</v>
      </c>
      <c r="BK329">
        <v>200</v>
      </c>
      <c r="BL329">
        <v>5</v>
      </c>
      <c r="BM329">
        <v>2</v>
      </c>
      <c r="BN329">
        <v>1</v>
      </c>
      <c r="BO329">
        <v>0</v>
      </c>
      <c r="BP329">
        <v>0</v>
      </c>
      <c r="BQ329">
        <v>1</v>
      </c>
      <c r="BR329">
        <v>1</v>
      </c>
    </row>
    <row r="330" spans="49:70">
      <c r="AW330">
        <v>21</v>
      </c>
      <c r="AX330">
        <v>50.038311999999998</v>
      </c>
      <c r="AY330">
        <v>14.458107999999999</v>
      </c>
      <c r="AZ330">
        <v>1</v>
      </c>
      <c r="BA330">
        <v>460</v>
      </c>
      <c r="BB330">
        <v>460</v>
      </c>
      <c r="BC330">
        <v>1</v>
      </c>
      <c r="BD330" t="s">
        <v>1351</v>
      </c>
      <c r="BE330">
        <v>1771894050</v>
      </c>
      <c r="BF330">
        <v>1772135664</v>
      </c>
      <c r="BG330">
        <v>0.97154300000000005</v>
      </c>
      <c r="BH330" t="s">
        <v>22</v>
      </c>
      <c r="BI330">
        <v>20</v>
      </c>
      <c r="BJ330">
        <v>1771894050</v>
      </c>
      <c r="BK330">
        <v>200</v>
      </c>
      <c r="BL330">
        <v>5</v>
      </c>
      <c r="BM330">
        <v>2</v>
      </c>
      <c r="BN330">
        <v>1</v>
      </c>
      <c r="BO330">
        <v>0</v>
      </c>
      <c r="BP330">
        <v>0</v>
      </c>
      <c r="BQ330">
        <v>0.90200000000000002</v>
      </c>
      <c r="BR330">
        <v>0.90200000000000002</v>
      </c>
    </row>
    <row r="331" spans="49:70">
      <c r="AW331">
        <v>21</v>
      </c>
      <c r="AX331">
        <v>50.034973000000001</v>
      </c>
      <c r="AY331">
        <v>14.455166999999999</v>
      </c>
      <c r="AZ331">
        <v>1</v>
      </c>
      <c r="BA331">
        <v>442</v>
      </c>
      <c r="BB331">
        <v>442</v>
      </c>
      <c r="BC331">
        <v>1</v>
      </c>
      <c r="BD331" t="s">
        <v>1351</v>
      </c>
      <c r="BE331">
        <v>1771894103</v>
      </c>
      <c r="BF331">
        <v>1772135664</v>
      </c>
      <c r="BG331">
        <v>0.97154300000000005</v>
      </c>
      <c r="BH331" t="s">
        <v>22</v>
      </c>
      <c r="BI331">
        <v>20</v>
      </c>
      <c r="BJ331">
        <v>1771894103</v>
      </c>
      <c r="BK331">
        <v>200</v>
      </c>
      <c r="BL331">
        <v>5</v>
      </c>
      <c r="BM331">
        <v>2</v>
      </c>
      <c r="BN331">
        <v>1</v>
      </c>
      <c r="BO331">
        <v>0</v>
      </c>
      <c r="BP331">
        <v>0</v>
      </c>
      <c r="BQ331">
        <v>0.86670000000000003</v>
      </c>
      <c r="BR331">
        <v>0.86670000000000003</v>
      </c>
    </row>
    <row r="332" spans="49:70">
      <c r="AW332">
        <v>21</v>
      </c>
      <c r="AX332">
        <v>50.023663999999997</v>
      </c>
      <c r="AY332">
        <v>14.451836999999999</v>
      </c>
      <c r="AZ332">
        <v>1</v>
      </c>
      <c r="BA332">
        <v>386</v>
      </c>
      <c r="BB332">
        <v>386</v>
      </c>
      <c r="BC332">
        <v>1</v>
      </c>
      <c r="BD332" t="s">
        <v>1351</v>
      </c>
      <c r="BE332">
        <v>1771894317</v>
      </c>
      <c r="BF332">
        <v>1772135664</v>
      </c>
      <c r="BG332">
        <v>0.97154300000000005</v>
      </c>
      <c r="BH332" t="s">
        <v>22</v>
      </c>
      <c r="BI332">
        <v>20</v>
      </c>
      <c r="BJ332">
        <v>1771894317</v>
      </c>
      <c r="BK332">
        <v>200</v>
      </c>
      <c r="BL332">
        <v>5</v>
      </c>
      <c r="BM332">
        <v>2</v>
      </c>
      <c r="BN332">
        <v>1</v>
      </c>
      <c r="BO332">
        <v>0</v>
      </c>
      <c r="BP332">
        <v>0</v>
      </c>
      <c r="BQ332">
        <v>0.75690000000000002</v>
      </c>
      <c r="BR332">
        <v>0.75690000000000002</v>
      </c>
    </row>
    <row r="333" spans="49:70">
      <c r="AW333">
        <v>21</v>
      </c>
      <c r="AX333">
        <v>50.022477000000002</v>
      </c>
      <c r="AY333">
        <v>14.452662999999999</v>
      </c>
      <c r="AZ333">
        <v>1</v>
      </c>
      <c r="BA333">
        <v>362</v>
      </c>
      <c r="BB333">
        <v>362</v>
      </c>
      <c r="BC333">
        <v>1</v>
      </c>
      <c r="BD333" t="s">
        <v>1351</v>
      </c>
      <c r="BE333">
        <v>1771894409</v>
      </c>
      <c r="BF333">
        <v>1772135664</v>
      </c>
      <c r="BG333">
        <v>0.97154300000000005</v>
      </c>
      <c r="BH333" t="s">
        <v>22</v>
      </c>
      <c r="BI333">
        <v>20</v>
      </c>
      <c r="BJ333">
        <v>1771894409</v>
      </c>
      <c r="BK333">
        <v>200</v>
      </c>
      <c r="BL333">
        <v>5</v>
      </c>
      <c r="BM333">
        <v>2</v>
      </c>
      <c r="BN333">
        <v>1</v>
      </c>
      <c r="BO333">
        <v>0</v>
      </c>
      <c r="BP333">
        <v>0</v>
      </c>
      <c r="BQ333">
        <v>0.70979999999999999</v>
      </c>
      <c r="BR333">
        <v>0.70979999999999999</v>
      </c>
    </row>
    <row r="334" spans="49:70">
      <c r="AW334">
        <v>21</v>
      </c>
      <c r="AX334">
        <v>50.038170000000001</v>
      </c>
      <c r="AY334">
        <v>14.458881999999999</v>
      </c>
      <c r="AZ334">
        <v>1</v>
      </c>
      <c r="BA334">
        <v>438</v>
      </c>
      <c r="BB334">
        <v>438</v>
      </c>
      <c r="BC334">
        <v>1</v>
      </c>
      <c r="BD334" t="s">
        <v>1351</v>
      </c>
      <c r="BE334">
        <v>1771940664</v>
      </c>
      <c r="BF334">
        <v>1772135664</v>
      </c>
      <c r="BG334">
        <v>0.97154300000000005</v>
      </c>
      <c r="BH334" t="s">
        <v>22</v>
      </c>
      <c r="BI334">
        <v>20</v>
      </c>
      <c r="BJ334">
        <v>1771940664</v>
      </c>
      <c r="BK334">
        <v>200</v>
      </c>
      <c r="BL334">
        <v>5</v>
      </c>
      <c r="BM334">
        <v>2</v>
      </c>
      <c r="BN334">
        <v>1</v>
      </c>
      <c r="BO334">
        <v>0</v>
      </c>
      <c r="BP334">
        <v>0</v>
      </c>
      <c r="BQ334">
        <v>0.85880000000000001</v>
      </c>
      <c r="BR334">
        <v>0.85880000000000001</v>
      </c>
    </row>
    <row r="335" spans="49:70">
      <c r="AW335">
        <v>21</v>
      </c>
      <c r="AX335">
        <v>50.089616999999997</v>
      </c>
      <c r="AY335">
        <v>14.352102</v>
      </c>
      <c r="AZ335">
        <v>1</v>
      </c>
      <c r="BA335">
        <v>390</v>
      </c>
      <c r="BB335">
        <v>390</v>
      </c>
      <c r="BC335">
        <v>1</v>
      </c>
      <c r="BD335" t="s">
        <v>1351</v>
      </c>
      <c r="BE335">
        <v>1771970172</v>
      </c>
      <c r="BF335">
        <v>1772135664</v>
      </c>
      <c r="BG335">
        <v>0.97154300000000005</v>
      </c>
      <c r="BH335" t="s">
        <v>22</v>
      </c>
      <c r="BI335">
        <v>20</v>
      </c>
      <c r="BJ335">
        <v>1771970172</v>
      </c>
      <c r="BK335">
        <v>200</v>
      </c>
      <c r="BL335">
        <v>5</v>
      </c>
      <c r="BM335">
        <v>2</v>
      </c>
      <c r="BN335">
        <v>1</v>
      </c>
      <c r="BO335">
        <v>0</v>
      </c>
      <c r="BP335">
        <v>0</v>
      </c>
      <c r="BQ335">
        <v>0.76470000000000005</v>
      </c>
      <c r="BR335">
        <v>0.76470000000000005</v>
      </c>
    </row>
    <row r="336" spans="49:70">
      <c r="AW336">
        <v>21</v>
      </c>
      <c r="AX336">
        <v>50.090252</v>
      </c>
      <c r="AY336">
        <v>14.352053</v>
      </c>
      <c r="AZ336">
        <v>1</v>
      </c>
      <c r="BA336">
        <v>368</v>
      </c>
      <c r="BB336">
        <v>368</v>
      </c>
      <c r="BC336">
        <v>1</v>
      </c>
      <c r="BD336" t="s">
        <v>1351</v>
      </c>
      <c r="BE336">
        <v>1771970453</v>
      </c>
      <c r="BF336">
        <v>1772135664</v>
      </c>
      <c r="BG336">
        <v>0.97154300000000005</v>
      </c>
      <c r="BH336" t="s">
        <v>22</v>
      </c>
      <c r="BI336">
        <v>20</v>
      </c>
      <c r="BJ336">
        <v>1771970453</v>
      </c>
      <c r="BK336">
        <v>200</v>
      </c>
      <c r="BL336">
        <v>5</v>
      </c>
      <c r="BM336">
        <v>2</v>
      </c>
      <c r="BN336">
        <v>1</v>
      </c>
      <c r="BO336">
        <v>0</v>
      </c>
      <c r="BP336">
        <v>0</v>
      </c>
      <c r="BQ336">
        <v>0.72160000000000002</v>
      </c>
      <c r="BR336">
        <v>0.72160000000000002</v>
      </c>
    </row>
    <row r="337" spans="49:70">
      <c r="AW337">
        <v>21</v>
      </c>
      <c r="AX337">
        <v>50.090859000000002</v>
      </c>
      <c r="AY337">
        <v>14.356426000000001</v>
      </c>
      <c r="AZ337">
        <v>1</v>
      </c>
      <c r="BA337">
        <v>404</v>
      </c>
      <c r="BB337">
        <v>404</v>
      </c>
      <c r="BC337">
        <v>1</v>
      </c>
      <c r="BD337" t="s">
        <v>1351</v>
      </c>
      <c r="BE337">
        <v>1771970475</v>
      </c>
      <c r="BF337">
        <v>1772135664</v>
      </c>
      <c r="BG337">
        <v>0.97154300000000005</v>
      </c>
      <c r="BH337" t="s">
        <v>22</v>
      </c>
      <c r="BI337">
        <v>20</v>
      </c>
      <c r="BJ337">
        <v>1771970475</v>
      </c>
      <c r="BK337">
        <v>200</v>
      </c>
      <c r="BL337">
        <v>5</v>
      </c>
      <c r="BM337">
        <v>2</v>
      </c>
      <c r="BN337">
        <v>1</v>
      </c>
      <c r="BO337">
        <v>0</v>
      </c>
      <c r="BP337">
        <v>0</v>
      </c>
      <c r="BQ337">
        <v>0.79220000000000002</v>
      </c>
      <c r="BR337">
        <v>0.79220000000000002</v>
      </c>
    </row>
    <row r="338" spans="49:70">
      <c r="AW338">
        <v>21</v>
      </c>
      <c r="AX338">
        <v>50.091180999999999</v>
      </c>
      <c r="AY338">
        <v>14.357599</v>
      </c>
      <c r="AZ338">
        <v>1</v>
      </c>
      <c r="BA338">
        <v>404</v>
      </c>
      <c r="BB338">
        <v>404</v>
      </c>
      <c r="BC338">
        <v>1</v>
      </c>
      <c r="BD338" t="s">
        <v>1351</v>
      </c>
      <c r="BE338">
        <v>1771970482</v>
      </c>
      <c r="BF338">
        <v>1772135664</v>
      </c>
      <c r="BG338">
        <v>0.97154300000000005</v>
      </c>
      <c r="BH338" t="s">
        <v>22</v>
      </c>
      <c r="BI338">
        <v>20</v>
      </c>
      <c r="BJ338">
        <v>1771970482</v>
      </c>
      <c r="BK338">
        <v>200</v>
      </c>
      <c r="BL338">
        <v>5</v>
      </c>
      <c r="BM338">
        <v>2</v>
      </c>
      <c r="BN338">
        <v>1</v>
      </c>
      <c r="BO338">
        <v>0</v>
      </c>
      <c r="BP338">
        <v>0</v>
      </c>
      <c r="BQ338">
        <v>0.79220000000000002</v>
      </c>
      <c r="BR338">
        <v>0.79220000000000002</v>
      </c>
    </row>
    <row r="339" spans="49:70">
      <c r="AW339">
        <v>21</v>
      </c>
      <c r="AX339">
        <v>50.091267000000002</v>
      </c>
      <c r="AY339">
        <v>14.358015999999999</v>
      </c>
      <c r="AZ339">
        <v>1</v>
      </c>
      <c r="BA339">
        <v>362</v>
      </c>
      <c r="BB339">
        <v>362</v>
      </c>
      <c r="BC339">
        <v>1</v>
      </c>
      <c r="BD339" t="s">
        <v>1351</v>
      </c>
      <c r="BE339">
        <v>1771970488</v>
      </c>
      <c r="BF339">
        <v>1772135664</v>
      </c>
      <c r="BG339">
        <v>0.97154300000000005</v>
      </c>
      <c r="BH339" t="s">
        <v>22</v>
      </c>
      <c r="BI339">
        <v>20</v>
      </c>
      <c r="BJ339">
        <v>1771970488</v>
      </c>
      <c r="BK339">
        <v>200</v>
      </c>
      <c r="BL339">
        <v>5</v>
      </c>
      <c r="BM339">
        <v>2</v>
      </c>
      <c r="BN339">
        <v>1</v>
      </c>
      <c r="BO339">
        <v>0</v>
      </c>
      <c r="BP339">
        <v>0</v>
      </c>
      <c r="BQ339">
        <v>0.70979999999999999</v>
      </c>
      <c r="BR339">
        <v>0.70979999999999999</v>
      </c>
    </row>
    <row r="340" spans="49:70">
      <c r="AW340">
        <v>21</v>
      </c>
      <c r="AX340">
        <v>50.092080000000003</v>
      </c>
      <c r="AY340">
        <v>14.360237</v>
      </c>
      <c r="AZ340">
        <v>1</v>
      </c>
      <c r="BA340">
        <v>404</v>
      </c>
      <c r="BB340">
        <v>404</v>
      </c>
      <c r="BC340">
        <v>1</v>
      </c>
      <c r="BD340" t="s">
        <v>1351</v>
      </c>
      <c r="BE340">
        <v>1771970504</v>
      </c>
      <c r="BF340">
        <v>1772135664</v>
      </c>
      <c r="BG340">
        <v>0.97154300000000005</v>
      </c>
      <c r="BH340" t="s">
        <v>22</v>
      </c>
      <c r="BI340">
        <v>20</v>
      </c>
      <c r="BJ340">
        <v>1771970504</v>
      </c>
      <c r="BK340">
        <v>200</v>
      </c>
      <c r="BL340">
        <v>5</v>
      </c>
      <c r="BM340">
        <v>2</v>
      </c>
      <c r="BN340">
        <v>1</v>
      </c>
      <c r="BO340">
        <v>0</v>
      </c>
      <c r="BP340">
        <v>0</v>
      </c>
      <c r="BQ340">
        <v>0.79220000000000002</v>
      </c>
      <c r="BR340">
        <v>0.79220000000000002</v>
      </c>
    </row>
    <row r="341" spans="49:70">
      <c r="AW341">
        <v>21</v>
      </c>
      <c r="AX341">
        <v>50.092083000000002</v>
      </c>
      <c r="AY341">
        <v>14.360654</v>
      </c>
      <c r="AZ341">
        <v>1</v>
      </c>
      <c r="BA341">
        <v>382</v>
      </c>
      <c r="BB341">
        <v>382</v>
      </c>
      <c r="BC341">
        <v>1</v>
      </c>
      <c r="BD341" t="s">
        <v>1351</v>
      </c>
      <c r="BE341">
        <v>1771970523</v>
      </c>
      <c r="BF341">
        <v>1772135664</v>
      </c>
      <c r="BG341">
        <v>0.97154300000000005</v>
      </c>
      <c r="BH341" t="s">
        <v>22</v>
      </c>
      <c r="BI341">
        <v>20</v>
      </c>
      <c r="BJ341">
        <v>1771970523</v>
      </c>
      <c r="BK341">
        <v>200</v>
      </c>
      <c r="BL341">
        <v>5</v>
      </c>
      <c r="BM341">
        <v>2</v>
      </c>
      <c r="BN341">
        <v>1</v>
      </c>
      <c r="BO341">
        <v>0</v>
      </c>
      <c r="BP341">
        <v>0</v>
      </c>
      <c r="BQ341">
        <v>0.749</v>
      </c>
      <c r="BR341">
        <v>0.749</v>
      </c>
    </row>
    <row r="342" spans="49:70">
      <c r="AW342">
        <v>21</v>
      </c>
      <c r="AX342">
        <v>50.092097000000003</v>
      </c>
      <c r="AY342">
        <v>14.361090000000001</v>
      </c>
      <c r="AZ342">
        <v>1</v>
      </c>
      <c r="BA342">
        <v>404</v>
      </c>
      <c r="BB342">
        <v>404</v>
      </c>
      <c r="BC342">
        <v>1</v>
      </c>
      <c r="BD342" t="s">
        <v>1351</v>
      </c>
      <c r="BE342">
        <v>1771970527</v>
      </c>
      <c r="BF342">
        <v>1772135664</v>
      </c>
      <c r="BG342">
        <v>0.97154300000000005</v>
      </c>
      <c r="BH342" t="s">
        <v>22</v>
      </c>
      <c r="BI342">
        <v>20</v>
      </c>
      <c r="BJ342">
        <v>1771970527</v>
      </c>
      <c r="BK342">
        <v>200</v>
      </c>
      <c r="BL342">
        <v>5</v>
      </c>
      <c r="BM342">
        <v>2</v>
      </c>
      <c r="BN342">
        <v>1</v>
      </c>
      <c r="BO342">
        <v>0</v>
      </c>
      <c r="BP342">
        <v>0</v>
      </c>
      <c r="BQ342">
        <v>0.79220000000000002</v>
      </c>
      <c r="BR342">
        <v>0.79220000000000002</v>
      </c>
    </row>
    <row r="343" spans="49:70">
      <c r="AW343">
        <v>21</v>
      </c>
      <c r="AX343">
        <v>50.092131000000002</v>
      </c>
      <c r="AY343">
        <v>14.361724000000001</v>
      </c>
      <c r="AZ343">
        <v>1</v>
      </c>
      <c r="BA343">
        <v>428</v>
      </c>
      <c r="BB343">
        <v>428</v>
      </c>
      <c r="BC343">
        <v>1</v>
      </c>
      <c r="BD343" t="s">
        <v>1351</v>
      </c>
      <c r="BE343">
        <v>1771970531</v>
      </c>
      <c r="BF343">
        <v>1772135664</v>
      </c>
      <c r="BG343">
        <v>0.97154300000000005</v>
      </c>
      <c r="BH343" t="s">
        <v>22</v>
      </c>
      <c r="BI343">
        <v>20</v>
      </c>
      <c r="BJ343">
        <v>1771970531</v>
      </c>
      <c r="BK343">
        <v>200</v>
      </c>
      <c r="BL343">
        <v>5</v>
      </c>
      <c r="BM343">
        <v>2</v>
      </c>
      <c r="BN343">
        <v>1</v>
      </c>
      <c r="BO343">
        <v>0</v>
      </c>
      <c r="BP343">
        <v>0</v>
      </c>
      <c r="BQ343">
        <v>0.83919999999999995</v>
      </c>
      <c r="BR343">
        <v>0.83919999999999995</v>
      </c>
    </row>
    <row r="344" spans="49:70">
      <c r="AW344">
        <v>21</v>
      </c>
      <c r="AX344">
        <v>50.092104999999997</v>
      </c>
      <c r="AY344">
        <v>14.362159</v>
      </c>
      <c r="AZ344">
        <v>1</v>
      </c>
      <c r="BA344">
        <v>432</v>
      </c>
      <c r="BB344">
        <v>432</v>
      </c>
      <c r="BC344">
        <v>1</v>
      </c>
      <c r="BD344" t="s">
        <v>1351</v>
      </c>
      <c r="BE344">
        <v>1771970535</v>
      </c>
      <c r="BF344">
        <v>1772135664</v>
      </c>
      <c r="BG344">
        <v>0.97154300000000005</v>
      </c>
      <c r="BH344" t="s">
        <v>22</v>
      </c>
      <c r="BI344">
        <v>20</v>
      </c>
      <c r="BJ344">
        <v>1771970535</v>
      </c>
      <c r="BK344">
        <v>200</v>
      </c>
      <c r="BL344">
        <v>5</v>
      </c>
      <c r="BM344">
        <v>2</v>
      </c>
      <c r="BN344">
        <v>1</v>
      </c>
      <c r="BO344">
        <v>0</v>
      </c>
      <c r="BP344">
        <v>0</v>
      </c>
      <c r="BQ344">
        <v>0.84709999999999996</v>
      </c>
      <c r="BR344">
        <v>0.84709999999999996</v>
      </c>
    </row>
    <row r="345" spans="49:70">
      <c r="AW345">
        <v>21</v>
      </c>
      <c r="AX345">
        <v>50.092126999999998</v>
      </c>
      <c r="AY345">
        <v>14.362636</v>
      </c>
      <c r="AZ345">
        <v>1</v>
      </c>
      <c r="BA345">
        <v>376</v>
      </c>
      <c r="BB345">
        <v>376</v>
      </c>
      <c r="BC345">
        <v>1</v>
      </c>
      <c r="BD345" t="s">
        <v>1351</v>
      </c>
      <c r="BE345">
        <v>1771970539</v>
      </c>
      <c r="BF345">
        <v>1772135664</v>
      </c>
      <c r="BG345">
        <v>0.97154300000000005</v>
      </c>
      <c r="BH345" t="s">
        <v>22</v>
      </c>
      <c r="BI345">
        <v>20</v>
      </c>
      <c r="BJ345">
        <v>1771970539</v>
      </c>
      <c r="BK345">
        <v>200</v>
      </c>
      <c r="BL345">
        <v>5</v>
      </c>
      <c r="BM345">
        <v>2</v>
      </c>
      <c r="BN345">
        <v>1</v>
      </c>
      <c r="BO345">
        <v>0</v>
      </c>
      <c r="BP345">
        <v>0</v>
      </c>
      <c r="BQ345">
        <v>0.73729999999999996</v>
      </c>
      <c r="BR345">
        <v>0.73729999999999996</v>
      </c>
    </row>
    <row r="346" spans="49:70">
      <c r="AW346">
        <v>21</v>
      </c>
      <c r="AX346">
        <v>50.092953000000001</v>
      </c>
      <c r="AY346">
        <v>14.385327</v>
      </c>
      <c r="AZ346">
        <v>1</v>
      </c>
      <c r="BA346">
        <v>442</v>
      </c>
      <c r="BB346">
        <v>442</v>
      </c>
      <c r="BC346">
        <v>1</v>
      </c>
      <c r="BD346" t="s">
        <v>1351</v>
      </c>
      <c r="BE346">
        <v>1771970738</v>
      </c>
      <c r="BF346">
        <v>1772135664</v>
      </c>
      <c r="BG346">
        <v>0.97154300000000005</v>
      </c>
      <c r="BH346" t="s">
        <v>22</v>
      </c>
      <c r="BI346">
        <v>20</v>
      </c>
      <c r="BJ346">
        <v>1771970738</v>
      </c>
      <c r="BK346">
        <v>200</v>
      </c>
      <c r="BL346">
        <v>5</v>
      </c>
      <c r="BM346">
        <v>2</v>
      </c>
      <c r="BN346">
        <v>1</v>
      </c>
      <c r="BO346">
        <v>0</v>
      </c>
      <c r="BP346">
        <v>0</v>
      </c>
      <c r="BQ346">
        <v>0.86670000000000003</v>
      </c>
      <c r="BR346">
        <v>0.86670000000000003</v>
      </c>
    </row>
    <row r="347" spans="49:70">
      <c r="AW347">
        <v>21</v>
      </c>
      <c r="AX347">
        <v>50.092747000000003</v>
      </c>
      <c r="AY347">
        <v>14.387178</v>
      </c>
      <c r="AZ347">
        <v>1</v>
      </c>
      <c r="BA347">
        <v>410</v>
      </c>
      <c r="BB347">
        <v>410</v>
      </c>
      <c r="BC347">
        <v>1</v>
      </c>
      <c r="BD347" t="s">
        <v>1351</v>
      </c>
      <c r="BE347">
        <v>1771970755</v>
      </c>
      <c r="BF347">
        <v>1772135664</v>
      </c>
      <c r="BG347">
        <v>0.97154300000000005</v>
      </c>
      <c r="BH347" t="s">
        <v>22</v>
      </c>
      <c r="BI347">
        <v>20</v>
      </c>
      <c r="BJ347">
        <v>1771970755</v>
      </c>
      <c r="BK347">
        <v>200</v>
      </c>
      <c r="BL347">
        <v>5</v>
      </c>
      <c r="BM347">
        <v>2</v>
      </c>
      <c r="BN347">
        <v>1</v>
      </c>
      <c r="BO347">
        <v>0</v>
      </c>
      <c r="BP347">
        <v>0</v>
      </c>
      <c r="BQ347">
        <v>0.80389999999999995</v>
      </c>
      <c r="BR347">
        <v>0.80389999999999995</v>
      </c>
    </row>
    <row r="348" spans="49:70">
      <c r="AW348">
        <v>21</v>
      </c>
      <c r="AX348">
        <v>50.092607000000001</v>
      </c>
      <c r="AY348">
        <v>14.387560000000001</v>
      </c>
      <c r="AZ348">
        <v>1</v>
      </c>
      <c r="BA348">
        <v>404</v>
      </c>
      <c r="BB348">
        <v>404</v>
      </c>
      <c r="BC348">
        <v>1</v>
      </c>
      <c r="BD348" t="s">
        <v>1351</v>
      </c>
      <c r="BE348">
        <v>1771970762</v>
      </c>
      <c r="BF348">
        <v>1772135664</v>
      </c>
      <c r="BG348">
        <v>0.97154300000000005</v>
      </c>
      <c r="BH348" t="s">
        <v>22</v>
      </c>
      <c r="BI348">
        <v>20</v>
      </c>
      <c r="BJ348">
        <v>1771970762</v>
      </c>
      <c r="BK348">
        <v>200</v>
      </c>
      <c r="BL348">
        <v>5</v>
      </c>
      <c r="BM348">
        <v>2</v>
      </c>
      <c r="BN348">
        <v>1</v>
      </c>
      <c r="BO348">
        <v>0</v>
      </c>
      <c r="BP348">
        <v>0</v>
      </c>
      <c r="BQ348">
        <v>0.79220000000000002</v>
      </c>
      <c r="BR348">
        <v>0.79220000000000002</v>
      </c>
    </row>
    <row r="349" spans="49:70">
      <c r="AW349">
        <v>21</v>
      </c>
      <c r="AX349">
        <v>50.092761000000003</v>
      </c>
      <c r="AY349">
        <v>14.387929</v>
      </c>
      <c r="AZ349">
        <v>1</v>
      </c>
      <c r="BA349">
        <v>386</v>
      </c>
      <c r="BB349">
        <v>386</v>
      </c>
      <c r="BC349">
        <v>1</v>
      </c>
      <c r="BD349" t="s">
        <v>1351</v>
      </c>
      <c r="BE349">
        <v>1771970767</v>
      </c>
      <c r="BF349">
        <v>1772135664</v>
      </c>
      <c r="BG349">
        <v>0.97154300000000005</v>
      </c>
      <c r="BH349" t="s">
        <v>22</v>
      </c>
      <c r="BI349">
        <v>20</v>
      </c>
      <c r="BJ349">
        <v>1771970767</v>
      </c>
      <c r="BK349">
        <v>200</v>
      </c>
      <c r="BL349">
        <v>5</v>
      </c>
      <c r="BM349">
        <v>2</v>
      </c>
      <c r="BN349">
        <v>1</v>
      </c>
      <c r="BO349">
        <v>0</v>
      </c>
      <c r="BP349">
        <v>0</v>
      </c>
      <c r="BQ349">
        <v>0.75690000000000002</v>
      </c>
      <c r="BR349">
        <v>0.75690000000000002</v>
      </c>
    </row>
    <row r="350" spans="49:70">
      <c r="AW350">
        <v>21</v>
      </c>
      <c r="AX350">
        <v>50.093203000000003</v>
      </c>
      <c r="AY350">
        <v>14.389056</v>
      </c>
      <c r="AZ350">
        <v>1</v>
      </c>
      <c r="BA350">
        <v>372</v>
      </c>
      <c r="BB350">
        <v>372</v>
      </c>
      <c r="BC350">
        <v>1</v>
      </c>
      <c r="BD350" t="s">
        <v>1351</v>
      </c>
      <c r="BE350">
        <v>1771970781</v>
      </c>
      <c r="BF350">
        <v>1772135664</v>
      </c>
      <c r="BG350">
        <v>0.97154300000000005</v>
      </c>
      <c r="BH350" t="s">
        <v>22</v>
      </c>
      <c r="BI350">
        <v>20</v>
      </c>
      <c r="BJ350">
        <v>1771970781</v>
      </c>
      <c r="BK350">
        <v>200</v>
      </c>
      <c r="BL350">
        <v>5</v>
      </c>
      <c r="BM350">
        <v>2</v>
      </c>
      <c r="BN350">
        <v>1</v>
      </c>
      <c r="BO350">
        <v>0</v>
      </c>
      <c r="BP350">
        <v>0</v>
      </c>
      <c r="BQ350">
        <v>0.72940000000000005</v>
      </c>
      <c r="BR350">
        <v>0.72940000000000005</v>
      </c>
    </row>
    <row r="351" spans="49:70">
      <c r="AW351">
        <v>21</v>
      </c>
      <c r="AX351">
        <v>50.095222999999997</v>
      </c>
      <c r="AY351">
        <v>14.395466000000001</v>
      </c>
      <c r="AZ351">
        <v>1</v>
      </c>
      <c r="BA351">
        <v>428</v>
      </c>
      <c r="BB351">
        <v>428</v>
      </c>
      <c r="BC351">
        <v>1</v>
      </c>
      <c r="BD351" t="s">
        <v>1351</v>
      </c>
      <c r="BE351">
        <v>1771970893</v>
      </c>
      <c r="BF351">
        <v>1772135664</v>
      </c>
      <c r="BG351">
        <v>0.97154300000000005</v>
      </c>
      <c r="BH351" t="s">
        <v>22</v>
      </c>
      <c r="BI351">
        <v>20</v>
      </c>
      <c r="BJ351">
        <v>1771970893</v>
      </c>
      <c r="BK351">
        <v>200</v>
      </c>
      <c r="BL351">
        <v>5</v>
      </c>
      <c r="BM351">
        <v>2</v>
      </c>
      <c r="BN351">
        <v>1</v>
      </c>
      <c r="BO351">
        <v>0</v>
      </c>
      <c r="BP351">
        <v>0</v>
      </c>
      <c r="BQ351">
        <v>0.83919999999999995</v>
      </c>
      <c r="BR351">
        <v>0.83919999999999995</v>
      </c>
    </row>
    <row r="352" spans="49:70">
      <c r="AW352">
        <v>21</v>
      </c>
      <c r="AX352">
        <v>50.098602</v>
      </c>
      <c r="AY352">
        <v>14.412628</v>
      </c>
      <c r="AZ352">
        <v>1</v>
      </c>
      <c r="BA352">
        <v>368</v>
      </c>
      <c r="BB352">
        <v>368</v>
      </c>
      <c r="BC352">
        <v>1</v>
      </c>
      <c r="BD352" t="s">
        <v>1351</v>
      </c>
      <c r="BE352">
        <v>1771971102</v>
      </c>
      <c r="BF352">
        <v>1772135664</v>
      </c>
      <c r="BG352">
        <v>0.97154300000000005</v>
      </c>
      <c r="BH352" t="s">
        <v>22</v>
      </c>
      <c r="BI352">
        <v>20</v>
      </c>
      <c r="BJ352">
        <v>1771971102</v>
      </c>
      <c r="BK352">
        <v>200</v>
      </c>
      <c r="BL352">
        <v>5</v>
      </c>
      <c r="BM352">
        <v>2</v>
      </c>
      <c r="BN352">
        <v>1</v>
      </c>
      <c r="BO352">
        <v>0</v>
      </c>
      <c r="BP352">
        <v>0</v>
      </c>
      <c r="BQ352">
        <v>0.72160000000000002</v>
      </c>
      <c r="BR352">
        <v>0.72160000000000002</v>
      </c>
    </row>
    <row r="353" spans="49:70">
      <c r="AW353">
        <v>21</v>
      </c>
      <c r="AX353">
        <v>50.098849000000001</v>
      </c>
      <c r="AY353">
        <v>14.413788</v>
      </c>
      <c r="AZ353">
        <v>1</v>
      </c>
      <c r="BA353">
        <v>418</v>
      </c>
      <c r="BB353">
        <v>418</v>
      </c>
      <c r="BC353">
        <v>1</v>
      </c>
      <c r="BD353" t="s">
        <v>1351</v>
      </c>
      <c r="BE353">
        <v>1771971106</v>
      </c>
      <c r="BF353">
        <v>1772135664</v>
      </c>
      <c r="BG353">
        <v>0.97154300000000005</v>
      </c>
      <c r="BH353" t="s">
        <v>22</v>
      </c>
      <c r="BI353">
        <v>20</v>
      </c>
      <c r="BJ353">
        <v>1771971106</v>
      </c>
      <c r="BK353">
        <v>200</v>
      </c>
      <c r="BL353">
        <v>5</v>
      </c>
      <c r="BM353">
        <v>2</v>
      </c>
      <c r="BN353">
        <v>1</v>
      </c>
      <c r="BO353">
        <v>0</v>
      </c>
      <c r="BP353">
        <v>0</v>
      </c>
      <c r="BQ353">
        <v>0.8196</v>
      </c>
      <c r="BR353">
        <v>0.8196</v>
      </c>
    </row>
    <row r="354" spans="49:70">
      <c r="AW354">
        <v>21</v>
      </c>
      <c r="AX354">
        <v>50.099741000000002</v>
      </c>
      <c r="AY354">
        <v>14.422407</v>
      </c>
      <c r="AZ354">
        <v>1</v>
      </c>
      <c r="BA354">
        <v>390</v>
      </c>
      <c r="BB354">
        <v>390</v>
      </c>
      <c r="BC354">
        <v>1</v>
      </c>
      <c r="BD354" t="s">
        <v>1351</v>
      </c>
      <c r="BE354">
        <v>1771971190</v>
      </c>
      <c r="BF354">
        <v>1772135664</v>
      </c>
      <c r="BG354">
        <v>0.97154300000000005</v>
      </c>
      <c r="BH354" t="s">
        <v>22</v>
      </c>
      <c r="BI354">
        <v>20</v>
      </c>
      <c r="BJ354">
        <v>1771971190</v>
      </c>
      <c r="BK354">
        <v>200</v>
      </c>
      <c r="BL354">
        <v>5</v>
      </c>
      <c r="BM354">
        <v>2</v>
      </c>
      <c r="BN354">
        <v>1</v>
      </c>
      <c r="BO354">
        <v>0</v>
      </c>
      <c r="BP354">
        <v>0</v>
      </c>
      <c r="BQ354">
        <v>0.76470000000000005</v>
      </c>
      <c r="BR354">
        <v>0.76470000000000005</v>
      </c>
    </row>
    <row r="355" spans="49:70">
      <c r="AW355">
        <v>21</v>
      </c>
      <c r="AX355">
        <v>50.099576999999996</v>
      </c>
      <c r="AY355">
        <v>14.423631</v>
      </c>
      <c r="AZ355">
        <v>1</v>
      </c>
      <c r="BA355">
        <v>348</v>
      </c>
      <c r="BB355">
        <v>348</v>
      </c>
      <c r="BC355">
        <v>1</v>
      </c>
      <c r="BD355" t="s">
        <v>1351</v>
      </c>
      <c r="BE355">
        <v>1771971207</v>
      </c>
      <c r="BF355">
        <v>1772135664</v>
      </c>
      <c r="BG355">
        <v>0.97154300000000005</v>
      </c>
      <c r="BH355" t="s">
        <v>22</v>
      </c>
      <c r="BI355">
        <v>20</v>
      </c>
      <c r="BJ355">
        <v>1771971207</v>
      </c>
      <c r="BK355">
        <v>200</v>
      </c>
      <c r="BL355">
        <v>5</v>
      </c>
      <c r="BM355">
        <v>2</v>
      </c>
      <c r="BN355">
        <v>1</v>
      </c>
      <c r="BO355">
        <v>0</v>
      </c>
      <c r="BP355">
        <v>0</v>
      </c>
      <c r="BQ355">
        <v>0.68240000000000001</v>
      </c>
      <c r="BR355">
        <v>0.68240000000000001</v>
      </c>
    </row>
    <row r="356" spans="49:70">
      <c r="AW356">
        <v>21</v>
      </c>
      <c r="AX356">
        <v>50.099739</v>
      </c>
      <c r="AY356">
        <v>14.426195</v>
      </c>
      <c r="AZ356">
        <v>1</v>
      </c>
      <c r="BA356">
        <v>390</v>
      </c>
      <c r="BB356">
        <v>390</v>
      </c>
      <c r="BC356">
        <v>1</v>
      </c>
      <c r="BD356" t="s">
        <v>1351</v>
      </c>
      <c r="BE356">
        <v>1771971249</v>
      </c>
      <c r="BF356">
        <v>1772135664</v>
      </c>
      <c r="BG356">
        <v>0.97154300000000005</v>
      </c>
      <c r="BH356" t="s">
        <v>22</v>
      </c>
      <c r="BI356">
        <v>20</v>
      </c>
      <c r="BJ356">
        <v>1771971249</v>
      </c>
      <c r="BK356">
        <v>200</v>
      </c>
      <c r="BL356">
        <v>5</v>
      </c>
      <c r="BM356">
        <v>2</v>
      </c>
      <c r="BN356">
        <v>1</v>
      </c>
      <c r="BO356">
        <v>0</v>
      </c>
      <c r="BP356">
        <v>0</v>
      </c>
      <c r="BQ356">
        <v>0.76470000000000005</v>
      </c>
      <c r="BR356">
        <v>0.76470000000000005</v>
      </c>
    </row>
    <row r="357" spans="49:70">
      <c r="AW357">
        <v>21</v>
      </c>
      <c r="AX357">
        <v>50.100265999999998</v>
      </c>
      <c r="AY357">
        <v>14.426183999999999</v>
      </c>
      <c r="AZ357">
        <v>1</v>
      </c>
      <c r="BA357">
        <v>390</v>
      </c>
      <c r="BB357">
        <v>390</v>
      </c>
      <c r="BC357">
        <v>1</v>
      </c>
      <c r="BD357" t="s">
        <v>1351</v>
      </c>
      <c r="BE357">
        <v>1771971254</v>
      </c>
      <c r="BF357">
        <v>1772135664</v>
      </c>
      <c r="BG357">
        <v>0.97154300000000005</v>
      </c>
      <c r="BH357" t="s">
        <v>22</v>
      </c>
      <c r="BI357">
        <v>20</v>
      </c>
      <c r="BJ357">
        <v>1771971254</v>
      </c>
      <c r="BK357">
        <v>200</v>
      </c>
      <c r="BL357">
        <v>5</v>
      </c>
      <c r="BM357">
        <v>2</v>
      </c>
      <c r="BN357">
        <v>1</v>
      </c>
      <c r="BO357">
        <v>0</v>
      </c>
      <c r="BP357">
        <v>0</v>
      </c>
      <c r="BQ357">
        <v>0.76470000000000005</v>
      </c>
      <c r="BR357">
        <v>0.76470000000000005</v>
      </c>
    </row>
    <row r="358" spans="49:70">
      <c r="AW358">
        <v>21</v>
      </c>
      <c r="AX358">
        <v>50.080275999999998</v>
      </c>
      <c r="AY358">
        <v>14.431436</v>
      </c>
      <c r="AZ358">
        <v>1</v>
      </c>
      <c r="BA358">
        <v>390</v>
      </c>
      <c r="BB358">
        <v>390</v>
      </c>
      <c r="BC358">
        <v>1</v>
      </c>
      <c r="BD358" t="s">
        <v>1351</v>
      </c>
      <c r="BE358">
        <v>1772019233</v>
      </c>
      <c r="BF358">
        <v>1772135664</v>
      </c>
      <c r="BG358">
        <v>0.97154300000000005</v>
      </c>
      <c r="BH358" t="s">
        <v>22</v>
      </c>
      <c r="BI358">
        <v>20</v>
      </c>
      <c r="BJ358">
        <v>1772019233</v>
      </c>
      <c r="BK358">
        <v>200</v>
      </c>
      <c r="BL358">
        <v>5</v>
      </c>
      <c r="BM358">
        <v>2</v>
      </c>
      <c r="BN358">
        <v>1</v>
      </c>
      <c r="BO358">
        <v>0</v>
      </c>
      <c r="BP358">
        <v>0</v>
      </c>
      <c r="BQ358">
        <v>0.76470000000000005</v>
      </c>
      <c r="BR358">
        <v>0.76470000000000005</v>
      </c>
    </row>
    <row r="359" spans="49:70">
      <c r="AW359">
        <v>21</v>
      </c>
      <c r="AX359">
        <v>50.080412000000003</v>
      </c>
      <c r="AY359">
        <v>14.431027</v>
      </c>
      <c r="AZ359">
        <v>1</v>
      </c>
      <c r="BA359">
        <v>410</v>
      </c>
      <c r="BB359">
        <v>410</v>
      </c>
      <c r="BC359">
        <v>1</v>
      </c>
      <c r="BD359" t="s">
        <v>1351</v>
      </c>
      <c r="BE359">
        <v>1772019237</v>
      </c>
      <c r="BF359">
        <v>1772135664</v>
      </c>
      <c r="BG359">
        <v>0.97154300000000005</v>
      </c>
      <c r="BH359" t="s">
        <v>22</v>
      </c>
      <c r="BI359">
        <v>20</v>
      </c>
      <c r="BJ359">
        <v>1772019237</v>
      </c>
      <c r="BK359">
        <v>200</v>
      </c>
      <c r="BL359">
        <v>5</v>
      </c>
      <c r="BM359">
        <v>2</v>
      </c>
      <c r="BN359">
        <v>1</v>
      </c>
      <c r="BO359">
        <v>0</v>
      </c>
      <c r="BP359">
        <v>0</v>
      </c>
      <c r="BQ359">
        <v>0.80389999999999995</v>
      </c>
      <c r="BR359">
        <v>0.80389999999999995</v>
      </c>
    </row>
    <row r="360" spans="49:70">
      <c r="AW360">
        <v>21</v>
      </c>
      <c r="AX360">
        <v>50.080663000000001</v>
      </c>
      <c r="AY360">
        <v>14.430818</v>
      </c>
      <c r="AZ360">
        <v>1</v>
      </c>
      <c r="BA360">
        <v>396</v>
      </c>
      <c r="BB360">
        <v>396</v>
      </c>
      <c r="BC360">
        <v>1</v>
      </c>
      <c r="BD360" t="s">
        <v>1351</v>
      </c>
      <c r="BE360">
        <v>1772019241</v>
      </c>
      <c r="BF360">
        <v>1772135664</v>
      </c>
      <c r="BG360">
        <v>0.97154300000000005</v>
      </c>
      <c r="BH360" t="s">
        <v>22</v>
      </c>
      <c r="BI360">
        <v>20</v>
      </c>
      <c r="BJ360">
        <v>1772019241</v>
      </c>
      <c r="BK360">
        <v>200</v>
      </c>
      <c r="BL360">
        <v>5</v>
      </c>
      <c r="BM360">
        <v>2</v>
      </c>
      <c r="BN360">
        <v>1</v>
      </c>
      <c r="BO360">
        <v>0</v>
      </c>
      <c r="BP360">
        <v>0</v>
      </c>
      <c r="BQ360">
        <v>0.77649999999999997</v>
      </c>
      <c r="BR360">
        <v>0.77649999999999997</v>
      </c>
    </row>
    <row r="361" spans="49:70">
      <c r="AW361">
        <v>21</v>
      </c>
      <c r="AX361">
        <v>50.012521</v>
      </c>
      <c r="AY361">
        <v>15.311451999999999</v>
      </c>
      <c r="AZ361">
        <v>1</v>
      </c>
      <c r="BA361">
        <v>362</v>
      </c>
      <c r="BB361">
        <v>362</v>
      </c>
      <c r="BC361">
        <v>1</v>
      </c>
      <c r="BD361" t="s">
        <v>1351</v>
      </c>
      <c r="BE361">
        <v>1772023552</v>
      </c>
      <c r="BF361">
        <v>1772135664</v>
      </c>
      <c r="BG361">
        <v>0.97154300000000005</v>
      </c>
      <c r="BH361" t="s">
        <v>22</v>
      </c>
      <c r="BI361">
        <v>20</v>
      </c>
      <c r="BJ361">
        <v>1772023552</v>
      </c>
      <c r="BK361">
        <v>200</v>
      </c>
      <c r="BL361">
        <v>5</v>
      </c>
      <c r="BM361">
        <v>2</v>
      </c>
      <c r="BN361">
        <v>1</v>
      </c>
      <c r="BO361">
        <v>0</v>
      </c>
      <c r="BP361">
        <v>0</v>
      </c>
      <c r="BQ361">
        <v>0.70979999999999999</v>
      </c>
      <c r="BR361">
        <v>0.70979999999999999</v>
      </c>
    </row>
    <row r="362" spans="49:70">
      <c r="AW362">
        <v>21</v>
      </c>
      <c r="AX362">
        <v>50.017580000000002</v>
      </c>
      <c r="AY362">
        <v>15.323451</v>
      </c>
      <c r="AZ362">
        <v>1</v>
      </c>
      <c r="BA362">
        <v>386</v>
      </c>
      <c r="BB362">
        <v>386</v>
      </c>
      <c r="BC362">
        <v>1</v>
      </c>
      <c r="BD362" t="s">
        <v>1351</v>
      </c>
      <c r="BE362">
        <v>1772023584</v>
      </c>
      <c r="BF362">
        <v>1772135664</v>
      </c>
      <c r="BG362">
        <v>0.97154300000000005</v>
      </c>
      <c r="BH362" t="s">
        <v>22</v>
      </c>
      <c r="BI362">
        <v>20</v>
      </c>
      <c r="BJ362">
        <v>1772023584</v>
      </c>
      <c r="BK362">
        <v>200</v>
      </c>
      <c r="BL362">
        <v>5</v>
      </c>
      <c r="BM362">
        <v>2</v>
      </c>
      <c r="BN362">
        <v>1</v>
      </c>
      <c r="BO362">
        <v>0</v>
      </c>
      <c r="BP362">
        <v>0</v>
      </c>
      <c r="BQ362">
        <v>0.75690000000000002</v>
      </c>
      <c r="BR362">
        <v>0.75690000000000002</v>
      </c>
    </row>
    <row r="363" spans="49:70">
      <c r="AW363">
        <v>21</v>
      </c>
      <c r="AX363">
        <v>50.034433</v>
      </c>
      <c r="AY363">
        <v>15.354678</v>
      </c>
      <c r="AZ363">
        <v>1</v>
      </c>
      <c r="BA363">
        <v>376</v>
      </c>
      <c r="BB363">
        <v>376</v>
      </c>
      <c r="BC363">
        <v>1</v>
      </c>
      <c r="BD363" t="s">
        <v>1351</v>
      </c>
      <c r="BE363">
        <v>1772023659</v>
      </c>
      <c r="BF363">
        <v>1772135664</v>
      </c>
      <c r="BG363">
        <v>0.97154300000000005</v>
      </c>
      <c r="BH363" t="s">
        <v>22</v>
      </c>
      <c r="BI363">
        <v>20</v>
      </c>
      <c r="BJ363">
        <v>1772023659</v>
      </c>
      <c r="BK363">
        <v>200</v>
      </c>
      <c r="BL363">
        <v>5</v>
      </c>
      <c r="BM363">
        <v>2</v>
      </c>
      <c r="BN363">
        <v>1</v>
      </c>
      <c r="BO363">
        <v>0</v>
      </c>
      <c r="BP363">
        <v>0</v>
      </c>
      <c r="BQ363">
        <v>0.73729999999999996</v>
      </c>
      <c r="BR363">
        <v>0.73729999999999996</v>
      </c>
    </row>
    <row r="364" spans="49:70">
      <c r="AW364">
        <v>21</v>
      </c>
      <c r="AX364">
        <v>50.037737999999997</v>
      </c>
      <c r="AY364">
        <v>15.413085000000001</v>
      </c>
      <c r="AZ364">
        <v>1</v>
      </c>
      <c r="BA364">
        <v>382</v>
      </c>
      <c r="BB364">
        <v>382</v>
      </c>
      <c r="BC364">
        <v>1</v>
      </c>
      <c r="BD364" t="s">
        <v>1351</v>
      </c>
      <c r="BE364">
        <v>1772023794</v>
      </c>
      <c r="BF364">
        <v>1772135664</v>
      </c>
      <c r="BG364">
        <v>0.97154300000000005</v>
      </c>
      <c r="BH364" t="s">
        <v>22</v>
      </c>
      <c r="BI364">
        <v>20</v>
      </c>
      <c r="BJ364">
        <v>1772023794</v>
      </c>
      <c r="BK364">
        <v>200</v>
      </c>
      <c r="BL364">
        <v>5</v>
      </c>
      <c r="BM364">
        <v>2</v>
      </c>
      <c r="BN364">
        <v>1</v>
      </c>
      <c r="BO364">
        <v>0</v>
      </c>
      <c r="BP364">
        <v>0</v>
      </c>
      <c r="BQ364">
        <v>0.749</v>
      </c>
      <c r="BR364">
        <v>0.749</v>
      </c>
    </row>
    <row r="365" spans="49:70">
      <c r="AW365">
        <v>21</v>
      </c>
      <c r="AX365">
        <v>50.036268999999997</v>
      </c>
      <c r="AY365">
        <v>15.427856</v>
      </c>
      <c r="AZ365">
        <v>1</v>
      </c>
      <c r="BA365">
        <v>400</v>
      </c>
      <c r="BB365">
        <v>400</v>
      </c>
      <c r="BC365">
        <v>1</v>
      </c>
      <c r="BD365" t="s">
        <v>1351</v>
      </c>
      <c r="BE365">
        <v>1772023820</v>
      </c>
      <c r="BF365">
        <v>1772135664</v>
      </c>
      <c r="BG365">
        <v>0.97154300000000005</v>
      </c>
      <c r="BH365" t="s">
        <v>22</v>
      </c>
      <c r="BI365">
        <v>20</v>
      </c>
      <c r="BJ365">
        <v>1772023820</v>
      </c>
      <c r="BK365">
        <v>200</v>
      </c>
      <c r="BL365">
        <v>5</v>
      </c>
      <c r="BM365">
        <v>2</v>
      </c>
      <c r="BN365">
        <v>1</v>
      </c>
      <c r="BO365">
        <v>0</v>
      </c>
      <c r="BP365">
        <v>0</v>
      </c>
      <c r="BQ365">
        <v>0.7843</v>
      </c>
      <c r="BR365">
        <v>0.7843</v>
      </c>
    </row>
    <row r="366" spans="49:70">
      <c r="AW366">
        <v>21</v>
      </c>
      <c r="AX366">
        <v>50.033265</v>
      </c>
      <c r="AY366">
        <v>15.494403999999999</v>
      </c>
      <c r="AZ366">
        <v>1</v>
      </c>
      <c r="BA366">
        <v>390</v>
      </c>
      <c r="BB366">
        <v>390</v>
      </c>
      <c r="BC366">
        <v>1</v>
      </c>
      <c r="BD366" t="s">
        <v>1351</v>
      </c>
      <c r="BE366">
        <v>1772023951</v>
      </c>
      <c r="BF366">
        <v>1772135664</v>
      </c>
      <c r="BG366">
        <v>0.97154300000000005</v>
      </c>
      <c r="BH366" t="s">
        <v>22</v>
      </c>
      <c r="BI366">
        <v>20</v>
      </c>
      <c r="BJ366">
        <v>1772023951</v>
      </c>
      <c r="BK366">
        <v>200</v>
      </c>
      <c r="BL366">
        <v>5</v>
      </c>
      <c r="BM366">
        <v>2</v>
      </c>
      <c r="BN366">
        <v>1</v>
      </c>
      <c r="BO366">
        <v>0</v>
      </c>
      <c r="BP366">
        <v>0</v>
      </c>
      <c r="BQ366">
        <v>0.76470000000000005</v>
      </c>
      <c r="BR366">
        <v>0.76470000000000005</v>
      </c>
    </row>
    <row r="367" spans="49:70">
      <c r="AW367">
        <v>21</v>
      </c>
      <c r="AX367">
        <v>50.035490000000003</v>
      </c>
      <c r="AY367">
        <v>15.521514</v>
      </c>
      <c r="AZ367">
        <v>1</v>
      </c>
      <c r="BA367">
        <v>400</v>
      </c>
      <c r="BB367">
        <v>400</v>
      </c>
      <c r="BC367">
        <v>1</v>
      </c>
      <c r="BD367" t="s">
        <v>1351</v>
      </c>
      <c r="BE367">
        <v>1772024003</v>
      </c>
      <c r="BF367">
        <v>1772135664</v>
      </c>
      <c r="BG367">
        <v>0.97154300000000005</v>
      </c>
      <c r="BH367" t="s">
        <v>22</v>
      </c>
      <c r="BI367">
        <v>20</v>
      </c>
      <c r="BJ367">
        <v>1772024003</v>
      </c>
      <c r="BK367">
        <v>200</v>
      </c>
      <c r="BL367">
        <v>5</v>
      </c>
      <c r="BM367">
        <v>2</v>
      </c>
      <c r="BN367">
        <v>1</v>
      </c>
      <c r="BO367">
        <v>0</v>
      </c>
      <c r="BP367">
        <v>0</v>
      </c>
      <c r="BQ367">
        <v>0.7843</v>
      </c>
      <c r="BR367">
        <v>0.7843</v>
      </c>
    </row>
    <row r="368" spans="49:70">
      <c r="AW368">
        <v>21</v>
      </c>
      <c r="AX368">
        <v>50.036352000000001</v>
      </c>
      <c r="AY368">
        <v>15.525683000000001</v>
      </c>
      <c r="AZ368">
        <v>1</v>
      </c>
      <c r="BA368">
        <v>390</v>
      </c>
      <c r="BB368">
        <v>390</v>
      </c>
      <c r="BC368">
        <v>1</v>
      </c>
      <c r="BD368" t="s">
        <v>1351</v>
      </c>
      <c r="BE368">
        <v>1772024010</v>
      </c>
      <c r="BF368">
        <v>1772135664</v>
      </c>
      <c r="BG368">
        <v>0.97154300000000005</v>
      </c>
      <c r="BH368" t="s">
        <v>22</v>
      </c>
      <c r="BI368">
        <v>20</v>
      </c>
      <c r="BJ368">
        <v>1772024010</v>
      </c>
      <c r="BK368">
        <v>200</v>
      </c>
      <c r="BL368">
        <v>5</v>
      </c>
      <c r="BM368">
        <v>2</v>
      </c>
      <c r="BN368">
        <v>1</v>
      </c>
      <c r="BO368">
        <v>0</v>
      </c>
      <c r="BP368">
        <v>0</v>
      </c>
      <c r="BQ368">
        <v>0.76470000000000005</v>
      </c>
      <c r="BR368">
        <v>0.76470000000000005</v>
      </c>
    </row>
    <row r="369" spans="49:70">
      <c r="AW369">
        <v>21</v>
      </c>
      <c r="AX369">
        <v>50.042873</v>
      </c>
      <c r="AY369">
        <v>15.55532</v>
      </c>
      <c r="AZ369">
        <v>1</v>
      </c>
      <c r="BA369">
        <v>428</v>
      </c>
      <c r="BB369">
        <v>428</v>
      </c>
      <c r="BC369">
        <v>1</v>
      </c>
      <c r="BD369" t="s">
        <v>1351</v>
      </c>
      <c r="BE369">
        <v>1772024090</v>
      </c>
      <c r="BF369">
        <v>1772135664</v>
      </c>
      <c r="BG369">
        <v>0.97154300000000005</v>
      </c>
      <c r="BH369" t="s">
        <v>22</v>
      </c>
      <c r="BI369">
        <v>20</v>
      </c>
      <c r="BJ369">
        <v>1772024090</v>
      </c>
      <c r="BK369">
        <v>200</v>
      </c>
      <c r="BL369">
        <v>5</v>
      </c>
      <c r="BM369">
        <v>2</v>
      </c>
      <c r="BN369">
        <v>1</v>
      </c>
      <c r="BO369">
        <v>0</v>
      </c>
      <c r="BP369">
        <v>0</v>
      </c>
      <c r="BQ369">
        <v>0.83919999999999995</v>
      </c>
      <c r="BR369">
        <v>0.83919999999999995</v>
      </c>
    </row>
    <row r="370" spans="49:70">
      <c r="AW370">
        <v>21</v>
      </c>
      <c r="AX370">
        <v>50.040123000000001</v>
      </c>
      <c r="AY370">
        <v>15.571759999999999</v>
      </c>
      <c r="AZ370">
        <v>1</v>
      </c>
      <c r="BA370">
        <v>480</v>
      </c>
      <c r="BB370">
        <v>480</v>
      </c>
      <c r="BC370">
        <v>1</v>
      </c>
      <c r="BD370" t="s">
        <v>1351</v>
      </c>
      <c r="BE370">
        <v>1772024169</v>
      </c>
      <c r="BF370">
        <v>1772135664</v>
      </c>
      <c r="BG370">
        <v>0.97154300000000005</v>
      </c>
      <c r="BH370" t="s">
        <v>22</v>
      </c>
      <c r="BI370">
        <v>20</v>
      </c>
      <c r="BJ370">
        <v>1772024169</v>
      </c>
      <c r="BK370">
        <v>200</v>
      </c>
      <c r="BL370">
        <v>5</v>
      </c>
      <c r="BM370">
        <v>2</v>
      </c>
      <c r="BN370">
        <v>1</v>
      </c>
      <c r="BO370">
        <v>0</v>
      </c>
      <c r="BP370">
        <v>0</v>
      </c>
      <c r="BQ370">
        <v>0.94120000000000004</v>
      </c>
      <c r="BR370">
        <v>0.94120000000000004</v>
      </c>
    </row>
    <row r="371" spans="49:70">
      <c r="AW371">
        <v>21</v>
      </c>
      <c r="AX371">
        <v>50.034523999999998</v>
      </c>
      <c r="AY371">
        <v>15.602185</v>
      </c>
      <c r="AZ371">
        <v>1</v>
      </c>
      <c r="BA371">
        <v>424</v>
      </c>
      <c r="BB371">
        <v>424</v>
      </c>
      <c r="BC371">
        <v>1</v>
      </c>
      <c r="BD371" t="s">
        <v>1351</v>
      </c>
      <c r="BE371">
        <v>1772024265</v>
      </c>
      <c r="BF371">
        <v>1772135664</v>
      </c>
      <c r="BG371">
        <v>0.97154300000000005</v>
      </c>
      <c r="BH371" t="s">
        <v>22</v>
      </c>
      <c r="BI371">
        <v>20</v>
      </c>
      <c r="BJ371">
        <v>1772024265</v>
      </c>
      <c r="BK371">
        <v>200</v>
      </c>
      <c r="BL371">
        <v>5</v>
      </c>
      <c r="BM371">
        <v>2</v>
      </c>
      <c r="BN371">
        <v>1</v>
      </c>
      <c r="BO371">
        <v>0</v>
      </c>
      <c r="BP371">
        <v>0</v>
      </c>
      <c r="BQ371">
        <v>0.83140000000000003</v>
      </c>
      <c r="BR371">
        <v>0.83140000000000003</v>
      </c>
    </row>
    <row r="372" spans="49:70">
      <c r="AW372">
        <v>21</v>
      </c>
      <c r="AX372">
        <v>50.031939999999999</v>
      </c>
      <c r="AY372">
        <v>15.660069999999999</v>
      </c>
      <c r="AZ372">
        <v>1</v>
      </c>
      <c r="BA372">
        <v>460</v>
      </c>
      <c r="BB372">
        <v>460</v>
      </c>
      <c r="BC372">
        <v>1</v>
      </c>
      <c r="BD372" t="s">
        <v>1351</v>
      </c>
      <c r="BE372">
        <v>1772024395</v>
      </c>
      <c r="BF372">
        <v>1772135664</v>
      </c>
      <c r="BG372">
        <v>0.97154300000000005</v>
      </c>
      <c r="BH372" t="s">
        <v>22</v>
      </c>
      <c r="BI372">
        <v>20</v>
      </c>
      <c r="BJ372">
        <v>1772024395</v>
      </c>
      <c r="BK372">
        <v>200</v>
      </c>
      <c r="BL372">
        <v>5</v>
      </c>
      <c r="BM372">
        <v>2</v>
      </c>
      <c r="BN372">
        <v>1</v>
      </c>
      <c r="BO372">
        <v>0</v>
      </c>
      <c r="BP372">
        <v>0</v>
      </c>
      <c r="BQ372">
        <v>0.90200000000000002</v>
      </c>
      <c r="BR372">
        <v>0.90200000000000002</v>
      </c>
    </row>
    <row r="373" spans="49:70">
      <c r="AW373">
        <v>21</v>
      </c>
      <c r="AX373">
        <v>50.029527000000002</v>
      </c>
      <c r="AY373">
        <v>15.679591</v>
      </c>
      <c r="AZ373">
        <v>1</v>
      </c>
      <c r="BA373">
        <v>410</v>
      </c>
      <c r="BB373">
        <v>410</v>
      </c>
      <c r="BC373">
        <v>1</v>
      </c>
      <c r="BD373" t="s">
        <v>1351</v>
      </c>
      <c r="BE373">
        <v>1772024432</v>
      </c>
      <c r="BF373">
        <v>1772135664</v>
      </c>
      <c r="BG373">
        <v>0.97154300000000005</v>
      </c>
      <c r="BH373" t="s">
        <v>22</v>
      </c>
      <c r="BI373">
        <v>20</v>
      </c>
      <c r="BJ373">
        <v>1772024432</v>
      </c>
      <c r="BK373">
        <v>200</v>
      </c>
      <c r="BL373">
        <v>5</v>
      </c>
      <c r="BM373">
        <v>2</v>
      </c>
      <c r="BN373">
        <v>1</v>
      </c>
      <c r="BO373">
        <v>0</v>
      </c>
      <c r="BP373">
        <v>0</v>
      </c>
      <c r="BQ373">
        <v>0.80389999999999995</v>
      </c>
      <c r="BR373">
        <v>0.80389999999999995</v>
      </c>
    </row>
    <row r="374" spans="49:70">
      <c r="AW374">
        <v>21</v>
      </c>
      <c r="AX374">
        <v>50.031694999999999</v>
      </c>
      <c r="AY374">
        <v>15.721822</v>
      </c>
      <c r="AZ374">
        <v>1</v>
      </c>
      <c r="BA374">
        <v>396</v>
      </c>
      <c r="BB374">
        <v>396</v>
      </c>
      <c r="BC374">
        <v>1</v>
      </c>
      <c r="BD374" t="s">
        <v>1351</v>
      </c>
      <c r="BE374">
        <v>1772024513</v>
      </c>
      <c r="BF374">
        <v>1772135664</v>
      </c>
      <c r="BG374">
        <v>0.97154300000000005</v>
      </c>
      <c r="BH374" t="s">
        <v>22</v>
      </c>
      <c r="BI374">
        <v>20</v>
      </c>
      <c r="BJ374">
        <v>1772024513</v>
      </c>
      <c r="BK374">
        <v>200</v>
      </c>
      <c r="BL374">
        <v>5</v>
      </c>
      <c r="BM374">
        <v>2</v>
      </c>
      <c r="BN374">
        <v>1</v>
      </c>
      <c r="BO374">
        <v>0</v>
      </c>
      <c r="BP374">
        <v>0</v>
      </c>
      <c r="BQ374">
        <v>0.77649999999999997</v>
      </c>
      <c r="BR374">
        <v>0.77649999999999997</v>
      </c>
    </row>
    <row r="375" spans="49:70">
      <c r="AW375">
        <v>21</v>
      </c>
      <c r="AX375">
        <v>50.031691000000002</v>
      </c>
      <c r="AY375">
        <v>15.759729</v>
      </c>
      <c r="AZ375">
        <v>1</v>
      </c>
      <c r="BA375">
        <v>456</v>
      </c>
      <c r="BB375">
        <v>456</v>
      </c>
      <c r="BC375">
        <v>1</v>
      </c>
      <c r="BD375" t="s">
        <v>1351</v>
      </c>
      <c r="BE375">
        <v>1772024792</v>
      </c>
      <c r="BF375">
        <v>1772135664</v>
      </c>
      <c r="BG375">
        <v>0.97154300000000005</v>
      </c>
      <c r="BH375" t="s">
        <v>22</v>
      </c>
      <c r="BI375">
        <v>20</v>
      </c>
      <c r="BJ375">
        <v>1772024792</v>
      </c>
      <c r="BK375">
        <v>200</v>
      </c>
      <c r="BL375">
        <v>5</v>
      </c>
      <c r="BM375">
        <v>2</v>
      </c>
      <c r="BN375">
        <v>1</v>
      </c>
      <c r="BO375">
        <v>0</v>
      </c>
      <c r="BP375">
        <v>0</v>
      </c>
      <c r="BQ375">
        <v>0.89410000000000001</v>
      </c>
      <c r="BR375">
        <v>0.89410000000000001</v>
      </c>
    </row>
    <row r="376" spans="49:70">
      <c r="AW376">
        <v>21</v>
      </c>
      <c r="AX376">
        <v>50.031975000000003</v>
      </c>
      <c r="AY376">
        <v>15.760666000000001</v>
      </c>
      <c r="AZ376">
        <v>1</v>
      </c>
      <c r="BA376">
        <v>428</v>
      </c>
      <c r="BB376">
        <v>428</v>
      </c>
      <c r="BC376">
        <v>1</v>
      </c>
      <c r="BD376" t="s">
        <v>1351</v>
      </c>
      <c r="BE376">
        <v>1772024795</v>
      </c>
      <c r="BF376">
        <v>1772135664</v>
      </c>
      <c r="BG376">
        <v>0.97154300000000005</v>
      </c>
      <c r="BH376" t="s">
        <v>22</v>
      </c>
      <c r="BI376">
        <v>20</v>
      </c>
      <c r="BJ376">
        <v>1772024795</v>
      </c>
      <c r="BK376">
        <v>200</v>
      </c>
      <c r="BL376">
        <v>5</v>
      </c>
      <c r="BM376">
        <v>2</v>
      </c>
      <c r="BN376">
        <v>1</v>
      </c>
      <c r="BO376">
        <v>0</v>
      </c>
      <c r="BP376">
        <v>0</v>
      </c>
      <c r="BQ376">
        <v>0.83919999999999995</v>
      </c>
      <c r="BR376">
        <v>0.83919999999999995</v>
      </c>
    </row>
    <row r="377" spans="49:70">
      <c r="AW377">
        <v>21</v>
      </c>
      <c r="AX377">
        <v>50.009580999999997</v>
      </c>
      <c r="AY377">
        <v>15.913752000000001</v>
      </c>
      <c r="AZ377">
        <v>1</v>
      </c>
      <c r="BA377">
        <v>446</v>
      </c>
      <c r="BB377">
        <v>446</v>
      </c>
      <c r="BC377">
        <v>1</v>
      </c>
      <c r="BD377" t="s">
        <v>1351</v>
      </c>
      <c r="BE377">
        <v>1772025129</v>
      </c>
      <c r="BF377">
        <v>1772135664</v>
      </c>
      <c r="BG377">
        <v>0.97154300000000005</v>
      </c>
      <c r="BH377" t="s">
        <v>22</v>
      </c>
      <c r="BI377">
        <v>20</v>
      </c>
      <c r="BJ377">
        <v>1772025129</v>
      </c>
      <c r="BK377">
        <v>200</v>
      </c>
      <c r="BL377">
        <v>5</v>
      </c>
      <c r="BM377">
        <v>2</v>
      </c>
      <c r="BN377">
        <v>1</v>
      </c>
      <c r="BO377">
        <v>0</v>
      </c>
      <c r="BP377">
        <v>0</v>
      </c>
      <c r="BQ377">
        <v>0.87450000000000006</v>
      </c>
      <c r="BR377">
        <v>0.87450000000000006</v>
      </c>
    </row>
    <row r="378" spans="49:70">
      <c r="AW378">
        <v>21</v>
      </c>
      <c r="AX378">
        <v>49.986911999999997</v>
      </c>
      <c r="AY378">
        <v>16.018218000000001</v>
      </c>
      <c r="AZ378">
        <v>1</v>
      </c>
      <c r="BA378">
        <v>418</v>
      </c>
      <c r="BB378">
        <v>418</v>
      </c>
      <c r="BC378">
        <v>1</v>
      </c>
      <c r="BD378" t="s">
        <v>1351</v>
      </c>
      <c r="BE378">
        <v>1772025318</v>
      </c>
      <c r="BF378">
        <v>1772135664</v>
      </c>
      <c r="BG378">
        <v>0.97154300000000005</v>
      </c>
      <c r="BH378" t="s">
        <v>22</v>
      </c>
      <c r="BI378">
        <v>20</v>
      </c>
      <c r="BJ378">
        <v>1772025318</v>
      </c>
      <c r="BK378">
        <v>200</v>
      </c>
      <c r="BL378">
        <v>5</v>
      </c>
      <c r="BM378">
        <v>2</v>
      </c>
      <c r="BN378">
        <v>1</v>
      </c>
      <c r="BO378">
        <v>0</v>
      </c>
      <c r="BP378">
        <v>0</v>
      </c>
      <c r="BQ378">
        <v>0.8196</v>
      </c>
      <c r="BR378">
        <v>0.8196</v>
      </c>
    </row>
    <row r="379" spans="49:70">
      <c r="AW379">
        <v>21</v>
      </c>
      <c r="AX379">
        <v>49.211143999999997</v>
      </c>
      <c r="AY379">
        <v>16.642320999999999</v>
      </c>
      <c r="AZ379">
        <v>1</v>
      </c>
      <c r="BA379">
        <v>358</v>
      </c>
      <c r="BB379">
        <v>358</v>
      </c>
      <c r="BC379">
        <v>1</v>
      </c>
      <c r="BD379" t="s">
        <v>1351</v>
      </c>
      <c r="BE379">
        <v>1772030489</v>
      </c>
      <c r="BF379">
        <v>1772135664</v>
      </c>
      <c r="BG379">
        <v>0.97154300000000005</v>
      </c>
      <c r="BH379" t="s">
        <v>22</v>
      </c>
      <c r="BI379">
        <v>20</v>
      </c>
      <c r="BJ379">
        <v>1772030489</v>
      </c>
      <c r="BK379">
        <v>200</v>
      </c>
      <c r="BL379">
        <v>5</v>
      </c>
      <c r="BM379">
        <v>2</v>
      </c>
      <c r="BN379">
        <v>1</v>
      </c>
      <c r="BO379">
        <v>0</v>
      </c>
      <c r="BP379">
        <v>0</v>
      </c>
      <c r="BQ379">
        <v>0.70199999999999996</v>
      </c>
      <c r="BR379">
        <v>0.70199999999999996</v>
      </c>
    </row>
    <row r="380" spans="49:70">
      <c r="AW380">
        <v>21</v>
      </c>
      <c r="AX380">
        <v>49.185189999999999</v>
      </c>
      <c r="AY380">
        <v>16.608979999999999</v>
      </c>
      <c r="AZ380">
        <v>1</v>
      </c>
      <c r="BA380">
        <v>386</v>
      </c>
      <c r="BB380">
        <v>386</v>
      </c>
      <c r="BC380">
        <v>1</v>
      </c>
      <c r="BD380" t="s">
        <v>1351</v>
      </c>
      <c r="BE380">
        <v>1772031108</v>
      </c>
      <c r="BF380">
        <v>1772135664</v>
      </c>
      <c r="BG380">
        <v>0.97154300000000005</v>
      </c>
      <c r="BH380" t="s">
        <v>22</v>
      </c>
      <c r="BI380">
        <v>20</v>
      </c>
      <c r="BJ380">
        <v>1772031108</v>
      </c>
      <c r="BK380">
        <v>200</v>
      </c>
      <c r="BL380">
        <v>5</v>
      </c>
      <c r="BM380">
        <v>2</v>
      </c>
      <c r="BN380">
        <v>1</v>
      </c>
      <c r="BO380">
        <v>0</v>
      </c>
      <c r="BP380">
        <v>0</v>
      </c>
      <c r="BQ380">
        <v>0.75690000000000002</v>
      </c>
      <c r="BR380">
        <v>0.75690000000000002</v>
      </c>
    </row>
    <row r="381" spans="49:70">
      <c r="AW381">
        <v>21</v>
      </c>
      <c r="AX381">
        <v>49.185384999999997</v>
      </c>
      <c r="AY381">
        <v>16.609324999999998</v>
      </c>
      <c r="AZ381">
        <v>1</v>
      </c>
      <c r="BA381">
        <v>386</v>
      </c>
      <c r="BB381">
        <v>386</v>
      </c>
      <c r="BC381">
        <v>1</v>
      </c>
      <c r="BD381" t="s">
        <v>1351</v>
      </c>
      <c r="BE381">
        <v>1772031113</v>
      </c>
      <c r="BF381">
        <v>1772135664</v>
      </c>
      <c r="BG381">
        <v>0.97154300000000005</v>
      </c>
      <c r="BH381" t="s">
        <v>22</v>
      </c>
      <c r="BI381">
        <v>20</v>
      </c>
      <c r="BJ381">
        <v>1772031113</v>
      </c>
      <c r="BK381">
        <v>200</v>
      </c>
      <c r="BL381">
        <v>5</v>
      </c>
      <c r="BM381">
        <v>2</v>
      </c>
      <c r="BN381">
        <v>1</v>
      </c>
      <c r="BO381">
        <v>0</v>
      </c>
      <c r="BP381">
        <v>0</v>
      </c>
      <c r="BQ381">
        <v>0.75690000000000002</v>
      </c>
      <c r="BR381">
        <v>0.75690000000000002</v>
      </c>
    </row>
    <row r="382" spans="49:70">
      <c r="AW382">
        <v>21</v>
      </c>
      <c r="AX382">
        <v>49.112336999999997</v>
      </c>
      <c r="AY382">
        <v>16.606534</v>
      </c>
      <c r="AZ382">
        <v>1</v>
      </c>
      <c r="BA382">
        <v>432</v>
      </c>
      <c r="BB382">
        <v>432</v>
      </c>
      <c r="BC382">
        <v>1</v>
      </c>
      <c r="BD382" t="s">
        <v>1351</v>
      </c>
      <c r="BE382">
        <v>1772031475</v>
      </c>
      <c r="BF382">
        <v>1772135664</v>
      </c>
      <c r="BG382">
        <v>0.97154300000000005</v>
      </c>
      <c r="BH382" t="s">
        <v>22</v>
      </c>
      <c r="BI382">
        <v>20</v>
      </c>
      <c r="BJ382">
        <v>1772031475</v>
      </c>
      <c r="BK382">
        <v>200</v>
      </c>
      <c r="BL382">
        <v>5</v>
      </c>
      <c r="BM382">
        <v>2</v>
      </c>
      <c r="BN382">
        <v>1</v>
      </c>
      <c r="BO382">
        <v>0</v>
      </c>
      <c r="BP382">
        <v>0</v>
      </c>
      <c r="BQ382">
        <v>0.84709999999999996</v>
      </c>
      <c r="BR382">
        <v>0.84709999999999996</v>
      </c>
    </row>
    <row r="383" spans="49:70">
      <c r="AW383">
        <v>21</v>
      </c>
      <c r="AX383">
        <v>49.112594000000001</v>
      </c>
      <c r="AY383">
        <v>16.606636000000002</v>
      </c>
      <c r="AZ383">
        <v>1</v>
      </c>
      <c r="BA383">
        <v>404</v>
      </c>
      <c r="BB383">
        <v>404</v>
      </c>
      <c r="BC383">
        <v>1</v>
      </c>
      <c r="BD383" t="s">
        <v>1351</v>
      </c>
      <c r="BE383">
        <v>1772031481</v>
      </c>
      <c r="BF383">
        <v>1772135664</v>
      </c>
      <c r="BG383">
        <v>0.97154300000000005</v>
      </c>
      <c r="BH383" t="s">
        <v>22</v>
      </c>
      <c r="BI383">
        <v>20</v>
      </c>
      <c r="BJ383">
        <v>1772031481</v>
      </c>
      <c r="BK383">
        <v>200</v>
      </c>
      <c r="BL383">
        <v>5</v>
      </c>
      <c r="BM383">
        <v>2</v>
      </c>
      <c r="BN383">
        <v>1</v>
      </c>
      <c r="BO383">
        <v>0</v>
      </c>
      <c r="BP383">
        <v>0</v>
      </c>
      <c r="BQ383">
        <v>0.79220000000000002</v>
      </c>
      <c r="BR383">
        <v>0.79220000000000002</v>
      </c>
    </row>
    <row r="384" spans="49:70">
      <c r="AW384">
        <v>21</v>
      </c>
      <c r="AX384">
        <v>49.009113999999997</v>
      </c>
      <c r="AY384">
        <v>16.596848000000001</v>
      </c>
      <c r="AZ384">
        <v>1</v>
      </c>
      <c r="BA384">
        <v>358</v>
      </c>
      <c r="BB384">
        <v>358</v>
      </c>
      <c r="BC384">
        <v>1</v>
      </c>
      <c r="BD384" t="s">
        <v>1351</v>
      </c>
      <c r="BE384">
        <v>1772031687</v>
      </c>
      <c r="BF384">
        <v>1772135664</v>
      </c>
      <c r="BG384">
        <v>0.97154300000000005</v>
      </c>
      <c r="BH384" t="s">
        <v>22</v>
      </c>
      <c r="BI384">
        <v>20</v>
      </c>
      <c r="BJ384">
        <v>1772031687</v>
      </c>
      <c r="BK384">
        <v>200</v>
      </c>
      <c r="BL384">
        <v>5</v>
      </c>
      <c r="BM384">
        <v>2</v>
      </c>
      <c r="BN384">
        <v>1</v>
      </c>
      <c r="BO384">
        <v>0</v>
      </c>
      <c r="BP384">
        <v>0</v>
      </c>
      <c r="BQ384">
        <v>0.70199999999999996</v>
      </c>
      <c r="BR384">
        <v>0.70199999999999996</v>
      </c>
    </row>
    <row r="385" spans="49:70">
      <c r="AW385">
        <v>21</v>
      </c>
      <c r="AX385">
        <v>48.241922000000002</v>
      </c>
      <c r="AY385">
        <v>16.383203999999999</v>
      </c>
      <c r="AZ385">
        <v>1</v>
      </c>
      <c r="BA385">
        <v>400</v>
      </c>
      <c r="BB385">
        <v>400</v>
      </c>
      <c r="BC385">
        <v>1</v>
      </c>
      <c r="BD385" t="s">
        <v>1351</v>
      </c>
      <c r="BE385">
        <v>1772038619</v>
      </c>
      <c r="BF385">
        <v>1772135664</v>
      </c>
      <c r="BG385">
        <v>0.97154300000000005</v>
      </c>
      <c r="BH385" t="s">
        <v>22</v>
      </c>
      <c r="BI385">
        <v>20</v>
      </c>
      <c r="BJ385">
        <v>1772038619</v>
      </c>
      <c r="BK385">
        <v>200</v>
      </c>
      <c r="BL385">
        <v>5</v>
      </c>
      <c r="BM385">
        <v>2</v>
      </c>
      <c r="BN385">
        <v>1</v>
      </c>
      <c r="BO385">
        <v>0</v>
      </c>
      <c r="BP385">
        <v>0</v>
      </c>
      <c r="BQ385">
        <v>0.7843</v>
      </c>
      <c r="BR385">
        <v>0.7843</v>
      </c>
    </row>
    <row r="386" spans="49:70">
      <c r="AW386">
        <v>21</v>
      </c>
      <c r="AX386">
        <v>48.242167999999999</v>
      </c>
      <c r="AY386">
        <v>16.382985999999999</v>
      </c>
      <c r="AZ386">
        <v>1</v>
      </c>
      <c r="BA386">
        <v>446</v>
      </c>
      <c r="BB386">
        <v>446</v>
      </c>
      <c r="BC386">
        <v>1</v>
      </c>
      <c r="BD386" t="s">
        <v>1351</v>
      </c>
      <c r="BE386">
        <v>1772038625</v>
      </c>
      <c r="BF386">
        <v>1772135664</v>
      </c>
      <c r="BG386">
        <v>0.97154300000000005</v>
      </c>
      <c r="BH386" t="s">
        <v>22</v>
      </c>
      <c r="BI386">
        <v>20</v>
      </c>
      <c r="BJ386">
        <v>1772038625</v>
      </c>
      <c r="BK386">
        <v>200</v>
      </c>
      <c r="BL386">
        <v>5</v>
      </c>
      <c r="BM386">
        <v>2</v>
      </c>
      <c r="BN386">
        <v>1</v>
      </c>
      <c r="BO386">
        <v>0</v>
      </c>
      <c r="BP386">
        <v>0</v>
      </c>
      <c r="BQ386">
        <v>0.87450000000000006</v>
      </c>
      <c r="BR386">
        <v>0.87450000000000006</v>
      </c>
    </row>
    <row r="387" spans="49:70">
      <c r="AW387">
        <v>21</v>
      </c>
      <c r="AX387">
        <v>48.244630000000001</v>
      </c>
      <c r="AY387">
        <v>16.369675999999998</v>
      </c>
      <c r="AZ387">
        <v>1</v>
      </c>
      <c r="BA387">
        <v>414</v>
      </c>
      <c r="BB387">
        <v>414</v>
      </c>
      <c r="BC387">
        <v>1</v>
      </c>
      <c r="BD387" t="s">
        <v>1351</v>
      </c>
      <c r="BE387">
        <v>1772041133</v>
      </c>
      <c r="BF387">
        <v>1772135664</v>
      </c>
      <c r="BG387">
        <v>0.97154300000000005</v>
      </c>
      <c r="BH387" t="s">
        <v>22</v>
      </c>
      <c r="BI387">
        <v>20</v>
      </c>
      <c r="BJ387">
        <v>1772041133</v>
      </c>
      <c r="BK387">
        <v>200</v>
      </c>
      <c r="BL387">
        <v>5</v>
      </c>
      <c r="BM387">
        <v>2</v>
      </c>
      <c r="BN387">
        <v>1</v>
      </c>
      <c r="BO387">
        <v>0</v>
      </c>
      <c r="BP387">
        <v>0</v>
      </c>
      <c r="BQ387">
        <v>0.81179999999999997</v>
      </c>
      <c r="BR387">
        <v>0.81179999999999997</v>
      </c>
    </row>
    <row r="388" spans="49:70">
      <c r="AW388">
        <v>21</v>
      </c>
      <c r="AX388">
        <v>48.244871000000003</v>
      </c>
      <c r="AY388">
        <v>16.369864</v>
      </c>
      <c r="AZ388">
        <v>1</v>
      </c>
      <c r="BA388">
        <v>386</v>
      </c>
      <c r="BB388">
        <v>386</v>
      </c>
      <c r="BC388">
        <v>1</v>
      </c>
      <c r="BD388" t="s">
        <v>1351</v>
      </c>
      <c r="BE388">
        <v>1772041142</v>
      </c>
      <c r="BF388">
        <v>1772135664</v>
      </c>
      <c r="BG388">
        <v>0.97154300000000005</v>
      </c>
      <c r="BH388" t="s">
        <v>22</v>
      </c>
      <c r="BI388">
        <v>20</v>
      </c>
      <c r="BJ388">
        <v>1772041142</v>
      </c>
      <c r="BK388">
        <v>200</v>
      </c>
      <c r="BL388">
        <v>5</v>
      </c>
      <c r="BM388">
        <v>2</v>
      </c>
      <c r="BN388">
        <v>1</v>
      </c>
      <c r="BO388">
        <v>0</v>
      </c>
      <c r="BP388">
        <v>0</v>
      </c>
      <c r="BQ388">
        <v>0.75690000000000002</v>
      </c>
      <c r="BR388">
        <v>0.75690000000000002</v>
      </c>
    </row>
    <row r="389" spans="49:70">
      <c r="AW389">
        <v>21</v>
      </c>
      <c r="AX389">
        <v>48.244706999999998</v>
      </c>
      <c r="AY389">
        <v>16.370173000000001</v>
      </c>
      <c r="AZ389">
        <v>1</v>
      </c>
      <c r="BA389">
        <v>390</v>
      </c>
      <c r="BB389">
        <v>390</v>
      </c>
      <c r="BC389">
        <v>1</v>
      </c>
      <c r="BD389" t="s">
        <v>1351</v>
      </c>
      <c r="BE389">
        <v>1772041153</v>
      </c>
      <c r="BF389">
        <v>1772135664</v>
      </c>
      <c r="BG389">
        <v>0.97154300000000005</v>
      </c>
      <c r="BH389" t="s">
        <v>22</v>
      </c>
      <c r="BI389">
        <v>20</v>
      </c>
      <c r="BJ389">
        <v>1772041153</v>
      </c>
      <c r="BK389">
        <v>200</v>
      </c>
      <c r="BL389">
        <v>5</v>
      </c>
      <c r="BM389">
        <v>2</v>
      </c>
      <c r="BN389">
        <v>1</v>
      </c>
      <c r="BO389">
        <v>0</v>
      </c>
      <c r="BP389">
        <v>0</v>
      </c>
      <c r="BQ389">
        <v>0.76470000000000005</v>
      </c>
      <c r="BR389">
        <v>0.76470000000000005</v>
      </c>
    </row>
    <row r="390" spans="49:70">
      <c r="AW390">
        <v>21</v>
      </c>
      <c r="AX390">
        <v>48.244973000000002</v>
      </c>
      <c r="AY390">
        <v>16.370266000000001</v>
      </c>
      <c r="AZ390">
        <v>1</v>
      </c>
      <c r="BA390">
        <v>362</v>
      </c>
      <c r="BB390">
        <v>362</v>
      </c>
      <c r="BC390">
        <v>1</v>
      </c>
      <c r="BD390" t="s">
        <v>1351</v>
      </c>
      <c r="BE390">
        <v>1772041161</v>
      </c>
      <c r="BF390">
        <v>1772135664</v>
      </c>
      <c r="BG390">
        <v>0.97154300000000005</v>
      </c>
      <c r="BH390" t="s">
        <v>22</v>
      </c>
      <c r="BI390">
        <v>20</v>
      </c>
      <c r="BJ390">
        <v>1772041161</v>
      </c>
      <c r="BK390">
        <v>200</v>
      </c>
      <c r="BL390">
        <v>5</v>
      </c>
      <c r="BM390">
        <v>2</v>
      </c>
      <c r="BN390">
        <v>1</v>
      </c>
      <c r="BO390">
        <v>0</v>
      </c>
      <c r="BP390">
        <v>0</v>
      </c>
      <c r="BQ390">
        <v>0.70979999999999999</v>
      </c>
      <c r="BR390">
        <v>0.70979999999999999</v>
      </c>
    </row>
    <row r="391" spans="49:70">
      <c r="AW391">
        <v>21</v>
      </c>
      <c r="AX391">
        <v>48.245376999999998</v>
      </c>
      <c r="AY391">
        <v>16.369703000000001</v>
      </c>
      <c r="AZ391">
        <v>1</v>
      </c>
      <c r="BA391">
        <v>424</v>
      </c>
      <c r="BB391">
        <v>424</v>
      </c>
      <c r="BC391">
        <v>1</v>
      </c>
      <c r="BD391" t="s">
        <v>1351</v>
      </c>
      <c r="BE391">
        <v>1772041168</v>
      </c>
      <c r="BF391">
        <v>1772135664</v>
      </c>
      <c r="BG391">
        <v>0.97154300000000005</v>
      </c>
      <c r="BH391" t="s">
        <v>22</v>
      </c>
      <c r="BI391">
        <v>20</v>
      </c>
      <c r="BJ391">
        <v>1772041168</v>
      </c>
      <c r="BK391">
        <v>200</v>
      </c>
      <c r="BL391">
        <v>5</v>
      </c>
      <c r="BM391">
        <v>2</v>
      </c>
      <c r="BN391">
        <v>1</v>
      </c>
      <c r="BO391">
        <v>0</v>
      </c>
      <c r="BP391">
        <v>0</v>
      </c>
      <c r="BQ391">
        <v>0.83140000000000003</v>
      </c>
      <c r="BR391">
        <v>0.83140000000000003</v>
      </c>
    </row>
    <row r="392" spans="49:70">
      <c r="AW392">
        <v>21</v>
      </c>
      <c r="AX392">
        <v>48.245165999999998</v>
      </c>
      <c r="AY392">
        <v>16.369249</v>
      </c>
      <c r="AZ392">
        <v>1</v>
      </c>
      <c r="BA392">
        <v>372</v>
      </c>
      <c r="BB392">
        <v>372</v>
      </c>
      <c r="BC392">
        <v>1</v>
      </c>
      <c r="BD392" t="s">
        <v>1351</v>
      </c>
      <c r="BE392">
        <v>1772041185</v>
      </c>
      <c r="BF392">
        <v>1772135664</v>
      </c>
      <c r="BG392">
        <v>0.97154300000000005</v>
      </c>
      <c r="BH392" t="s">
        <v>22</v>
      </c>
      <c r="BI392">
        <v>20</v>
      </c>
      <c r="BJ392">
        <v>1772041185</v>
      </c>
      <c r="BK392">
        <v>200</v>
      </c>
      <c r="BL392">
        <v>5</v>
      </c>
      <c r="BM392">
        <v>2</v>
      </c>
      <c r="BN392">
        <v>1</v>
      </c>
      <c r="BO392">
        <v>0</v>
      </c>
      <c r="BP392">
        <v>0</v>
      </c>
      <c r="BQ392">
        <v>0.72940000000000005</v>
      </c>
      <c r="BR392">
        <v>0.72940000000000005</v>
      </c>
    </row>
    <row r="393" spans="49:70">
      <c r="AW393">
        <v>21</v>
      </c>
      <c r="AX393">
        <v>48.244463000000003</v>
      </c>
      <c r="AY393">
        <v>16.369993999999998</v>
      </c>
      <c r="AZ393">
        <v>1</v>
      </c>
      <c r="BA393">
        <v>424</v>
      </c>
      <c r="BB393">
        <v>424</v>
      </c>
      <c r="BC393">
        <v>1</v>
      </c>
      <c r="BD393" t="s">
        <v>1351</v>
      </c>
      <c r="BE393">
        <v>1772095028</v>
      </c>
      <c r="BF393">
        <v>1772135664</v>
      </c>
      <c r="BG393">
        <v>0.97154300000000005</v>
      </c>
      <c r="BH393" t="s">
        <v>22</v>
      </c>
      <c r="BI393">
        <v>20</v>
      </c>
      <c r="BJ393">
        <v>1772095028</v>
      </c>
      <c r="BK393">
        <v>200</v>
      </c>
      <c r="BL393">
        <v>5</v>
      </c>
      <c r="BM393">
        <v>2</v>
      </c>
      <c r="BN393">
        <v>1</v>
      </c>
      <c r="BO393">
        <v>0</v>
      </c>
      <c r="BP393">
        <v>0</v>
      </c>
      <c r="BQ393">
        <v>0.83140000000000003</v>
      </c>
      <c r="BR393">
        <v>0.83140000000000003</v>
      </c>
    </row>
    <row r="394" spans="49:70">
      <c r="AW394">
        <v>21</v>
      </c>
      <c r="AX394">
        <v>48.244847</v>
      </c>
      <c r="AY394">
        <v>16.368943000000002</v>
      </c>
      <c r="AZ394">
        <v>1</v>
      </c>
      <c r="BA394">
        <v>368</v>
      </c>
      <c r="BB394">
        <v>368</v>
      </c>
      <c r="BC394">
        <v>1</v>
      </c>
      <c r="BD394" t="s">
        <v>1351</v>
      </c>
      <c r="BE394">
        <v>1772098947</v>
      </c>
      <c r="BF394">
        <v>1772135664</v>
      </c>
      <c r="BG394">
        <v>0.97154300000000005</v>
      </c>
      <c r="BH394" t="s">
        <v>22</v>
      </c>
      <c r="BI394">
        <v>20</v>
      </c>
      <c r="BJ394">
        <v>1772098947</v>
      </c>
      <c r="BK394">
        <v>200</v>
      </c>
      <c r="BL394">
        <v>5</v>
      </c>
      <c r="BM394">
        <v>2</v>
      </c>
      <c r="BN394">
        <v>1</v>
      </c>
      <c r="BO394">
        <v>0</v>
      </c>
      <c r="BP394">
        <v>0</v>
      </c>
      <c r="BQ394">
        <v>0.72160000000000002</v>
      </c>
      <c r="BR394">
        <v>0.72160000000000002</v>
      </c>
    </row>
    <row r="395" spans="49:70">
      <c r="AW395">
        <v>21</v>
      </c>
      <c r="AX395">
        <v>48.230058</v>
      </c>
      <c r="AY395">
        <v>16.376671999999999</v>
      </c>
      <c r="AZ395">
        <v>1</v>
      </c>
      <c r="BA395">
        <v>418</v>
      </c>
      <c r="BB395">
        <v>418</v>
      </c>
      <c r="BC395">
        <v>1</v>
      </c>
      <c r="BD395" t="s">
        <v>1351</v>
      </c>
      <c r="BE395">
        <v>1772115293</v>
      </c>
      <c r="BF395">
        <v>1772135664</v>
      </c>
      <c r="BG395">
        <v>0.97154300000000005</v>
      </c>
      <c r="BH395" t="s">
        <v>22</v>
      </c>
      <c r="BI395">
        <v>20</v>
      </c>
      <c r="BJ395">
        <v>1772115293</v>
      </c>
      <c r="BK395">
        <v>200</v>
      </c>
      <c r="BL395">
        <v>5</v>
      </c>
      <c r="BM395">
        <v>2</v>
      </c>
      <c r="BN395">
        <v>1</v>
      </c>
      <c r="BO395">
        <v>0</v>
      </c>
      <c r="BP395">
        <v>0</v>
      </c>
      <c r="BQ395">
        <v>0.8196</v>
      </c>
      <c r="BR395">
        <v>0.8196</v>
      </c>
    </row>
    <row r="396" spans="49:70">
      <c r="AW396">
        <v>21</v>
      </c>
      <c r="AX396">
        <v>48.229897000000001</v>
      </c>
      <c r="AY396">
        <v>16.377006000000002</v>
      </c>
      <c r="AZ396">
        <v>1</v>
      </c>
      <c r="BA396">
        <v>466</v>
      </c>
      <c r="BB396">
        <v>466</v>
      </c>
      <c r="BC396">
        <v>1</v>
      </c>
      <c r="BD396" t="s">
        <v>1351</v>
      </c>
      <c r="BE396">
        <v>1772115298</v>
      </c>
      <c r="BF396">
        <v>1772135664</v>
      </c>
      <c r="BG396">
        <v>0.97154300000000005</v>
      </c>
      <c r="BH396" t="s">
        <v>22</v>
      </c>
      <c r="BI396">
        <v>20</v>
      </c>
      <c r="BJ396">
        <v>1772115298</v>
      </c>
      <c r="BK396">
        <v>200</v>
      </c>
      <c r="BL396">
        <v>5</v>
      </c>
      <c r="BM396">
        <v>2</v>
      </c>
      <c r="BN396">
        <v>1</v>
      </c>
      <c r="BO396">
        <v>0</v>
      </c>
      <c r="BP396">
        <v>0</v>
      </c>
      <c r="BQ396">
        <v>0.91369999999999996</v>
      </c>
      <c r="BR396">
        <v>0.91369999999999996</v>
      </c>
    </row>
    <row r="397" spans="49:70">
      <c r="AW397">
        <v>21</v>
      </c>
      <c r="AX397">
        <v>48.229703999999998</v>
      </c>
      <c r="AY397">
        <v>16.377298</v>
      </c>
      <c r="AZ397">
        <v>1</v>
      </c>
      <c r="BA397">
        <v>502</v>
      </c>
      <c r="BB397">
        <v>502</v>
      </c>
      <c r="BC397">
        <v>1</v>
      </c>
      <c r="BD397" t="s">
        <v>1351</v>
      </c>
      <c r="BE397">
        <v>1772115303</v>
      </c>
      <c r="BF397">
        <v>1772135664</v>
      </c>
      <c r="BG397">
        <v>0.97154300000000005</v>
      </c>
      <c r="BH397" t="s">
        <v>22</v>
      </c>
      <c r="BI397">
        <v>20</v>
      </c>
      <c r="BJ397">
        <v>1772115303</v>
      </c>
      <c r="BK397">
        <v>200</v>
      </c>
      <c r="BL397">
        <v>5</v>
      </c>
      <c r="BM397">
        <v>2</v>
      </c>
      <c r="BN397">
        <v>1</v>
      </c>
      <c r="BO397">
        <v>0</v>
      </c>
      <c r="BP397">
        <v>0</v>
      </c>
      <c r="BQ397">
        <v>0.98429999999999995</v>
      </c>
      <c r="BR397">
        <v>0.98429999999999995</v>
      </c>
    </row>
    <row r="398" spans="49:70">
      <c r="AW398">
        <v>21</v>
      </c>
      <c r="AX398">
        <v>48.229508000000003</v>
      </c>
      <c r="AY398">
        <v>16.377583999999999</v>
      </c>
      <c r="AZ398">
        <v>1</v>
      </c>
      <c r="BA398">
        <v>510</v>
      </c>
      <c r="BB398">
        <v>510</v>
      </c>
      <c r="BC398">
        <v>1</v>
      </c>
      <c r="BD398" t="s">
        <v>1351</v>
      </c>
      <c r="BE398">
        <v>1772115307</v>
      </c>
      <c r="BF398">
        <v>1772135664</v>
      </c>
      <c r="BG398">
        <v>0.97154300000000005</v>
      </c>
      <c r="BH398" t="s">
        <v>22</v>
      </c>
      <c r="BI398">
        <v>20</v>
      </c>
      <c r="BJ398">
        <v>1772115307</v>
      </c>
      <c r="BK398">
        <v>200</v>
      </c>
      <c r="BL398">
        <v>5</v>
      </c>
      <c r="BM398">
        <v>2</v>
      </c>
      <c r="BN398">
        <v>1</v>
      </c>
      <c r="BO398">
        <v>0</v>
      </c>
      <c r="BP398">
        <v>0</v>
      </c>
      <c r="BQ398">
        <v>1</v>
      </c>
      <c r="BR398">
        <v>1</v>
      </c>
    </row>
    <row r="399" spans="49:70">
      <c r="AW399">
        <v>21</v>
      </c>
      <c r="AX399">
        <v>48.229439999999997</v>
      </c>
      <c r="AY399">
        <v>16.377202</v>
      </c>
      <c r="AZ399">
        <v>1</v>
      </c>
      <c r="BA399">
        <v>510</v>
      </c>
      <c r="BB399">
        <v>510</v>
      </c>
      <c r="BC399">
        <v>1</v>
      </c>
      <c r="BD399" t="s">
        <v>1351</v>
      </c>
      <c r="BE399">
        <v>1772115312</v>
      </c>
      <c r="BF399">
        <v>1772135664</v>
      </c>
      <c r="BG399">
        <v>0.97154300000000005</v>
      </c>
      <c r="BH399" t="s">
        <v>22</v>
      </c>
      <c r="BI399">
        <v>20</v>
      </c>
      <c r="BJ399">
        <v>1772115312</v>
      </c>
      <c r="BK399">
        <v>200</v>
      </c>
      <c r="BL399">
        <v>5</v>
      </c>
      <c r="BM399">
        <v>2</v>
      </c>
      <c r="BN399">
        <v>1</v>
      </c>
      <c r="BO399">
        <v>0</v>
      </c>
      <c r="BP399">
        <v>0</v>
      </c>
      <c r="BQ399">
        <v>1</v>
      </c>
      <c r="BR399">
        <v>1</v>
      </c>
    </row>
    <row r="400" spans="49:70">
      <c r="AW400">
        <v>21</v>
      </c>
      <c r="AX400">
        <v>48.229632000000002</v>
      </c>
      <c r="AY400">
        <v>16.376906000000002</v>
      </c>
      <c r="AZ400">
        <v>1</v>
      </c>
      <c r="BA400">
        <v>470</v>
      </c>
      <c r="BB400">
        <v>470</v>
      </c>
      <c r="BC400">
        <v>1</v>
      </c>
      <c r="BD400" t="s">
        <v>1351</v>
      </c>
      <c r="BE400">
        <v>1772115317</v>
      </c>
      <c r="BF400">
        <v>1772135664</v>
      </c>
      <c r="BG400">
        <v>0.97154300000000005</v>
      </c>
      <c r="BH400" t="s">
        <v>22</v>
      </c>
      <c r="BI400">
        <v>20</v>
      </c>
      <c r="BJ400">
        <v>1772115317</v>
      </c>
      <c r="BK400">
        <v>200</v>
      </c>
      <c r="BL400">
        <v>5</v>
      </c>
      <c r="BM400">
        <v>2</v>
      </c>
      <c r="BN400">
        <v>1</v>
      </c>
      <c r="BO400">
        <v>0</v>
      </c>
      <c r="BP400">
        <v>0</v>
      </c>
      <c r="BQ400">
        <v>0.92159999999999997</v>
      </c>
      <c r="BR400">
        <v>0.92159999999999997</v>
      </c>
    </row>
    <row r="401" spans="49:70">
      <c r="AW401">
        <v>21</v>
      </c>
      <c r="AX401">
        <v>48.229367000000003</v>
      </c>
      <c r="AY401">
        <v>16.376816999999999</v>
      </c>
      <c r="AZ401">
        <v>1</v>
      </c>
      <c r="BA401">
        <v>432</v>
      </c>
      <c r="BB401">
        <v>432</v>
      </c>
      <c r="BC401">
        <v>1</v>
      </c>
      <c r="BD401" t="s">
        <v>1351</v>
      </c>
      <c r="BE401">
        <v>1772115321</v>
      </c>
      <c r="BF401">
        <v>1772135664</v>
      </c>
      <c r="BG401">
        <v>0.97154300000000005</v>
      </c>
      <c r="BH401" t="s">
        <v>22</v>
      </c>
      <c r="BI401">
        <v>20</v>
      </c>
      <c r="BJ401">
        <v>1772115321</v>
      </c>
      <c r="BK401">
        <v>200</v>
      </c>
      <c r="BL401">
        <v>5</v>
      </c>
      <c r="BM401">
        <v>2</v>
      </c>
      <c r="BN401">
        <v>1</v>
      </c>
      <c r="BO401">
        <v>0</v>
      </c>
      <c r="BP401">
        <v>0</v>
      </c>
      <c r="BQ401">
        <v>0.84709999999999996</v>
      </c>
      <c r="BR401">
        <v>0.84709999999999996</v>
      </c>
    </row>
    <row r="402" spans="49:70">
      <c r="AW402">
        <v>21</v>
      </c>
      <c r="AX402">
        <v>48.229174999999998</v>
      </c>
      <c r="AY402">
        <v>16.377110999999999</v>
      </c>
      <c r="AZ402">
        <v>1</v>
      </c>
      <c r="BA402">
        <v>510</v>
      </c>
      <c r="BB402">
        <v>510</v>
      </c>
      <c r="BC402">
        <v>1</v>
      </c>
      <c r="BD402" t="s">
        <v>1351</v>
      </c>
      <c r="BE402">
        <v>1772115328</v>
      </c>
      <c r="BF402">
        <v>1772135664</v>
      </c>
      <c r="BG402">
        <v>0.97154300000000005</v>
      </c>
      <c r="BH402" t="s">
        <v>22</v>
      </c>
      <c r="BI402">
        <v>20</v>
      </c>
      <c r="BJ402">
        <v>1772115328</v>
      </c>
      <c r="BK402">
        <v>200</v>
      </c>
      <c r="BL402">
        <v>5</v>
      </c>
      <c r="BM402">
        <v>2</v>
      </c>
      <c r="BN402">
        <v>1</v>
      </c>
      <c r="BO402">
        <v>0</v>
      </c>
      <c r="BP402">
        <v>0</v>
      </c>
      <c r="BQ402">
        <v>1</v>
      </c>
      <c r="BR402">
        <v>1</v>
      </c>
    </row>
    <row r="403" spans="49:70">
      <c r="AW403">
        <v>21</v>
      </c>
      <c r="AX403">
        <v>48.219589999999997</v>
      </c>
      <c r="AY403">
        <v>16.389961</v>
      </c>
      <c r="AZ403">
        <v>1</v>
      </c>
      <c r="BA403">
        <v>446</v>
      </c>
      <c r="BB403">
        <v>446</v>
      </c>
      <c r="BC403">
        <v>1</v>
      </c>
      <c r="BD403" t="s">
        <v>1351</v>
      </c>
      <c r="BE403">
        <v>1772124003</v>
      </c>
      <c r="BF403">
        <v>1772135664</v>
      </c>
      <c r="BG403">
        <v>0.97154300000000005</v>
      </c>
      <c r="BH403" t="s">
        <v>22</v>
      </c>
      <c r="BI403">
        <v>20</v>
      </c>
      <c r="BJ403">
        <v>1772124003</v>
      </c>
      <c r="BK403">
        <v>200</v>
      </c>
      <c r="BL403">
        <v>5</v>
      </c>
      <c r="BM403">
        <v>2</v>
      </c>
      <c r="BN403">
        <v>1</v>
      </c>
      <c r="BO403">
        <v>0</v>
      </c>
      <c r="BP403">
        <v>0</v>
      </c>
      <c r="BQ403">
        <v>0.87450000000000006</v>
      </c>
      <c r="BR403">
        <v>0.87450000000000006</v>
      </c>
    </row>
    <row r="404" spans="49:70">
      <c r="AW404">
        <v>21</v>
      </c>
      <c r="AX404">
        <v>48.219864999999999</v>
      </c>
      <c r="AY404">
        <v>16.390084000000002</v>
      </c>
      <c r="AZ404">
        <v>1</v>
      </c>
      <c r="BA404">
        <v>414</v>
      </c>
      <c r="BB404">
        <v>414</v>
      </c>
      <c r="BC404">
        <v>1</v>
      </c>
      <c r="BD404" t="s">
        <v>1351</v>
      </c>
      <c r="BE404">
        <v>1772124007</v>
      </c>
      <c r="BF404">
        <v>1772135664</v>
      </c>
      <c r="BG404">
        <v>0.97154300000000005</v>
      </c>
      <c r="BH404" t="s">
        <v>22</v>
      </c>
      <c r="BI404">
        <v>20</v>
      </c>
      <c r="BJ404">
        <v>1772124007</v>
      </c>
      <c r="BK404">
        <v>200</v>
      </c>
      <c r="BL404">
        <v>5</v>
      </c>
      <c r="BM404">
        <v>2</v>
      </c>
      <c r="BN404">
        <v>1</v>
      </c>
      <c r="BO404">
        <v>0</v>
      </c>
      <c r="BP404">
        <v>0</v>
      </c>
      <c r="BQ404">
        <v>0.81179999999999997</v>
      </c>
      <c r="BR404">
        <v>0.81179999999999997</v>
      </c>
    </row>
    <row r="405" spans="49:70">
      <c r="AW405">
        <v>21</v>
      </c>
      <c r="AX405">
        <v>48.220123999999998</v>
      </c>
      <c r="AY405">
        <v>16.390150999999999</v>
      </c>
      <c r="AZ405">
        <v>1</v>
      </c>
      <c r="BA405">
        <v>452</v>
      </c>
      <c r="BB405">
        <v>452</v>
      </c>
      <c r="BC405">
        <v>1</v>
      </c>
      <c r="BD405" t="s">
        <v>1351</v>
      </c>
      <c r="BE405">
        <v>1772124012</v>
      </c>
      <c r="BF405">
        <v>1772135664</v>
      </c>
      <c r="BG405">
        <v>0.97154300000000005</v>
      </c>
      <c r="BH405" t="s">
        <v>22</v>
      </c>
      <c r="BI405">
        <v>20</v>
      </c>
      <c r="BJ405">
        <v>1772124012</v>
      </c>
      <c r="BK405">
        <v>200</v>
      </c>
      <c r="BL405">
        <v>5</v>
      </c>
      <c r="BM405">
        <v>2</v>
      </c>
      <c r="BN405">
        <v>1</v>
      </c>
      <c r="BO405">
        <v>0</v>
      </c>
      <c r="BP405">
        <v>0</v>
      </c>
      <c r="BQ405">
        <v>0.88629999999999998</v>
      </c>
      <c r="BR405">
        <v>0.88629999999999998</v>
      </c>
    </row>
    <row r="406" spans="49:70">
      <c r="AW406">
        <v>21</v>
      </c>
      <c r="AX406">
        <v>48.220568999999998</v>
      </c>
      <c r="AY406">
        <v>16.390277999999999</v>
      </c>
      <c r="AZ406">
        <v>1</v>
      </c>
      <c r="BA406">
        <v>438</v>
      </c>
      <c r="BB406">
        <v>438</v>
      </c>
      <c r="BC406">
        <v>1</v>
      </c>
      <c r="BD406" t="s">
        <v>1351</v>
      </c>
      <c r="BE406">
        <v>1772124016</v>
      </c>
      <c r="BF406">
        <v>1772135664</v>
      </c>
      <c r="BG406">
        <v>0.97154300000000005</v>
      </c>
      <c r="BH406" t="s">
        <v>22</v>
      </c>
      <c r="BI406">
        <v>20</v>
      </c>
      <c r="BJ406">
        <v>1772124016</v>
      </c>
      <c r="BK406">
        <v>200</v>
      </c>
      <c r="BL406">
        <v>5</v>
      </c>
      <c r="BM406">
        <v>2</v>
      </c>
      <c r="BN406">
        <v>1</v>
      </c>
      <c r="BO406">
        <v>0</v>
      </c>
      <c r="BP406">
        <v>0</v>
      </c>
      <c r="BQ406">
        <v>0.85880000000000001</v>
      </c>
      <c r="BR406">
        <v>0.85880000000000001</v>
      </c>
    </row>
    <row r="407" spans="49:70">
      <c r="AW407">
        <v>21</v>
      </c>
      <c r="AX407">
        <v>48.22016</v>
      </c>
      <c r="AY407">
        <v>16.389751</v>
      </c>
      <c r="AZ407">
        <v>1</v>
      </c>
      <c r="BA407">
        <v>404</v>
      </c>
      <c r="BB407">
        <v>404</v>
      </c>
      <c r="BC407">
        <v>1</v>
      </c>
      <c r="BD407" t="s">
        <v>1351</v>
      </c>
      <c r="BE407">
        <v>1772124022</v>
      </c>
      <c r="BF407">
        <v>1772135664</v>
      </c>
      <c r="BG407">
        <v>0.97154300000000005</v>
      </c>
      <c r="BH407" t="s">
        <v>22</v>
      </c>
      <c r="BI407">
        <v>20</v>
      </c>
      <c r="BJ407">
        <v>1772124022</v>
      </c>
      <c r="BK407">
        <v>200</v>
      </c>
      <c r="BL407">
        <v>5</v>
      </c>
      <c r="BM407">
        <v>2</v>
      </c>
      <c r="BN407">
        <v>1</v>
      </c>
      <c r="BO407">
        <v>0</v>
      </c>
      <c r="BP407">
        <v>0</v>
      </c>
      <c r="BQ407">
        <v>0.79220000000000002</v>
      </c>
      <c r="BR407">
        <v>0.79220000000000002</v>
      </c>
    </row>
    <row r="408" spans="49:70">
      <c r="AW408">
        <v>21</v>
      </c>
      <c r="AX408">
        <v>48.222453999999999</v>
      </c>
      <c r="AY408">
        <v>16.382587000000001</v>
      </c>
      <c r="AZ408">
        <v>1</v>
      </c>
      <c r="BA408">
        <v>466</v>
      </c>
      <c r="BB408">
        <v>466</v>
      </c>
      <c r="BC408">
        <v>1</v>
      </c>
      <c r="BD408" t="s">
        <v>1351</v>
      </c>
      <c r="BE408">
        <v>1772124360</v>
      </c>
      <c r="BF408">
        <v>1772135664</v>
      </c>
      <c r="BG408">
        <v>0.97154300000000005</v>
      </c>
      <c r="BH408" t="s">
        <v>22</v>
      </c>
      <c r="BI408">
        <v>20</v>
      </c>
      <c r="BJ408">
        <v>1772124360</v>
      </c>
      <c r="BK408">
        <v>200</v>
      </c>
      <c r="BL408">
        <v>5</v>
      </c>
      <c r="BM408">
        <v>2</v>
      </c>
      <c r="BN408">
        <v>1</v>
      </c>
      <c r="BO408">
        <v>0</v>
      </c>
      <c r="BP408">
        <v>0</v>
      </c>
      <c r="BQ408">
        <v>0.91369999999999996</v>
      </c>
      <c r="BR408">
        <v>0.91369999999999996</v>
      </c>
    </row>
    <row r="409" spans="49:70">
      <c r="AW409">
        <v>21</v>
      </c>
      <c r="AX409">
        <v>48.222028000000002</v>
      </c>
      <c r="AY409">
        <v>16.382235000000001</v>
      </c>
      <c r="AZ409">
        <v>1</v>
      </c>
      <c r="BA409">
        <v>418</v>
      </c>
      <c r="BB409">
        <v>418</v>
      </c>
      <c r="BC409">
        <v>1</v>
      </c>
      <c r="BD409" t="s">
        <v>1351</v>
      </c>
      <c r="BE409">
        <v>1772124366</v>
      </c>
      <c r="BF409">
        <v>1772135664</v>
      </c>
      <c r="BG409">
        <v>0.97154300000000005</v>
      </c>
      <c r="BH409" t="s">
        <v>22</v>
      </c>
      <c r="BI409">
        <v>20</v>
      </c>
      <c r="BJ409">
        <v>1772124366</v>
      </c>
      <c r="BK409">
        <v>200</v>
      </c>
      <c r="BL409">
        <v>5</v>
      </c>
      <c r="BM409">
        <v>2</v>
      </c>
      <c r="BN409">
        <v>1</v>
      </c>
      <c r="BO409">
        <v>0</v>
      </c>
      <c r="BP409">
        <v>0</v>
      </c>
      <c r="BQ409">
        <v>0.8196</v>
      </c>
      <c r="BR409">
        <v>0.8196</v>
      </c>
    </row>
    <row r="410" spans="49:70">
      <c r="AW410">
        <v>21</v>
      </c>
      <c r="AX410">
        <v>48.222580999999998</v>
      </c>
      <c r="AY410">
        <v>16.382946</v>
      </c>
      <c r="AZ410">
        <v>1</v>
      </c>
      <c r="BA410">
        <v>438</v>
      </c>
      <c r="BB410">
        <v>438</v>
      </c>
      <c r="BC410">
        <v>1</v>
      </c>
      <c r="BD410" t="s">
        <v>1351</v>
      </c>
      <c r="BE410">
        <v>1772124374</v>
      </c>
      <c r="BF410">
        <v>1772135664</v>
      </c>
      <c r="BG410">
        <v>0.97154300000000005</v>
      </c>
      <c r="BH410" t="s">
        <v>22</v>
      </c>
      <c r="BI410">
        <v>20</v>
      </c>
      <c r="BJ410">
        <v>1772124374</v>
      </c>
      <c r="BK410">
        <v>200</v>
      </c>
      <c r="BL410">
        <v>5</v>
      </c>
      <c r="BM410">
        <v>2</v>
      </c>
      <c r="BN410">
        <v>1</v>
      </c>
      <c r="BO410">
        <v>0</v>
      </c>
      <c r="BP410">
        <v>0</v>
      </c>
      <c r="BQ410">
        <v>0.85880000000000001</v>
      </c>
      <c r="BR410">
        <v>0.85880000000000001</v>
      </c>
    </row>
    <row r="411" spans="49:70">
      <c r="AW411">
        <v>21</v>
      </c>
      <c r="AX411">
        <v>48.235728000000002</v>
      </c>
      <c r="AY411">
        <v>16.370096</v>
      </c>
      <c r="AZ411">
        <v>1</v>
      </c>
      <c r="BA411">
        <v>446</v>
      </c>
      <c r="BB411">
        <v>446</v>
      </c>
      <c r="BC411">
        <v>1</v>
      </c>
      <c r="BD411" t="s">
        <v>1351</v>
      </c>
      <c r="BE411">
        <v>1772125000</v>
      </c>
      <c r="BF411">
        <v>1772135664</v>
      </c>
      <c r="BG411">
        <v>0.97154300000000005</v>
      </c>
      <c r="BH411" t="s">
        <v>22</v>
      </c>
      <c r="BI411">
        <v>20</v>
      </c>
      <c r="BJ411">
        <v>1772125000</v>
      </c>
      <c r="BK411">
        <v>200</v>
      </c>
      <c r="BL411">
        <v>5</v>
      </c>
      <c r="BM411">
        <v>2</v>
      </c>
      <c r="BN411">
        <v>1</v>
      </c>
      <c r="BO411">
        <v>0</v>
      </c>
      <c r="BP411">
        <v>0</v>
      </c>
      <c r="BQ411">
        <v>0.87450000000000006</v>
      </c>
      <c r="BR411">
        <v>0.87450000000000006</v>
      </c>
    </row>
    <row r="412" spans="49:70">
      <c r="AW412">
        <v>21</v>
      </c>
      <c r="AX412">
        <v>48.235528000000002</v>
      </c>
      <c r="AY412">
        <v>16.369827000000001</v>
      </c>
      <c r="AZ412">
        <v>1</v>
      </c>
      <c r="BA412">
        <v>480</v>
      </c>
      <c r="BB412">
        <v>480</v>
      </c>
      <c r="BC412">
        <v>1</v>
      </c>
      <c r="BD412" t="s">
        <v>1351</v>
      </c>
      <c r="BE412">
        <v>1772125004</v>
      </c>
      <c r="BF412">
        <v>1772135664</v>
      </c>
      <c r="BG412">
        <v>0.97154300000000005</v>
      </c>
      <c r="BH412" t="s">
        <v>22</v>
      </c>
      <c r="BI412">
        <v>20</v>
      </c>
      <c r="BJ412">
        <v>1772125004</v>
      </c>
      <c r="BK412">
        <v>200</v>
      </c>
      <c r="BL412">
        <v>5</v>
      </c>
      <c r="BM412">
        <v>2</v>
      </c>
      <c r="BN412">
        <v>1</v>
      </c>
      <c r="BO412">
        <v>0</v>
      </c>
      <c r="BP412">
        <v>0</v>
      </c>
      <c r="BQ412">
        <v>0.94120000000000004</v>
      </c>
      <c r="BR412">
        <v>0.94120000000000004</v>
      </c>
    </row>
    <row r="413" spans="49:70">
      <c r="AW413">
        <v>21</v>
      </c>
      <c r="AX413">
        <v>48.235767000000003</v>
      </c>
      <c r="AY413">
        <v>16.370519999999999</v>
      </c>
      <c r="AZ413">
        <v>1</v>
      </c>
      <c r="BA413">
        <v>410</v>
      </c>
      <c r="BB413">
        <v>410</v>
      </c>
      <c r="BC413">
        <v>1</v>
      </c>
      <c r="BD413" t="s">
        <v>1351</v>
      </c>
      <c r="BE413">
        <v>1772125019</v>
      </c>
      <c r="BF413">
        <v>1772135664</v>
      </c>
      <c r="BG413">
        <v>0.97154300000000005</v>
      </c>
      <c r="BH413" t="s">
        <v>22</v>
      </c>
      <c r="BI413">
        <v>20</v>
      </c>
      <c r="BJ413">
        <v>1772125019</v>
      </c>
      <c r="BK413">
        <v>200</v>
      </c>
      <c r="BL413">
        <v>5</v>
      </c>
      <c r="BM413">
        <v>2</v>
      </c>
      <c r="BN413">
        <v>1</v>
      </c>
      <c r="BO413">
        <v>0</v>
      </c>
      <c r="BP413">
        <v>0</v>
      </c>
      <c r="BQ413">
        <v>0.80389999999999995</v>
      </c>
      <c r="BR413">
        <v>0.80389999999999995</v>
      </c>
    </row>
    <row r="414" spans="49:70">
      <c r="AW414">
        <v>21</v>
      </c>
      <c r="AX414">
        <v>48.235641999999999</v>
      </c>
      <c r="AY414">
        <v>16.370875999999999</v>
      </c>
      <c r="AZ414">
        <v>1</v>
      </c>
      <c r="BA414">
        <v>410</v>
      </c>
      <c r="BB414">
        <v>410</v>
      </c>
      <c r="BC414">
        <v>1</v>
      </c>
      <c r="BD414" t="s">
        <v>1351</v>
      </c>
      <c r="BE414">
        <v>1772125024</v>
      </c>
      <c r="BF414">
        <v>1772135664</v>
      </c>
      <c r="BG414">
        <v>0.97154300000000005</v>
      </c>
      <c r="BH414" t="s">
        <v>22</v>
      </c>
      <c r="BI414">
        <v>20</v>
      </c>
      <c r="BJ414">
        <v>1772125024</v>
      </c>
      <c r="BK414">
        <v>200</v>
      </c>
      <c r="BL414">
        <v>5</v>
      </c>
      <c r="BM414">
        <v>2</v>
      </c>
      <c r="BN414">
        <v>1</v>
      </c>
      <c r="BO414">
        <v>0</v>
      </c>
      <c r="BP414">
        <v>0</v>
      </c>
      <c r="BQ414">
        <v>0.80389999999999995</v>
      </c>
      <c r="BR414">
        <v>0.80389999999999995</v>
      </c>
    </row>
    <row r="415" spans="49:70">
      <c r="AW415">
        <v>21</v>
      </c>
      <c r="AX415">
        <v>48.235373000000003</v>
      </c>
      <c r="AY415">
        <v>16.370812000000001</v>
      </c>
      <c r="AZ415">
        <v>1</v>
      </c>
      <c r="BA415">
        <v>410</v>
      </c>
      <c r="BB415">
        <v>410</v>
      </c>
      <c r="BC415">
        <v>1</v>
      </c>
      <c r="BD415" t="s">
        <v>1351</v>
      </c>
      <c r="BE415">
        <v>1772125028</v>
      </c>
      <c r="BF415">
        <v>1772135664</v>
      </c>
      <c r="BG415">
        <v>0.97154300000000005</v>
      </c>
      <c r="BH415" t="s">
        <v>22</v>
      </c>
      <c r="BI415">
        <v>20</v>
      </c>
      <c r="BJ415">
        <v>1772125028</v>
      </c>
      <c r="BK415">
        <v>200</v>
      </c>
      <c r="BL415">
        <v>5</v>
      </c>
      <c r="BM415">
        <v>2</v>
      </c>
      <c r="BN415">
        <v>1</v>
      </c>
      <c r="BO415">
        <v>0</v>
      </c>
      <c r="BP415">
        <v>0</v>
      </c>
      <c r="BQ415">
        <v>0.80389999999999995</v>
      </c>
      <c r="BR415">
        <v>0.80389999999999995</v>
      </c>
    </row>
    <row r="416" spans="49:70">
      <c r="AW416">
        <v>21</v>
      </c>
      <c r="AX416">
        <v>48.235981000000002</v>
      </c>
      <c r="AY416">
        <v>16.370260999999999</v>
      </c>
      <c r="AZ416">
        <v>1</v>
      </c>
      <c r="BA416">
        <v>414</v>
      </c>
      <c r="BB416">
        <v>414</v>
      </c>
      <c r="BC416">
        <v>1</v>
      </c>
      <c r="BD416" t="s">
        <v>1351</v>
      </c>
      <c r="BE416">
        <v>1772125038</v>
      </c>
      <c r="BF416">
        <v>1772135664</v>
      </c>
      <c r="BG416">
        <v>0.97154300000000005</v>
      </c>
      <c r="BH416" t="s">
        <v>22</v>
      </c>
      <c r="BI416">
        <v>20</v>
      </c>
      <c r="BJ416">
        <v>1772125038</v>
      </c>
      <c r="BK416">
        <v>200</v>
      </c>
      <c r="BL416">
        <v>5</v>
      </c>
      <c r="BM416">
        <v>2</v>
      </c>
      <c r="BN416">
        <v>1</v>
      </c>
      <c r="BO416">
        <v>0</v>
      </c>
      <c r="BP416">
        <v>0</v>
      </c>
      <c r="BQ416">
        <v>0.81179999999999997</v>
      </c>
      <c r="BR416">
        <v>0.81179999999999997</v>
      </c>
    </row>
    <row r="417" spans="49:70">
      <c r="AW417">
        <v>21</v>
      </c>
      <c r="AX417">
        <v>48.235948999999998</v>
      </c>
      <c r="AY417">
        <v>16.369852000000002</v>
      </c>
      <c r="AZ417">
        <v>1</v>
      </c>
      <c r="BA417">
        <v>414</v>
      </c>
      <c r="BB417">
        <v>414</v>
      </c>
      <c r="BC417">
        <v>1</v>
      </c>
      <c r="BD417" t="s">
        <v>1351</v>
      </c>
      <c r="BE417">
        <v>1772125048</v>
      </c>
      <c r="BF417">
        <v>1772135664</v>
      </c>
      <c r="BG417">
        <v>0.97154300000000005</v>
      </c>
      <c r="BH417" t="s">
        <v>22</v>
      </c>
      <c r="BI417">
        <v>20</v>
      </c>
      <c r="BJ417">
        <v>1772125048</v>
      </c>
      <c r="BK417">
        <v>200</v>
      </c>
      <c r="BL417">
        <v>5</v>
      </c>
      <c r="BM417">
        <v>2</v>
      </c>
      <c r="BN417">
        <v>1</v>
      </c>
      <c r="BO417">
        <v>0</v>
      </c>
      <c r="BP417">
        <v>0</v>
      </c>
      <c r="BQ417">
        <v>0.81179999999999997</v>
      </c>
      <c r="BR417">
        <v>0.81179999999999997</v>
      </c>
    </row>
    <row r="418" spans="49:70">
      <c r="AW418">
        <v>21</v>
      </c>
      <c r="AX418">
        <v>48.236198999999999</v>
      </c>
      <c r="AY418">
        <v>16.370018000000002</v>
      </c>
      <c r="AZ418">
        <v>1</v>
      </c>
      <c r="BA418">
        <v>404</v>
      </c>
      <c r="BB418">
        <v>404</v>
      </c>
      <c r="BC418">
        <v>1</v>
      </c>
      <c r="BD418" t="s">
        <v>1351</v>
      </c>
      <c r="BE418">
        <v>1772125103</v>
      </c>
      <c r="BF418">
        <v>1772135664</v>
      </c>
      <c r="BG418">
        <v>0.97154300000000005</v>
      </c>
      <c r="BH418" t="s">
        <v>22</v>
      </c>
      <c r="BI418">
        <v>20</v>
      </c>
      <c r="BJ418">
        <v>1772125103</v>
      </c>
      <c r="BK418">
        <v>200</v>
      </c>
      <c r="BL418">
        <v>5</v>
      </c>
      <c r="BM418">
        <v>2</v>
      </c>
      <c r="BN418">
        <v>1</v>
      </c>
      <c r="BO418">
        <v>0</v>
      </c>
      <c r="BP418">
        <v>0</v>
      </c>
      <c r="BQ418">
        <v>0.79220000000000002</v>
      </c>
      <c r="BR418">
        <v>0.79220000000000002</v>
      </c>
    </row>
    <row r="419" spans="49:70">
      <c r="AW419">
        <v>21</v>
      </c>
      <c r="AX419">
        <v>48.235909999999997</v>
      </c>
      <c r="AY419">
        <v>16.369436</v>
      </c>
      <c r="AZ419">
        <v>1</v>
      </c>
      <c r="BA419">
        <v>410</v>
      </c>
      <c r="BB419">
        <v>410</v>
      </c>
      <c r="BC419">
        <v>1</v>
      </c>
      <c r="BD419" t="s">
        <v>1351</v>
      </c>
      <c r="BE419">
        <v>1772125141</v>
      </c>
      <c r="BF419">
        <v>1772135664</v>
      </c>
      <c r="BG419">
        <v>0.97154300000000005</v>
      </c>
      <c r="BH419" t="s">
        <v>22</v>
      </c>
      <c r="BI419">
        <v>20</v>
      </c>
      <c r="BJ419">
        <v>1772125141</v>
      </c>
      <c r="BK419">
        <v>200</v>
      </c>
      <c r="BL419">
        <v>5</v>
      </c>
      <c r="BM419">
        <v>2</v>
      </c>
      <c r="BN419">
        <v>1</v>
      </c>
      <c r="BO419">
        <v>0</v>
      </c>
      <c r="BP419">
        <v>0</v>
      </c>
      <c r="BQ419">
        <v>0.80389999999999995</v>
      </c>
      <c r="BR419">
        <v>0.80389999999999995</v>
      </c>
    </row>
    <row r="420" spans="49:70">
      <c r="AW420">
        <v>5</v>
      </c>
      <c r="AX420">
        <v>48.235235000000003</v>
      </c>
      <c r="AY420">
        <v>16.382593</v>
      </c>
      <c r="AZ420">
        <v>1</v>
      </c>
      <c r="BA420">
        <v>376</v>
      </c>
      <c r="BB420">
        <v>376</v>
      </c>
      <c r="BC420">
        <v>1</v>
      </c>
      <c r="BD420" t="s">
        <v>1335</v>
      </c>
      <c r="BE420">
        <v>1771686872</v>
      </c>
      <c r="BF420">
        <v>1772135664</v>
      </c>
      <c r="BG420">
        <v>0.97154300000000005</v>
      </c>
      <c r="BH420" t="s">
        <v>23</v>
      </c>
      <c r="BI420">
        <v>3</v>
      </c>
      <c r="BJ420">
        <v>1771686872</v>
      </c>
      <c r="BK420">
        <v>200</v>
      </c>
      <c r="BL420">
        <v>5</v>
      </c>
      <c r="BM420">
        <v>2</v>
      </c>
      <c r="BN420">
        <v>1</v>
      </c>
      <c r="BO420">
        <v>0</v>
      </c>
      <c r="BP420">
        <v>0</v>
      </c>
      <c r="BQ420">
        <v>0.69379999999999997</v>
      </c>
      <c r="BR420">
        <v>0.69379999999999997</v>
      </c>
    </row>
    <row r="421" spans="49:70">
      <c r="AW421">
        <v>5</v>
      </c>
      <c r="AX421">
        <v>48.192276999999997</v>
      </c>
      <c r="AY421">
        <v>16.389471</v>
      </c>
      <c r="AZ421">
        <v>1</v>
      </c>
      <c r="BA421">
        <v>450</v>
      </c>
      <c r="BB421">
        <v>450</v>
      </c>
      <c r="BC421">
        <v>1</v>
      </c>
      <c r="BD421" t="s">
        <v>1335</v>
      </c>
      <c r="BE421">
        <v>1771687509</v>
      </c>
      <c r="BF421">
        <v>1772135664</v>
      </c>
      <c r="BG421">
        <v>0.97154300000000005</v>
      </c>
      <c r="BH421" t="s">
        <v>23</v>
      </c>
      <c r="BI421">
        <v>3</v>
      </c>
      <c r="BJ421">
        <v>1771687509</v>
      </c>
      <c r="BK421">
        <v>200</v>
      </c>
      <c r="BL421">
        <v>5</v>
      </c>
      <c r="BM421">
        <v>2</v>
      </c>
      <c r="BN421">
        <v>1</v>
      </c>
      <c r="BO421">
        <v>0</v>
      </c>
      <c r="BP421">
        <v>0</v>
      </c>
      <c r="BQ421">
        <v>0.83030000000000004</v>
      </c>
      <c r="BR421">
        <v>0.83030000000000004</v>
      </c>
    </row>
    <row r="422" spans="49:70">
      <c r="AW422">
        <v>5</v>
      </c>
      <c r="AX422">
        <v>48.140352</v>
      </c>
      <c r="AY422">
        <v>16.481026</v>
      </c>
      <c r="AZ422">
        <v>1</v>
      </c>
      <c r="BA422">
        <v>405</v>
      </c>
      <c r="BB422">
        <v>405</v>
      </c>
      <c r="BC422">
        <v>1</v>
      </c>
      <c r="BD422" t="s">
        <v>1335</v>
      </c>
      <c r="BE422">
        <v>1771689026</v>
      </c>
      <c r="BF422">
        <v>1772135664</v>
      </c>
      <c r="BG422">
        <v>0.97154300000000005</v>
      </c>
      <c r="BH422" t="s">
        <v>23</v>
      </c>
      <c r="BI422">
        <v>3</v>
      </c>
      <c r="BJ422">
        <v>1771689026</v>
      </c>
      <c r="BK422">
        <v>200</v>
      </c>
      <c r="BL422">
        <v>5</v>
      </c>
      <c r="BM422">
        <v>2</v>
      </c>
      <c r="BN422">
        <v>1</v>
      </c>
      <c r="BO422">
        <v>0</v>
      </c>
      <c r="BP422">
        <v>0</v>
      </c>
      <c r="BQ422">
        <v>0.74729999999999996</v>
      </c>
      <c r="BR422">
        <v>0.74729999999999996</v>
      </c>
    </row>
    <row r="423" spans="49:70">
      <c r="AW423">
        <v>5</v>
      </c>
      <c r="AX423">
        <v>48.141207999999999</v>
      </c>
      <c r="AY423">
        <v>16.481657999999999</v>
      </c>
      <c r="AZ423">
        <v>1</v>
      </c>
      <c r="BA423">
        <v>388</v>
      </c>
      <c r="BB423">
        <v>388</v>
      </c>
      <c r="BC423">
        <v>1</v>
      </c>
      <c r="BD423" t="s">
        <v>1335</v>
      </c>
      <c r="BE423">
        <v>1771689037</v>
      </c>
      <c r="BF423">
        <v>1772135664</v>
      </c>
      <c r="BG423">
        <v>0.97154300000000005</v>
      </c>
      <c r="BH423" t="s">
        <v>23</v>
      </c>
      <c r="BI423">
        <v>3</v>
      </c>
      <c r="BJ423">
        <v>1771689037</v>
      </c>
      <c r="BK423">
        <v>200</v>
      </c>
      <c r="BL423">
        <v>5</v>
      </c>
      <c r="BM423">
        <v>2</v>
      </c>
      <c r="BN423">
        <v>1</v>
      </c>
      <c r="BO423">
        <v>0</v>
      </c>
      <c r="BP423">
        <v>0</v>
      </c>
      <c r="BQ423">
        <v>0.71589999999999998</v>
      </c>
      <c r="BR423">
        <v>0.71589999999999998</v>
      </c>
    </row>
    <row r="424" spans="49:70">
      <c r="AW424">
        <v>5</v>
      </c>
      <c r="AX424">
        <v>48.192191000000001</v>
      </c>
      <c r="AY424">
        <v>16.389904000000001</v>
      </c>
      <c r="AZ424">
        <v>1</v>
      </c>
      <c r="BA424">
        <v>416</v>
      </c>
      <c r="BB424">
        <v>416</v>
      </c>
      <c r="BC424">
        <v>1</v>
      </c>
      <c r="BD424" t="s">
        <v>1335</v>
      </c>
      <c r="BE424">
        <v>1771725416</v>
      </c>
      <c r="BF424">
        <v>1772135664</v>
      </c>
      <c r="BG424">
        <v>0.97154300000000005</v>
      </c>
      <c r="BH424" t="s">
        <v>23</v>
      </c>
      <c r="BI424">
        <v>3</v>
      </c>
      <c r="BJ424">
        <v>1771725416</v>
      </c>
      <c r="BK424">
        <v>200</v>
      </c>
      <c r="BL424">
        <v>5</v>
      </c>
      <c r="BM424">
        <v>2</v>
      </c>
      <c r="BN424">
        <v>1</v>
      </c>
      <c r="BO424">
        <v>0</v>
      </c>
      <c r="BP424">
        <v>0</v>
      </c>
      <c r="BQ424">
        <v>0.76759999999999995</v>
      </c>
      <c r="BR424">
        <v>0.76759999999999995</v>
      </c>
    </row>
    <row r="425" spans="49:70">
      <c r="AW425">
        <v>5</v>
      </c>
      <c r="AX425">
        <v>48.213579000000003</v>
      </c>
      <c r="AY425">
        <v>16.392795</v>
      </c>
      <c r="AZ425">
        <v>1</v>
      </c>
      <c r="BA425">
        <v>439</v>
      </c>
      <c r="BB425">
        <v>439</v>
      </c>
      <c r="BC425">
        <v>1</v>
      </c>
      <c r="BD425" t="s">
        <v>1335</v>
      </c>
      <c r="BE425">
        <v>1771725791</v>
      </c>
      <c r="BF425">
        <v>1772135664</v>
      </c>
      <c r="BG425">
        <v>0.97154300000000005</v>
      </c>
      <c r="BH425" t="s">
        <v>23</v>
      </c>
      <c r="BI425">
        <v>3</v>
      </c>
      <c r="BJ425">
        <v>1771725791</v>
      </c>
      <c r="BK425">
        <v>200</v>
      </c>
      <c r="BL425">
        <v>5</v>
      </c>
      <c r="BM425">
        <v>2</v>
      </c>
      <c r="BN425">
        <v>1</v>
      </c>
      <c r="BO425">
        <v>0</v>
      </c>
      <c r="BP425">
        <v>0</v>
      </c>
      <c r="BQ425">
        <v>0.81</v>
      </c>
      <c r="BR425">
        <v>0.81</v>
      </c>
    </row>
    <row r="426" spans="49:70">
      <c r="AW426">
        <v>5</v>
      </c>
      <c r="AX426">
        <v>48.240450000000003</v>
      </c>
      <c r="AY426">
        <v>16.384063999999999</v>
      </c>
      <c r="AZ426">
        <v>1</v>
      </c>
      <c r="BA426">
        <v>348</v>
      </c>
      <c r="BB426">
        <v>348</v>
      </c>
      <c r="BC426">
        <v>1</v>
      </c>
      <c r="BD426" t="s">
        <v>1335</v>
      </c>
      <c r="BE426">
        <v>1771726460</v>
      </c>
      <c r="BF426">
        <v>1772135664</v>
      </c>
      <c r="BG426">
        <v>0.97154300000000005</v>
      </c>
      <c r="BH426" t="s">
        <v>23</v>
      </c>
      <c r="BI426">
        <v>3</v>
      </c>
      <c r="BJ426">
        <v>1771726460</v>
      </c>
      <c r="BK426">
        <v>200</v>
      </c>
      <c r="BL426">
        <v>5</v>
      </c>
      <c r="BM426">
        <v>2</v>
      </c>
      <c r="BN426">
        <v>1</v>
      </c>
      <c r="BO426">
        <v>0</v>
      </c>
      <c r="BP426">
        <v>0</v>
      </c>
      <c r="BQ426">
        <v>0.6421</v>
      </c>
      <c r="BR426">
        <v>0.6421</v>
      </c>
    </row>
    <row r="427" spans="49:70">
      <c r="AW427">
        <v>5</v>
      </c>
      <c r="AX427">
        <v>48.240324000000001</v>
      </c>
      <c r="AY427">
        <v>16.383707999999999</v>
      </c>
      <c r="AZ427">
        <v>1</v>
      </c>
      <c r="BA427">
        <v>382</v>
      </c>
      <c r="BB427">
        <v>382</v>
      </c>
      <c r="BC427">
        <v>1</v>
      </c>
      <c r="BD427" t="s">
        <v>1335</v>
      </c>
      <c r="BE427">
        <v>1771726470</v>
      </c>
      <c r="BF427">
        <v>1772135664</v>
      </c>
      <c r="BG427">
        <v>0.97154300000000005</v>
      </c>
      <c r="BH427" t="s">
        <v>23</v>
      </c>
      <c r="BI427">
        <v>3</v>
      </c>
      <c r="BJ427">
        <v>1771726470</v>
      </c>
      <c r="BK427">
        <v>200</v>
      </c>
      <c r="BL427">
        <v>5</v>
      </c>
      <c r="BM427">
        <v>2</v>
      </c>
      <c r="BN427">
        <v>1</v>
      </c>
      <c r="BO427">
        <v>0</v>
      </c>
      <c r="BP427">
        <v>0</v>
      </c>
      <c r="BQ427">
        <v>0.70479999999999998</v>
      </c>
      <c r="BR427">
        <v>0.70479999999999998</v>
      </c>
    </row>
    <row r="428" spans="49:70">
      <c r="AW428">
        <v>5</v>
      </c>
      <c r="AX428">
        <v>48.241253999999998</v>
      </c>
      <c r="AY428">
        <v>16.374965</v>
      </c>
      <c r="AZ428">
        <v>1</v>
      </c>
      <c r="BA428">
        <v>405</v>
      </c>
      <c r="BB428">
        <v>405</v>
      </c>
      <c r="BC428">
        <v>1</v>
      </c>
      <c r="BD428" t="s">
        <v>1335</v>
      </c>
      <c r="BE428">
        <v>1771726881</v>
      </c>
      <c r="BF428">
        <v>1772135664</v>
      </c>
      <c r="BG428">
        <v>0.97154300000000005</v>
      </c>
      <c r="BH428" t="s">
        <v>23</v>
      </c>
      <c r="BI428">
        <v>3</v>
      </c>
      <c r="BJ428">
        <v>1771726881</v>
      </c>
      <c r="BK428">
        <v>200</v>
      </c>
      <c r="BL428">
        <v>5</v>
      </c>
      <c r="BM428">
        <v>2</v>
      </c>
      <c r="BN428">
        <v>1</v>
      </c>
      <c r="BO428">
        <v>0</v>
      </c>
      <c r="BP428">
        <v>0</v>
      </c>
      <c r="BQ428">
        <v>0.74729999999999996</v>
      </c>
      <c r="BR428">
        <v>0.74729999999999996</v>
      </c>
    </row>
    <row r="429" spans="49:70">
      <c r="AW429">
        <v>5</v>
      </c>
      <c r="AX429">
        <v>48.241656999999996</v>
      </c>
      <c r="AY429">
        <v>16.37462</v>
      </c>
      <c r="AZ429">
        <v>1</v>
      </c>
      <c r="BA429">
        <v>382</v>
      </c>
      <c r="BB429">
        <v>382</v>
      </c>
      <c r="BC429">
        <v>1</v>
      </c>
      <c r="BD429" t="s">
        <v>1335</v>
      </c>
      <c r="BE429">
        <v>1771726884</v>
      </c>
      <c r="BF429">
        <v>1772135664</v>
      </c>
      <c r="BG429">
        <v>0.97154300000000005</v>
      </c>
      <c r="BH429" t="s">
        <v>23</v>
      </c>
      <c r="BI429">
        <v>3</v>
      </c>
      <c r="BJ429">
        <v>1771726884</v>
      </c>
      <c r="BK429">
        <v>200</v>
      </c>
      <c r="BL429">
        <v>5</v>
      </c>
      <c r="BM429">
        <v>2</v>
      </c>
      <c r="BN429">
        <v>1</v>
      </c>
      <c r="BO429">
        <v>0</v>
      </c>
      <c r="BP429">
        <v>0</v>
      </c>
      <c r="BQ429">
        <v>0.70479999999999998</v>
      </c>
      <c r="BR429">
        <v>0.70479999999999998</v>
      </c>
    </row>
    <row r="430" spans="49:70">
      <c r="AW430">
        <v>5</v>
      </c>
      <c r="AX430">
        <v>48.244275000000002</v>
      </c>
      <c r="AY430">
        <v>16.37886</v>
      </c>
      <c r="AZ430">
        <v>1</v>
      </c>
      <c r="BA430">
        <v>344</v>
      </c>
      <c r="BB430">
        <v>344</v>
      </c>
      <c r="BC430">
        <v>1</v>
      </c>
      <c r="BD430" t="s">
        <v>1335</v>
      </c>
      <c r="BE430">
        <v>1771758627</v>
      </c>
      <c r="BF430">
        <v>1772135664</v>
      </c>
      <c r="BG430">
        <v>0.97154300000000005</v>
      </c>
      <c r="BH430" t="s">
        <v>23</v>
      </c>
      <c r="BI430">
        <v>3</v>
      </c>
      <c r="BJ430">
        <v>1771758627</v>
      </c>
      <c r="BK430">
        <v>200</v>
      </c>
      <c r="BL430">
        <v>5</v>
      </c>
      <c r="BM430">
        <v>2</v>
      </c>
      <c r="BN430">
        <v>1</v>
      </c>
      <c r="BO430">
        <v>0</v>
      </c>
      <c r="BP430">
        <v>0</v>
      </c>
      <c r="BQ430">
        <v>0.63470000000000004</v>
      </c>
      <c r="BR430">
        <v>0.63470000000000004</v>
      </c>
    </row>
    <row r="431" spans="49:70">
      <c r="AW431">
        <v>5</v>
      </c>
      <c r="AX431">
        <v>48.244024000000003</v>
      </c>
      <c r="AY431">
        <v>16.379294000000002</v>
      </c>
      <c r="AZ431">
        <v>1</v>
      </c>
      <c r="BA431">
        <v>371</v>
      </c>
      <c r="BB431">
        <v>371</v>
      </c>
      <c r="BC431">
        <v>1</v>
      </c>
      <c r="BD431" t="s">
        <v>1335</v>
      </c>
      <c r="BE431">
        <v>1771758639</v>
      </c>
      <c r="BF431">
        <v>1772135664</v>
      </c>
      <c r="BG431">
        <v>0.97154300000000005</v>
      </c>
      <c r="BH431" t="s">
        <v>23</v>
      </c>
      <c r="BI431">
        <v>3</v>
      </c>
      <c r="BJ431">
        <v>1771758639</v>
      </c>
      <c r="BK431">
        <v>200</v>
      </c>
      <c r="BL431">
        <v>5</v>
      </c>
      <c r="BM431">
        <v>2</v>
      </c>
      <c r="BN431">
        <v>1</v>
      </c>
      <c r="BO431">
        <v>0</v>
      </c>
      <c r="BP431">
        <v>0</v>
      </c>
      <c r="BQ431">
        <v>0.6845</v>
      </c>
      <c r="BR431">
        <v>0.6845</v>
      </c>
    </row>
    <row r="432" spans="49:70">
      <c r="AW432">
        <v>5</v>
      </c>
      <c r="AX432">
        <v>48.243817</v>
      </c>
      <c r="AY432">
        <v>16.379618000000001</v>
      </c>
      <c r="AZ432">
        <v>1</v>
      </c>
      <c r="BA432">
        <v>382</v>
      </c>
      <c r="BB432">
        <v>382</v>
      </c>
      <c r="BC432">
        <v>1</v>
      </c>
      <c r="BD432" t="s">
        <v>1335</v>
      </c>
      <c r="BE432">
        <v>1771758644</v>
      </c>
      <c r="BF432">
        <v>1772135664</v>
      </c>
      <c r="BG432">
        <v>0.97154300000000005</v>
      </c>
      <c r="BH432" t="s">
        <v>23</v>
      </c>
      <c r="BI432">
        <v>3</v>
      </c>
      <c r="BJ432">
        <v>1771758644</v>
      </c>
      <c r="BK432">
        <v>200</v>
      </c>
      <c r="BL432">
        <v>5</v>
      </c>
      <c r="BM432">
        <v>2</v>
      </c>
      <c r="BN432">
        <v>1</v>
      </c>
      <c r="BO432">
        <v>0</v>
      </c>
      <c r="BP432">
        <v>0</v>
      </c>
      <c r="BQ432">
        <v>0.70479999999999998</v>
      </c>
      <c r="BR432">
        <v>0.70479999999999998</v>
      </c>
    </row>
    <row r="433" spans="49:70">
      <c r="AW433">
        <v>5</v>
      </c>
      <c r="AX433">
        <v>48.243659999999998</v>
      </c>
      <c r="AY433">
        <v>16.379991</v>
      </c>
      <c r="AZ433">
        <v>1</v>
      </c>
      <c r="BA433">
        <v>405</v>
      </c>
      <c r="BB433">
        <v>405</v>
      </c>
      <c r="BC433">
        <v>1</v>
      </c>
      <c r="BD433" t="s">
        <v>1335</v>
      </c>
      <c r="BE433">
        <v>1771758648</v>
      </c>
      <c r="BF433">
        <v>1772135664</v>
      </c>
      <c r="BG433">
        <v>0.97154300000000005</v>
      </c>
      <c r="BH433" t="s">
        <v>23</v>
      </c>
      <c r="BI433">
        <v>3</v>
      </c>
      <c r="BJ433">
        <v>1771758648</v>
      </c>
      <c r="BK433">
        <v>200</v>
      </c>
      <c r="BL433">
        <v>5</v>
      </c>
      <c r="BM433">
        <v>2</v>
      </c>
      <c r="BN433">
        <v>1</v>
      </c>
      <c r="BO433">
        <v>0</v>
      </c>
      <c r="BP433">
        <v>0</v>
      </c>
      <c r="BQ433">
        <v>0.74729999999999996</v>
      </c>
      <c r="BR433">
        <v>0.74729999999999996</v>
      </c>
    </row>
    <row r="434" spans="49:70">
      <c r="AW434">
        <v>5</v>
      </c>
      <c r="AX434">
        <v>48.213611999999998</v>
      </c>
      <c r="AY434">
        <v>16.392368000000001</v>
      </c>
      <c r="AZ434">
        <v>1</v>
      </c>
      <c r="BA434">
        <v>399</v>
      </c>
      <c r="BB434">
        <v>399</v>
      </c>
      <c r="BC434">
        <v>1</v>
      </c>
      <c r="BD434" t="s">
        <v>1335</v>
      </c>
      <c r="BE434">
        <v>1771759339</v>
      </c>
      <c r="BF434">
        <v>1772135664</v>
      </c>
      <c r="BG434">
        <v>0.97154300000000005</v>
      </c>
      <c r="BH434" t="s">
        <v>23</v>
      </c>
      <c r="BI434">
        <v>3</v>
      </c>
      <c r="BJ434">
        <v>1771759339</v>
      </c>
      <c r="BK434">
        <v>200</v>
      </c>
      <c r="BL434">
        <v>5</v>
      </c>
      <c r="BM434">
        <v>2</v>
      </c>
      <c r="BN434">
        <v>1</v>
      </c>
      <c r="BO434">
        <v>0</v>
      </c>
      <c r="BP434">
        <v>0</v>
      </c>
      <c r="BQ434">
        <v>0.73619999999999997</v>
      </c>
      <c r="BR434">
        <v>0.73619999999999997</v>
      </c>
    </row>
    <row r="435" spans="49:70">
      <c r="AW435">
        <v>5</v>
      </c>
      <c r="AX435">
        <v>48.213315999999999</v>
      </c>
      <c r="AY435">
        <v>16.392482999999999</v>
      </c>
      <c r="AZ435">
        <v>1</v>
      </c>
      <c r="BA435">
        <v>410</v>
      </c>
      <c r="BB435">
        <v>410</v>
      </c>
      <c r="BC435">
        <v>1</v>
      </c>
      <c r="BD435" t="s">
        <v>1335</v>
      </c>
      <c r="BE435">
        <v>1771759343</v>
      </c>
      <c r="BF435">
        <v>1772135664</v>
      </c>
      <c r="BG435">
        <v>0.97154300000000005</v>
      </c>
      <c r="BH435" t="s">
        <v>23</v>
      </c>
      <c r="BI435">
        <v>3</v>
      </c>
      <c r="BJ435">
        <v>1771759343</v>
      </c>
      <c r="BK435">
        <v>200</v>
      </c>
      <c r="BL435">
        <v>5</v>
      </c>
      <c r="BM435">
        <v>2</v>
      </c>
      <c r="BN435">
        <v>1</v>
      </c>
      <c r="BO435">
        <v>0</v>
      </c>
      <c r="BP435">
        <v>0</v>
      </c>
      <c r="BQ435">
        <v>0.75649999999999995</v>
      </c>
      <c r="BR435">
        <v>0.75649999999999995</v>
      </c>
    </row>
    <row r="436" spans="49:70">
      <c r="AW436">
        <v>5</v>
      </c>
      <c r="AX436">
        <v>48.212620000000001</v>
      </c>
      <c r="AY436">
        <v>16.392285000000001</v>
      </c>
      <c r="AZ436">
        <v>1</v>
      </c>
      <c r="BA436">
        <v>433</v>
      </c>
      <c r="BB436">
        <v>433</v>
      </c>
      <c r="BC436">
        <v>1</v>
      </c>
      <c r="BD436" t="s">
        <v>1335</v>
      </c>
      <c r="BE436">
        <v>1771759347</v>
      </c>
      <c r="BF436">
        <v>1772135664</v>
      </c>
      <c r="BG436">
        <v>0.97154300000000005</v>
      </c>
      <c r="BH436" t="s">
        <v>23</v>
      </c>
      <c r="BI436">
        <v>3</v>
      </c>
      <c r="BJ436">
        <v>1771759347</v>
      </c>
      <c r="BK436">
        <v>200</v>
      </c>
      <c r="BL436">
        <v>5</v>
      </c>
      <c r="BM436">
        <v>2</v>
      </c>
      <c r="BN436">
        <v>1</v>
      </c>
      <c r="BO436">
        <v>0</v>
      </c>
      <c r="BP436">
        <v>0</v>
      </c>
      <c r="BQ436">
        <v>0.79890000000000005</v>
      </c>
      <c r="BR436">
        <v>0.79890000000000005</v>
      </c>
    </row>
    <row r="437" spans="49:70">
      <c r="AW437">
        <v>5</v>
      </c>
      <c r="AX437">
        <v>48.212145999999997</v>
      </c>
      <c r="AY437">
        <v>16.392246</v>
      </c>
      <c r="AZ437">
        <v>1</v>
      </c>
      <c r="BA437">
        <v>405</v>
      </c>
      <c r="BB437">
        <v>405</v>
      </c>
      <c r="BC437">
        <v>1</v>
      </c>
      <c r="BD437" t="s">
        <v>1335</v>
      </c>
      <c r="BE437">
        <v>1771759351</v>
      </c>
      <c r="BF437">
        <v>1772135664</v>
      </c>
      <c r="BG437">
        <v>0.97154300000000005</v>
      </c>
      <c r="BH437" t="s">
        <v>23</v>
      </c>
      <c r="BI437">
        <v>3</v>
      </c>
      <c r="BJ437">
        <v>1771759351</v>
      </c>
      <c r="BK437">
        <v>200</v>
      </c>
      <c r="BL437">
        <v>5</v>
      </c>
      <c r="BM437">
        <v>2</v>
      </c>
      <c r="BN437">
        <v>1</v>
      </c>
      <c r="BO437">
        <v>0</v>
      </c>
      <c r="BP437">
        <v>0</v>
      </c>
      <c r="BQ437">
        <v>0.74729999999999996</v>
      </c>
      <c r="BR437">
        <v>0.74729999999999996</v>
      </c>
    </row>
    <row r="438" spans="49:70">
      <c r="AW438">
        <v>5</v>
      </c>
      <c r="AX438">
        <v>48.250605999999998</v>
      </c>
      <c r="AY438">
        <v>16.470482000000001</v>
      </c>
      <c r="AZ438">
        <v>1</v>
      </c>
      <c r="BA438">
        <v>461</v>
      </c>
      <c r="BB438">
        <v>461</v>
      </c>
      <c r="BC438">
        <v>1</v>
      </c>
      <c r="BD438" t="s">
        <v>1335</v>
      </c>
      <c r="BE438">
        <v>1771762706</v>
      </c>
      <c r="BF438">
        <v>1772135664</v>
      </c>
      <c r="BG438">
        <v>0.97154300000000005</v>
      </c>
      <c r="BH438" t="s">
        <v>23</v>
      </c>
      <c r="BI438">
        <v>3</v>
      </c>
      <c r="BJ438">
        <v>1771762706</v>
      </c>
      <c r="BK438">
        <v>200</v>
      </c>
      <c r="BL438">
        <v>5</v>
      </c>
      <c r="BM438">
        <v>2</v>
      </c>
      <c r="BN438">
        <v>1</v>
      </c>
      <c r="BO438">
        <v>0</v>
      </c>
      <c r="BP438">
        <v>0</v>
      </c>
      <c r="BQ438">
        <v>0.85060000000000002</v>
      </c>
      <c r="BR438">
        <v>0.85060000000000002</v>
      </c>
    </row>
    <row r="439" spans="49:70">
      <c r="AW439">
        <v>5</v>
      </c>
      <c r="AX439">
        <v>48.255789999999998</v>
      </c>
      <c r="AY439">
        <v>16.474298999999998</v>
      </c>
      <c r="AZ439">
        <v>1</v>
      </c>
      <c r="BA439">
        <v>410</v>
      </c>
      <c r="BB439">
        <v>410</v>
      </c>
      <c r="BC439">
        <v>1</v>
      </c>
      <c r="BD439" t="s">
        <v>1335</v>
      </c>
      <c r="BE439">
        <v>1771762733</v>
      </c>
      <c r="BF439">
        <v>1772135664</v>
      </c>
      <c r="BG439">
        <v>0.97154300000000005</v>
      </c>
      <c r="BH439" t="s">
        <v>23</v>
      </c>
      <c r="BI439">
        <v>3</v>
      </c>
      <c r="BJ439">
        <v>1771762733</v>
      </c>
      <c r="BK439">
        <v>200</v>
      </c>
      <c r="BL439">
        <v>5</v>
      </c>
      <c r="BM439">
        <v>2</v>
      </c>
      <c r="BN439">
        <v>1</v>
      </c>
      <c r="BO439">
        <v>0</v>
      </c>
      <c r="BP439">
        <v>0</v>
      </c>
      <c r="BQ439">
        <v>0.75649999999999995</v>
      </c>
      <c r="BR439">
        <v>0.75649999999999995</v>
      </c>
    </row>
    <row r="440" spans="49:70">
      <c r="AW440">
        <v>5</v>
      </c>
      <c r="AX440">
        <v>48.256292999999999</v>
      </c>
      <c r="AY440">
        <v>16.474399999999999</v>
      </c>
      <c r="AZ440">
        <v>1</v>
      </c>
      <c r="BA440">
        <v>422</v>
      </c>
      <c r="BB440">
        <v>422</v>
      </c>
      <c r="BC440">
        <v>1</v>
      </c>
      <c r="BD440" t="s">
        <v>1335</v>
      </c>
      <c r="BE440">
        <v>1771762737</v>
      </c>
      <c r="BF440">
        <v>1772135664</v>
      </c>
      <c r="BG440">
        <v>0.97154300000000005</v>
      </c>
      <c r="BH440" t="s">
        <v>23</v>
      </c>
      <c r="BI440">
        <v>3</v>
      </c>
      <c r="BJ440">
        <v>1771762737</v>
      </c>
      <c r="BK440">
        <v>200</v>
      </c>
      <c r="BL440">
        <v>5</v>
      </c>
      <c r="BM440">
        <v>2</v>
      </c>
      <c r="BN440">
        <v>1</v>
      </c>
      <c r="BO440">
        <v>0</v>
      </c>
      <c r="BP440">
        <v>0</v>
      </c>
      <c r="BQ440">
        <v>0.77859999999999996</v>
      </c>
      <c r="BR440">
        <v>0.77859999999999996</v>
      </c>
    </row>
    <row r="441" spans="49:70">
      <c r="AW441">
        <v>5</v>
      </c>
      <c r="AX441">
        <v>48.267935999999999</v>
      </c>
      <c r="AY441">
        <v>16.480917000000002</v>
      </c>
      <c r="AZ441">
        <v>1</v>
      </c>
      <c r="BA441">
        <v>393</v>
      </c>
      <c r="BB441">
        <v>393</v>
      </c>
      <c r="BC441">
        <v>1</v>
      </c>
      <c r="BD441" t="s">
        <v>1335</v>
      </c>
      <c r="BE441">
        <v>1771762805</v>
      </c>
      <c r="BF441">
        <v>1772135664</v>
      </c>
      <c r="BG441">
        <v>0.97154300000000005</v>
      </c>
      <c r="BH441" t="s">
        <v>23</v>
      </c>
      <c r="BI441">
        <v>3</v>
      </c>
      <c r="BJ441">
        <v>1771762805</v>
      </c>
      <c r="BK441">
        <v>200</v>
      </c>
      <c r="BL441">
        <v>5</v>
      </c>
      <c r="BM441">
        <v>2</v>
      </c>
      <c r="BN441">
        <v>1</v>
      </c>
      <c r="BO441">
        <v>0</v>
      </c>
      <c r="BP441">
        <v>0</v>
      </c>
      <c r="BQ441">
        <v>0.72509999999999997</v>
      </c>
      <c r="BR441">
        <v>0.72509999999999997</v>
      </c>
    </row>
    <row r="442" spans="49:70">
      <c r="AW442">
        <v>5</v>
      </c>
      <c r="AX442">
        <v>48.267200000000003</v>
      </c>
      <c r="AY442">
        <v>16.500026999999999</v>
      </c>
      <c r="AZ442">
        <v>1</v>
      </c>
      <c r="BA442">
        <v>427</v>
      </c>
      <c r="BB442">
        <v>427</v>
      </c>
      <c r="BC442">
        <v>1</v>
      </c>
      <c r="BD442" t="s">
        <v>1335</v>
      </c>
      <c r="BE442">
        <v>1771762864</v>
      </c>
      <c r="BF442">
        <v>1772135664</v>
      </c>
      <c r="BG442">
        <v>0.97154300000000005</v>
      </c>
      <c r="BH442" t="s">
        <v>23</v>
      </c>
      <c r="BI442">
        <v>3</v>
      </c>
      <c r="BJ442">
        <v>1771762864</v>
      </c>
      <c r="BK442">
        <v>200</v>
      </c>
      <c r="BL442">
        <v>5</v>
      </c>
      <c r="BM442">
        <v>2</v>
      </c>
      <c r="BN442">
        <v>1</v>
      </c>
      <c r="BO442">
        <v>0</v>
      </c>
      <c r="BP442">
        <v>0</v>
      </c>
      <c r="BQ442">
        <v>0.78790000000000004</v>
      </c>
      <c r="BR442">
        <v>0.78790000000000004</v>
      </c>
    </row>
    <row r="443" spans="49:70">
      <c r="AW443">
        <v>5</v>
      </c>
      <c r="AX443">
        <v>48.320971999999998</v>
      </c>
      <c r="AY443">
        <v>16.515235000000001</v>
      </c>
      <c r="AZ443">
        <v>1</v>
      </c>
      <c r="BA443">
        <v>439</v>
      </c>
      <c r="BB443">
        <v>439</v>
      </c>
      <c r="BC443">
        <v>1</v>
      </c>
      <c r="BD443" t="s">
        <v>1335</v>
      </c>
      <c r="BE443">
        <v>1771763099</v>
      </c>
      <c r="BF443">
        <v>1772135664</v>
      </c>
      <c r="BG443">
        <v>0.97154300000000005</v>
      </c>
      <c r="BH443" t="s">
        <v>23</v>
      </c>
      <c r="BI443">
        <v>3</v>
      </c>
      <c r="BJ443">
        <v>1771763099</v>
      </c>
      <c r="BK443">
        <v>200</v>
      </c>
      <c r="BL443">
        <v>5</v>
      </c>
      <c r="BM443">
        <v>2</v>
      </c>
      <c r="BN443">
        <v>1</v>
      </c>
      <c r="BO443">
        <v>0</v>
      </c>
      <c r="BP443">
        <v>0</v>
      </c>
      <c r="BQ443">
        <v>0.81</v>
      </c>
      <c r="BR443">
        <v>0.81</v>
      </c>
    </row>
    <row r="444" spans="49:70">
      <c r="AW444">
        <v>5</v>
      </c>
      <c r="AX444">
        <v>48.395910000000001</v>
      </c>
      <c r="AY444">
        <v>16.51193</v>
      </c>
      <c r="AZ444">
        <v>1</v>
      </c>
      <c r="BA444">
        <v>416</v>
      </c>
      <c r="BB444">
        <v>416</v>
      </c>
      <c r="BC444">
        <v>1</v>
      </c>
      <c r="BD444" t="s">
        <v>1335</v>
      </c>
      <c r="BE444">
        <v>1771763478</v>
      </c>
      <c r="BF444">
        <v>1772135664</v>
      </c>
      <c r="BG444">
        <v>0.97154300000000005</v>
      </c>
      <c r="BH444" t="s">
        <v>23</v>
      </c>
      <c r="BI444">
        <v>3</v>
      </c>
      <c r="BJ444">
        <v>1771763478</v>
      </c>
      <c r="BK444">
        <v>200</v>
      </c>
      <c r="BL444">
        <v>5</v>
      </c>
      <c r="BM444">
        <v>2</v>
      </c>
      <c r="BN444">
        <v>1</v>
      </c>
      <c r="BO444">
        <v>0</v>
      </c>
      <c r="BP444">
        <v>0</v>
      </c>
      <c r="BQ444">
        <v>0.76759999999999995</v>
      </c>
      <c r="BR444">
        <v>0.76759999999999995</v>
      </c>
    </row>
    <row r="445" spans="49:70">
      <c r="AW445">
        <v>5</v>
      </c>
      <c r="AX445">
        <v>48.479792000000003</v>
      </c>
      <c r="AY445">
        <v>16.567965999999998</v>
      </c>
      <c r="AZ445">
        <v>1</v>
      </c>
      <c r="BA445">
        <v>433</v>
      </c>
      <c r="BB445">
        <v>433</v>
      </c>
      <c r="BC445">
        <v>1</v>
      </c>
      <c r="BD445" t="s">
        <v>1335</v>
      </c>
      <c r="BE445">
        <v>1771763874</v>
      </c>
      <c r="BF445">
        <v>1772135664</v>
      </c>
      <c r="BG445">
        <v>0.97154300000000005</v>
      </c>
      <c r="BH445" t="s">
        <v>23</v>
      </c>
      <c r="BI445">
        <v>3</v>
      </c>
      <c r="BJ445">
        <v>1771763874</v>
      </c>
      <c r="BK445">
        <v>200</v>
      </c>
      <c r="BL445">
        <v>5</v>
      </c>
      <c r="BM445">
        <v>2</v>
      </c>
      <c r="BN445">
        <v>1</v>
      </c>
      <c r="BO445">
        <v>0</v>
      </c>
      <c r="BP445">
        <v>0</v>
      </c>
      <c r="BQ445">
        <v>0.79890000000000005</v>
      </c>
      <c r="BR445">
        <v>0.79890000000000005</v>
      </c>
    </row>
    <row r="446" spans="49:70">
      <c r="AW446">
        <v>5</v>
      </c>
      <c r="AX446">
        <v>48.504938000000003</v>
      </c>
      <c r="AY446">
        <v>16.604441999999999</v>
      </c>
      <c r="AZ446">
        <v>1</v>
      </c>
      <c r="BA446">
        <v>393</v>
      </c>
      <c r="BB446">
        <v>393</v>
      </c>
      <c r="BC446">
        <v>1</v>
      </c>
      <c r="BD446" t="s">
        <v>1335</v>
      </c>
      <c r="BE446">
        <v>1771764019</v>
      </c>
      <c r="BF446">
        <v>1772135664</v>
      </c>
      <c r="BG446">
        <v>0.97154300000000005</v>
      </c>
      <c r="BH446" t="s">
        <v>23</v>
      </c>
      <c r="BI446">
        <v>3</v>
      </c>
      <c r="BJ446">
        <v>1771764019</v>
      </c>
      <c r="BK446">
        <v>200</v>
      </c>
      <c r="BL446">
        <v>5</v>
      </c>
      <c r="BM446">
        <v>2</v>
      </c>
      <c r="BN446">
        <v>1</v>
      </c>
      <c r="BO446">
        <v>0</v>
      </c>
      <c r="BP446">
        <v>0</v>
      </c>
      <c r="BQ446">
        <v>0.72509999999999997</v>
      </c>
      <c r="BR446">
        <v>0.72509999999999997</v>
      </c>
    </row>
    <row r="447" spans="49:70">
      <c r="AW447">
        <v>5</v>
      </c>
      <c r="AX447">
        <v>48.626953999999998</v>
      </c>
      <c r="AY447">
        <v>16.676615000000002</v>
      </c>
      <c r="AZ447">
        <v>1</v>
      </c>
      <c r="BA447">
        <v>422</v>
      </c>
      <c r="BB447">
        <v>422</v>
      </c>
      <c r="BC447">
        <v>1</v>
      </c>
      <c r="BD447" t="s">
        <v>1335</v>
      </c>
      <c r="BE447">
        <v>1771764612</v>
      </c>
      <c r="BF447">
        <v>1772135664</v>
      </c>
      <c r="BG447">
        <v>0.97154300000000005</v>
      </c>
      <c r="BH447" t="s">
        <v>23</v>
      </c>
      <c r="BI447">
        <v>3</v>
      </c>
      <c r="BJ447">
        <v>1771764612</v>
      </c>
      <c r="BK447">
        <v>200</v>
      </c>
      <c r="BL447">
        <v>5</v>
      </c>
      <c r="BM447">
        <v>2</v>
      </c>
      <c r="BN447">
        <v>1</v>
      </c>
      <c r="BO447">
        <v>0</v>
      </c>
      <c r="BP447">
        <v>0</v>
      </c>
      <c r="BQ447">
        <v>0.77859999999999996</v>
      </c>
      <c r="BR447">
        <v>0.77859999999999996</v>
      </c>
    </row>
    <row r="448" spans="49:70">
      <c r="AW448">
        <v>5</v>
      </c>
      <c r="AX448">
        <v>50.028534999999998</v>
      </c>
      <c r="AY448">
        <v>14.456028999999999</v>
      </c>
      <c r="AZ448">
        <v>1</v>
      </c>
      <c r="BA448">
        <v>427</v>
      </c>
      <c r="BB448">
        <v>427</v>
      </c>
      <c r="BC448">
        <v>1</v>
      </c>
      <c r="BD448" t="s">
        <v>1335</v>
      </c>
      <c r="BE448">
        <v>1771868626</v>
      </c>
      <c r="BF448">
        <v>1772135664</v>
      </c>
      <c r="BG448">
        <v>0.97154300000000005</v>
      </c>
      <c r="BH448" t="s">
        <v>23</v>
      </c>
      <c r="BI448">
        <v>3</v>
      </c>
      <c r="BJ448">
        <v>1771868626</v>
      </c>
      <c r="BK448">
        <v>200</v>
      </c>
      <c r="BL448">
        <v>5</v>
      </c>
      <c r="BM448">
        <v>2</v>
      </c>
      <c r="BN448">
        <v>1</v>
      </c>
      <c r="BO448">
        <v>0</v>
      </c>
      <c r="BP448">
        <v>0</v>
      </c>
      <c r="BQ448">
        <v>0.78790000000000004</v>
      </c>
      <c r="BR448">
        <v>0.78790000000000004</v>
      </c>
    </row>
    <row r="449" spans="49:70">
      <c r="AW449">
        <v>5</v>
      </c>
      <c r="AX449">
        <v>50.036994999999997</v>
      </c>
      <c r="AY449">
        <v>14.457530999999999</v>
      </c>
      <c r="AZ449">
        <v>1</v>
      </c>
      <c r="BA449">
        <v>371</v>
      </c>
      <c r="BB449">
        <v>371</v>
      </c>
      <c r="BC449">
        <v>1</v>
      </c>
      <c r="BD449" t="s">
        <v>1335</v>
      </c>
      <c r="BE449">
        <v>1771868846</v>
      </c>
      <c r="BF449">
        <v>1772135664</v>
      </c>
      <c r="BG449">
        <v>0.97154300000000005</v>
      </c>
      <c r="BH449" t="s">
        <v>23</v>
      </c>
      <c r="BI449">
        <v>3</v>
      </c>
      <c r="BJ449">
        <v>1771868846</v>
      </c>
      <c r="BK449">
        <v>200</v>
      </c>
      <c r="BL449">
        <v>5</v>
      </c>
      <c r="BM449">
        <v>2</v>
      </c>
      <c r="BN449">
        <v>1</v>
      </c>
      <c r="BO449">
        <v>0</v>
      </c>
      <c r="BP449">
        <v>0</v>
      </c>
      <c r="BQ449">
        <v>0.6845</v>
      </c>
      <c r="BR449">
        <v>0.6845</v>
      </c>
    </row>
    <row r="450" spans="49:70">
      <c r="AW450">
        <v>5</v>
      </c>
      <c r="AX450">
        <v>50.037433</v>
      </c>
      <c r="AY450">
        <v>14.457716</v>
      </c>
      <c r="AZ450">
        <v>1</v>
      </c>
      <c r="BA450">
        <v>456</v>
      </c>
      <c r="BB450">
        <v>456</v>
      </c>
      <c r="BC450">
        <v>1</v>
      </c>
      <c r="BD450" t="s">
        <v>1335</v>
      </c>
      <c r="BE450">
        <v>1771868851</v>
      </c>
      <c r="BF450">
        <v>1772135664</v>
      </c>
      <c r="BG450">
        <v>0.97154300000000005</v>
      </c>
      <c r="BH450" t="s">
        <v>23</v>
      </c>
      <c r="BI450">
        <v>3</v>
      </c>
      <c r="BJ450">
        <v>1771868851</v>
      </c>
      <c r="BK450">
        <v>200</v>
      </c>
      <c r="BL450">
        <v>5</v>
      </c>
      <c r="BM450">
        <v>2</v>
      </c>
      <c r="BN450">
        <v>1</v>
      </c>
      <c r="BO450">
        <v>0</v>
      </c>
      <c r="BP450">
        <v>0</v>
      </c>
      <c r="BQ450">
        <v>0.84140000000000004</v>
      </c>
      <c r="BR450">
        <v>0.84140000000000004</v>
      </c>
    </row>
    <row r="451" spans="49:70">
      <c r="AW451">
        <v>5</v>
      </c>
      <c r="AX451">
        <v>50.037936000000002</v>
      </c>
      <c r="AY451">
        <v>14.458114</v>
      </c>
      <c r="AZ451">
        <v>1</v>
      </c>
      <c r="BA451">
        <v>376</v>
      </c>
      <c r="BB451">
        <v>376</v>
      </c>
      <c r="BC451">
        <v>1</v>
      </c>
      <c r="BD451" t="s">
        <v>1335</v>
      </c>
      <c r="BE451">
        <v>1771868858</v>
      </c>
      <c r="BF451">
        <v>1772135664</v>
      </c>
      <c r="BG451">
        <v>0.97154300000000005</v>
      </c>
      <c r="BH451" t="s">
        <v>23</v>
      </c>
      <c r="BI451">
        <v>3</v>
      </c>
      <c r="BJ451">
        <v>1771868858</v>
      </c>
      <c r="BK451">
        <v>200</v>
      </c>
      <c r="BL451">
        <v>5</v>
      </c>
      <c r="BM451">
        <v>2</v>
      </c>
      <c r="BN451">
        <v>1</v>
      </c>
      <c r="BO451">
        <v>0</v>
      </c>
      <c r="BP451">
        <v>0</v>
      </c>
      <c r="BQ451">
        <v>0.69379999999999997</v>
      </c>
      <c r="BR451">
        <v>0.69379999999999997</v>
      </c>
    </row>
    <row r="452" spans="49:70">
      <c r="AW452">
        <v>5</v>
      </c>
      <c r="AX452">
        <v>50.039008000000003</v>
      </c>
      <c r="AY452">
        <v>14.459025</v>
      </c>
      <c r="AZ452">
        <v>1</v>
      </c>
      <c r="BA452">
        <v>507</v>
      </c>
      <c r="BB452">
        <v>507</v>
      </c>
      <c r="BC452">
        <v>1</v>
      </c>
      <c r="BD452" t="s">
        <v>1335</v>
      </c>
      <c r="BE452">
        <v>1771868873</v>
      </c>
      <c r="BF452">
        <v>1772135664</v>
      </c>
      <c r="BG452">
        <v>0.97154300000000005</v>
      </c>
      <c r="BH452" t="s">
        <v>23</v>
      </c>
      <c r="BI452">
        <v>3</v>
      </c>
      <c r="BJ452">
        <v>1771868873</v>
      </c>
      <c r="BK452">
        <v>200</v>
      </c>
      <c r="BL452">
        <v>5</v>
      </c>
      <c r="BM452">
        <v>2</v>
      </c>
      <c r="BN452">
        <v>1</v>
      </c>
      <c r="BO452">
        <v>0</v>
      </c>
      <c r="BP452">
        <v>0</v>
      </c>
      <c r="BQ452">
        <v>0.9355</v>
      </c>
      <c r="BR452">
        <v>0.9355</v>
      </c>
    </row>
    <row r="453" spans="49:70">
      <c r="AW453">
        <v>5</v>
      </c>
      <c r="AX453">
        <v>50.039856</v>
      </c>
      <c r="AY453">
        <v>14.459785</v>
      </c>
      <c r="AZ453">
        <v>1</v>
      </c>
      <c r="BA453">
        <v>461</v>
      </c>
      <c r="BB453">
        <v>461</v>
      </c>
      <c r="BC453">
        <v>1</v>
      </c>
      <c r="BD453" t="s">
        <v>1335</v>
      </c>
      <c r="BE453">
        <v>1771868877</v>
      </c>
      <c r="BF453">
        <v>1772135664</v>
      </c>
      <c r="BG453">
        <v>0.97154300000000005</v>
      </c>
      <c r="BH453" t="s">
        <v>23</v>
      </c>
      <c r="BI453">
        <v>3</v>
      </c>
      <c r="BJ453">
        <v>1771868877</v>
      </c>
      <c r="BK453">
        <v>200</v>
      </c>
      <c r="BL453">
        <v>5</v>
      </c>
      <c r="BM453">
        <v>2</v>
      </c>
      <c r="BN453">
        <v>1</v>
      </c>
      <c r="BO453">
        <v>0</v>
      </c>
      <c r="BP453">
        <v>0</v>
      </c>
      <c r="BQ453">
        <v>0.85060000000000002</v>
      </c>
      <c r="BR453">
        <v>0.85060000000000002</v>
      </c>
    </row>
    <row r="454" spans="49:70">
      <c r="AW454">
        <v>5</v>
      </c>
      <c r="AX454">
        <v>50.040447999999998</v>
      </c>
      <c r="AY454">
        <v>14.460184</v>
      </c>
      <c r="AZ454">
        <v>1</v>
      </c>
      <c r="BA454">
        <v>393</v>
      </c>
      <c r="BB454">
        <v>393</v>
      </c>
      <c r="BC454">
        <v>1</v>
      </c>
      <c r="BD454" t="s">
        <v>1335</v>
      </c>
      <c r="BE454">
        <v>1771868881</v>
      </c>
      <c r="BF454">
        <v>1772135664</v>
      </c>
      <c r="BG454">
        <v>0.97154300000000005</v>
      </c>
      <c r="BH454" t="s">
        <v>23</v>
      </c>
      <c r="BI454">
        <v>3</v>
      </c>
      <c r="BJ454">
        <v>1771868881</v>
      </c>
      <c r="BK454">
        <v>200</v>
      </c>
      <c r="BL454">
        <v>5</v>
      </c>
      <c r="BM454">
        <v>2</v>
      </c>
      <c r="BN454">
        <v>1</v>
      </c>
      <c r="BO454">
        <v>0</v>
      </c>
      <c r="BP454">
        <v>0</v>
      </c>
      <c r="BQ454">
        <v>0.72509999999999997</v>
      </c>
      <c r="BR454">
        <v>0.72509999999999997</v>
      </c>
    </row>
    <row r="455" spans="49:70">
      <c r="AW455">
        <v>5</v>
      </c>
      <c r="AX455">
        <v>50.047263999999998</v>
      </c>
      <c r="AY455">
        <v>14.460357999999999</v>
      </c>
      <c r="AZ455">
        <v>1</v>
      </c>
      <c r="BA455">
        <v>416</v>
      </c>
      <c r="BB455">
        <v>416</v>
      </c>
      <c r="BC455">
        <v>1</v>
      </c>
      <c r="BD455" t="s">
        <v>1335</v>
      </c>
      <c r="BE455">
        <v>1771893875</v>
      </c>
      <c r="BF455">
        <v>1772135664</v>
      </c>
      <c r="BG455">
        <v>0.97154300000000005</v>
      </c>
      <c r="BH455" t="s">
        <v>23</v>
      </c>
      <c r="BI455">
        <v>3</v>
      </c>
      <c r="BJ455">
        <v>1771893875</v>
      </c>
      <c r="BK455">
        <v>200</v>
      </c>
      <c r="BL455">
        <v>5</v>
      </c>
      <c r="BM455">
        <v>2</v>
      </c>
      <c r="BN455">
        <v>1</v>
      </c>
      <c r="BO455">
        <v>0</v>
      </c>
      <c r="BP455">
        <v>0</v>
      </c>
      <c r="BQ455">
        <v>0.76759999999999995</v>
      </c>
      <c r="BR455">
        <v>0.76759999999999995</v>
      </c>
    </row>
    <row r="456" spans="49:70">
      <c r="AW456">
        <v>5</v>
      </c>
      <c r="AX456">
        <v>50.040692</v>
      </c>
      <c r="AY456">
        <v>14.459994999999999</v>
      </c>
      <c r="AZ456">
        <v>1</v>
      </c>
      <c r="BA456">
        <v>399</v>
      </c>
      <c r="BB456">
        <v>399</v>
      </c>
      <c r="BC456">
        <v>1</v>
      </c>
      <c r="BD456" t="s">
        <v>1335</v>
      </c>
      <c r="BE456">
        <v>1771894019</v>
      </c>
      <c r="BF456">
        <v>1772135664</v>
      </c>
      <c r="BG456">
        <v>0.97154300000000005</v>
      </c>
      <c r="BH456" t="s">
        <v>23</v>
      </c>
      <c r="BI456">
        <v>3</v>
      </c>
      <c r="BJ456">
        <v>1771894019</v>
      </c>
      <c r="BK456">
        <v>200</v>
      </c>
      <c r="BL456">
        <v>5</v>
      </c>
      <c r="BM456">
        <v>2</v>
      </c>
      <c r="BN456">
        <v>1</v>
      </c>
      <c r="BO456">
        <v>0</v>
      </c>
      <c r="BP456">
        <v>0</v>
      </c>
      <c r="BQ456">
        <v>0.73619999999999997</v>
      </c>
      <c r="BR456">
        <v>0.73619999999999997</v>
      </c>
    </row>
    <row r="457" spans="49:70">
      <c r="AW457">
        <v>5</v>
      </c>
      <c r="AX457">
        <v>50.040450999999997</v>
      </c>
      <c r="AY457">
        <v>14.459744000000001</v>
      </c>
      <c r="AZ457">
        <v>1</v>
      </c>
      <c r="BA457">
        <v>467</v>
      </c>
      <c r="BB457">
        <v>467</v>
      </c>
      <c r="BC457">
        <v>1</v>
      </c>
      <c r="BD457" t="s">
        <v>1335</v>
      </c>
      <c r="BE457">
        <v>1771894023</v>
      </c>
      <c r="BF457">
        <v>1772135664</v>
      </c>
      <c r="BG457">
        <v>0.97154300000000005</v>
      </c>
      <c r="BH457" t="s">
        <v>23</v>
      </c>
      <c r="BI457">
        <v>3</v>
      </c>
      <c r="BJ457">
        <v>1771894023</v>
      </c>
      <c r="BK457">
        <v>200</v>
      </c>
      <c r="BL457">
        <v>5</v>
      </c>
      <c r="BM457">
        <v>2</v>
      </c>
      <c r="BN457">
        <v>1</v>
      </c>
      <c r="BO457">
        <v>0</v>
      </c>
      <c r="BP457">
        <v>0</v>
      </c>
      <c r="BQ457">
        <v>0.86170000000000002</v>
      </c>
      <c r="BR457">
        <v>0.86170000000000002</v>
      </c>
    </row>
    <row r="458" spans="49:70">
      <c r="AW458">
        <v>5</v>
      </c>
      <c r="AX458">
        <v>50.040163</v>
      </c>
      <c r="AY458">
        <v>14.459794</v>
      </c>
      <c r="AZ458">
        <v>1</v>
      </c>
      <c r="BA458">
        <v>473</v>
      </c>
      <c r="BB458">
        <v>473</v>
      </c>
      <c r="BC458">
        <v>1</v>
      </c>
      <c r="BD458" t="s">
        <v>1335</v>
      </c>
      <c r="BE458">
        <v>1771894026</v>
      </c>
      <c r="BF458">
        <v>1772135664</v>
      </c>
      <c r="BG458">
        <v>0.97154300000000005</v>
      </c>
      <c r="BH458" t="s">
        <v>23</v>
      </c>
      <c r="BI458">
        <v>3</v>
      </c>
      <c r="BJ458">
        <v>1771894026</v>
      </c>
      <c r="BK458">
        <v>200</v>
      </c>
      <c r="BL458">
        <v>5</v>
      </c>
      <c r="BM458">
        <v>2</v>
      </c>
      <c r="BN458">
        <v>1</v>
      </c>
      <c r="BO458">
        <v>0</v>
      </c>
      <c r="BP458">
        <v>0</v>
      </c>
      <c r="BQ458">
        <v>0.87270000000000003</v>
      </c>
      <c r="BR458">
        <v>0.87270000000000003</v>
      </c>
    </row>
    <row r="459" spans="49:70">
      <c r="AW459">
        <v>5</v>
      </c>
      <c r="AX459">
        <v>50.039304999999999</v>
      </c>
      <c r="AY459">
        <v>14.458974</v>
      </c>
      <c r="AZ459">
        <v>1</v>
      </c>
      <c r="BA459">
        <v>495</v>
      </c>
      <c r="BB459">
        <v>495</v>
      </c>
      <c r="BC459">
        <v>1</v>
      </c>
      <c r="BD459" t="s">
        <v>1335</v>
      </c>
      <c r="BE459">
        <v>1771894033</v>
      </c>
      <c r="BF459">
        <v>1772135664</v>
      </c>
      <c r="BG459">
        <v>0.97154300000000005</v>
      </c>
      <c r="BH459" t="s">
        <v>23</v>
      </c>
      <c r="BI459">
        <v>3</v>
      </c>
      <c r="BJ459">
        <v>1771894033</v>
      </c>
      <c r="BK459">
        <v>200</v>
      </c>
      <c r="BL459">
        <v>5</v>
      </c>
      <c r="BM459">
        <v>2</v>
      </c>
      <c r="BN459">
        <v>1</v>
      </c>
      <c r="BO459">
        <v>0</v>
      </c>
      <c r="BP459">
        <v>0</v>
      </c>
      <c r="BQ459">
        <v>0.9133</v>
      </c>
      <c r="BR459">
        <v>0.9133</v>
      </c>
    </row>
    <row r="460" spans="49:70">
      <c r="AW460">
        <v>5</v>
      </c>
      <c r="AX460">
        <v>50.039692000000002</v>
      </c>
      <c r="AY460">
        <v>14.459390000000001</v>
      </c>
      <c r="AZ460">
        <v>1</v>
      </c>
      <c r="BA460">
        <v>541</v>
      </c>
      <c r="BB460">
        <v>541</v>
      </c>
      <c r="BC460">
        <v>1</v>
      </c>
      <c r="BD460" t="s">
        <v>1335</v>
      </c>
      <c r="BE460">
        <v>1771940677</v>
      </c>
      <c r="BF460">
        <v>1772135664</v>
      </c>
      <c r="BG460">
        <v>0.97154300000000005</v>
      </c>
      <c r="BH460" t="s">
        <v>23</v>
      </c>
      <c r="BI460">
        <v>3</v>
      </c>
      <c r="BJ460">
        <v>1771940677</v>
      </c>
      <c r="BK460">
        <v>200</v>
      </c>
      <c r="BL460">
        <v>5</v>
      </c>
      <c r="BM460">
        <v>2</v>
      </c>
      <c r="BN460">
        <v>1</v>
      </c>
      <c r="BO460">
        <v>0</v>
      </c>
      <c r="BP460">
        <v>0</v>
      </c>
      <c r="BQ460">
        <v>0.99819999999999998</v>
      </c>
      <c r="BR460">
        <v>0.99819999999999998</v>
      </c>
    </row>
    <row r="461" spans="49:70">
      <c r="AW461">
        <v>5</v>
      </c>
      <c r="AX461">
        <v>50.092553000000002</v>
      </c>
      <c r="AY461">
        <v>14.367063999999999</v>
      </c>
      <c r="AZ461">
        <v>1</v>
      </c>
      <c r="BA461">
        <v>433</v>
      </c>
      <c r="BB461">
        <v>433</v>
      </c>
      <c r="BC461">
        <v>1</v>
      </c>
      <c r="BD461" t="s">
        <v>1335</v>
      </c>
      <c r="BE461">
        <v>1771970565</v>
      </c>
      <c r="BF461">
        <v>1772135664</v>
      </c>
      <c r="BG461">
        <v>0.97154300000000005</v>
      </c>
      <c r="BH461" t="s">
        <v>23</v>
      </c>
      <c r="BI461">
        <v>3</v>
      </c>
      <c r="BJ461">
        <v>1771970565</v>
      </c>
      <c r="BK461">
        <v>200</v>
      </c>
      <c r="BL461">
        <v>5</v>
      </c>
      <c r="BM461">
        <v>2</v>
      </c>
      <c r="BN461">
        <v>1</v>
      </c>
      <c r="BO461">
        <v>0</v>
      </c>
      <c r="BP461">
        <v>0</v>
      </c>
      <c r="BQ461">
        <v>0.79890000000000005</v>
      </c>
      <c r="BR461">
        <v>0.79890000000000005</v>
      </c>
    </row>
    <row r="462" spans="49:70">
      <c r="AW462">
        <v>5</v>
      </c>
      <c r="AX462">
        <v>50.098261000000001</v>
      </c>
      <c r="AY462">
        <v>14.412520000000001</v>
      </c>
      <c r="AZ462">
        <v>1</v>
      </c>
      <c r="BA462">
        <v>405</v>
      </c>
      <c r="BB462">
        <v>405</v>
      </c>
      <c r="BC462">
        <v>1</v>
      </c>
      <c r="BD462" t="s">
        <v>1335</v>
      </c>
      <c r="BE462">
        <v>1771971097</v>
      </c>
      <c r="BF462">
        <v>1772135664</v>
      </c>
      <c r="BG462">
        <v>0.97154300000000005</v>
      </c>
      <c r="BH462" t="s">
        <v>23</v>
      </c>
      <c r="BI462">
        <v>3</v>
      </c>
      <c r="BJ462">
        <v>1771971097</v>
      </c>
      <c r="BK462">
        <v>200</v>
      </c>
      <c r="BL462">
        <v>5</v>
      </c>
      <c r="BM462">
        <v>2</v>
      </c>
      <c r="BN462">
        <v>1</v>
      </c>
      <c r="BO462">
        <v>0</v>
      </c>
      <c r="BP462">
        <v>0</v>
      </c>
      <c r="BQ462">
        <v>0.74729999999999996</v>
      </c>
      <c r="BR462">
        <v>0.74729999999999996</v>
      </c>
    </row>
    <row r="463" spans="49:70">
      <c r="AW463">
        <v>5</v>
      </c>
      <c r="AX463">
        <v>50.021006999999997</v>
      </c>
      <c r="AY463">
        <v>14.463822</v>
      </c>
      <c r="AZ463">
        <v>1</v>
      </c>
      <c r="BA463">
        <v>405</v>
      </c>
      <c r="BB463">
        <v>405</v>
      </c>
      <c r="BC463">
        <v>1</v>
      </c>
      <c r="BD463" t="s">
        <v>1335</v>
      </c>
      <c r="BE463">
        <v>1771973523</v>
      </c>
      <c r="BF463">
        <v>1772135664</v>
      </c>
      <c r="BG463">
        <v>0.97154300000000005</v>
      </c>
      <c r="BH463" t="s">
        <v>23</v>
      </c>
      <c r="BI463">
        <v>3</v>
      </c>
      <c r="BJ463">
        <v>1771973523</v>
      </c>
      <c r="BK463">
        <v>200</v>
      </c>
      <c r="BL463">
        <v>5</v>
      </c>
      <c r="BM463">
        <v>2</v>
      </c>
      <c r="BN463">
        <v>1</v>
      </c>
      <c r="BO463">
        <v>0</v>
      </c>
      <c r="BP463">
        <v>0</v>
      </c>
      <c r="BQ463">
        <v>0.74729999999999996</v>
      </c>
      <c r="BR463">
        <v>0.74729999999999996</v>
      </c>
    </row>
    <row r="464" spans="49:70">
      <c r="AW464">
        <v>5</v>
      </c>
      <c r="AX464">
        <v>50.082909999999998</v>
      </c>
      <c r="AY464">
        <v>14.433548</v>
      </c>
      <c r="AZ464">
        <v>1</v>
      </c>
      <c r="BA464">
        <v>484</v>
      </c>
      <c r="BB464">
        <v>484</v>
      </c>
      <c r="BC464">
        <v>1</v>
      </c>
      <c r="BD464" t="s">
        <v>1335</v>
      </c>
      <c r="BE464">
        <v>1772019332</v>
      </c>
      <c r="BF464">
        <v>1772135664</v>
      </c>
      <c r="BG464">
        <v>0.97154300000000005</v>
      </c>
      <c r="BH464" t="s">
        <v>23</v>
      </c>
      <c r="BI464">
        <v>3</v>
      </c>
      <c r="BJ464">
        <v>1772019332</v>
      </c>
      <c r="BK464">
        <v>200</v>
      </c>
      <c r="BL464">
        <v>5</v>
      </c>
      <c r="BM464">
        <v>2</v>
      </c>
      <c r="BN464">
        <v>1</v>
      </c>
      <c r="BO464">
        <v>0</v>
      </c>
      <c r="BP464">
        <v>0</v>
      </c>
      <c r="BQ464">
        <v>0.89300000000000002</v>
      </c>
      <c r="BR464">
        <v>0.89300000000000002</v>
      </c>
    </row>
    <row r="465" spans="49:70">
      <c r="AW465">
        <v>5</v>
      </c>
      <c r="AX465">
        <v>50.082968999999999</v>
      </c>
      <c r="AY465">
        <v>14.432888999999999</v>
      </c>
      <c r="AZ465">
        <v>1</v>
      </c>
      <c r="BA465">
        <v>512</v>
      </c>
      <c r="BB465">
        <v>512</v>
      </c>
      <c r="BC465">
        <v>1</v>
      </c>
      <c r="BD465" t="s">
        <v>1335</v>
      </c>
      <c r="BE465">
        <v>1772019706</v>
      </c>
      <c r="BF465">
        <v>1772135664</v>
      </c>
      <c r="BG465">
        <v>0.97154300000000005</v>
      </c>
      <c r="BH465" t="s">
        <v>23</v>
      </c>
      <c r="BI465">
        <v>3</v>
      </c>
      <c r="BJ465">
        <v>1772019706</v>
      </c>
      <c r="BK465">
        <v>200</v>
      </c>
      <c r="BL465">
        <v>5</v>
      </c>
      <c r="BM465">
        <v>2</v>
      </c>
      <c r="BN465">
        <v>1</v>
      </c>
      <c r="BO465">
        <v>0</v>
      </c>
      <c r="BP465">
        <v>0</v>
      </c>
      <c r="BQ465">
        <v>0.94469999999999998</v>
      </c>
      <c r="BR465">
        <v>0.94469999999999998</v>
      </c>
    </row>
    <row r="466" spans="49:70">
      <c r="AW466">
        <v>5</v>
      </c>
      <c r="AX466">
        <v>50.084263</v>
      </c>
      <c r="AY466">
        <v>14.434618</v>
      </c>
      <c r="AZ466">
        <v>1</v>
      </c>
      <c r="BA466">
        <v>388</v>
      </c>
      <c r="BB466">
        <v>388</v>
      </c>
      <c r="BC466">
        <v>1</v>
      </c>
      <c r="BD466" t="s">
        <v>1335</v>
      </c>
      <c r="BE466">
        <v>1772019860</v>
      </c>
      <c r="BF466">
        <v>1772135664</v>
      </c>
      <c r="BG466">
        <v>0.97154300000000005</v>
      </c>
      <c r="BH466" t="s">
        <v>23</v>
      </c>
      <c r="BI466">
        <v>3</v>
      </c>
      <c r="BJ466">
        <v>1772019860</v>
      </c>
      <c r="BK466">
        <v>200</v>
      </c>
      <c r="BL466">
        <v>5</v>
      </c>
      <c r="BM466">
        <v>2</v>
      </c>
      <c r="BN466">
        <v>1</v>
      </c>
      <c r="BO466">
        <v>0</v>
      </c>
      <c r="BP466">
        <v>0</v>
      </c>
      <c r="BQ466">
        <v>0.71589999999999998</v>
      </c>
      <c r="BR466">
        <v>0.71589999999999998</v>
      </c>
    </row>
    <row r="467" spans="49:70">
      <c r="AW467">
        <v>5</v>
      </c>
      <c r="AX467">
        <v>50.013188</v>
      </c>
      <c r="AY467">
        <v>15.313466999999999</v>
      </c>
      <c r="AZ467">
        <v>1</v>
      </c>
      <c r="BA467">
        <v>467</v>
      </c>
      <c r="BB467">
        <v>467</v>
      </c>
      <c r="BC467">
        <v>1</v>
      </c>
      <c r="BD467" t="s">
        <v>1335</v>
      </c>
      <c r="BE467">
        <v>1772023556</v>
      </c>
      <c r="BF467">
        <v>1772135664</v>
      </c>
      <c r="BG467">
        <v>0.97154300000000005</v>
      </c>
      <c r="BH467" t="s">
        <v>23</v>
      </c>
      <c r="BI467">
        <v>3</v>
      </c>
      <c r="BJ467">
        <v>1772023556</v>
      </c>
      <c r="BK467">
        <v>200</v>
      </c>
      <c r="BL467">
        <v>5</v>
      </c>
      <c r="BM467">
        <v>2</v>
      </c>
      <c r="BN467">
        <v>1</v>
      </c>
      <c r="BO467">
        <v>0</v>
      </c>
      <c r="BP467">
        <v>0</v>
      </c>
      <c r="BQ467">
        <v>0.86170000000000002</v>
      </c>
      <c r="BR467">
        <v>0.86170000000000002</v>
      </c>
    </row>
    <row r="468" spans="49:70">
      <c r="AW468">
        <v>5</v>
      </c>
      <c r="AX468">
        <v>50.030686000000003</v>
      </c>
      <c r="AY468">
        <v>15.452272000000001</v>
      </c>
      <c r="AZ468">
        <v>1</v>
      </c>
      <c r="BA468">
        <v>382</v>
      </c>
      <c r="BB468">
        <v>382</v>
      </c>
      <c r="BC468">
        <v>1</v>
      </c>
      <c r="BD468" t="s">
        <v>1335</v>
      </c>
      <c r="BE468">
        <v>1772023871</v>
      </c>
      <c r="BF468">
        <v>1772135664</v>
      </c>
      <c r="BG468">
        <v>0.97154300000000005</v>
      </c>
      <c r="BH468" t="s">
        <v>23</v>
      </c>
      <c r="BI468">
        <v>3</v>
      </c>
      <c r="BJ468">
        <v>1772023871</v>
      </c>
      <c r="BK468">
        <v>200</v>
      </c>
      <c r="BL468">
        <v>5</v>
      </c>
      <c r="BM468">
        <v>2</v>
      </c>
      <c r="BN468">
        <v>1</v>
      </c>
      <c r="BO468">
        <v>0</v>
      </c>
      <c r="BP468">
        <v>0</v>
      </c>
      <c r="BQ468">
        <v>0.70479999999999998</v>
      </c>
      <c r="BR468">
        <v>0.70479999999999998</v>
      </c>
    </row>
    <row r="469" spans="49:70">
      <c r="AW469">
        <v>5</v>
      </c>
      <c r="AX469">
        <v>50.031784999999999</v>
      </c>
      <c r="AY469">
        <v>15.479602</v>
      </c>
      <c r="AZ469">
        <v>1</v>
      </c>
      <c r="BA469">
        <v>456</v>
      </c>
      <c r="BB469">
        <v>456</v>
      </c>
      <c r="BC469">
        <v>1</v>
      </c>
      <c r="BD469" t="s">
        <v>1335</v>
      </c>
      <c r="BE469">
        <v>1772023920</v>
      </c>
      <c r="BF469">
        <v>1772135664</v>
      </c>
      <c r="BG469">
        <v>0.97154300000000005</v>
      </c>
      <c r="BH469" t="s">
        <v>23</v>
      </c>
      <c r="BI469">
        <v>3</v>
      </c>
      <c r="BJ469">
        <v>1772023920</v>
      </c>
      <c r="BK469">
        <v>200</v>
      </c>
      <c r="BL469">
        <v>5</v>
      </c>
      <c r="BM469">
        <v>2</v>
      </c>
      <c r="BN469">
        <v>1</v>
      </c>
      <c r="BO469">
        <v>0</v>
      </c>
      <c r="BP469">
        <v>0</v>
      </c>
      <c r="BQ469">
        <v>0.84140000000000004</v>
      </c>
      <c r="BR469">
        <v>0.84140000000000004</v>
      </c>
    </row>
    <row r="470" spans="49:70">
      <c r="AW470">
        <v>5</v>
      </c>
      <c r="AX470">
        <v>50.034098999999998</v>
      </c>
      <c r="AY470">
        <v>15.510918999999999</v>
      </c>
      <c r="AZ470">
        <v>1</v>
      </c>
      <c r="BA470">
        <v>433</v>
      </c>
      <c r="BB470">
        <v>433</v>
      </c>
      <c r="BC470">
        <v>1</v>
      </c>
      <c r="BD470" t="s">
        <v>1335</v>
      </c>
      <c r="BE470">
        <v>1772023981</v>
      </c>
      <c r="BF470">
        <v>1772135664</v>
      </c>
      <c r="BG470">
        <v>0.97154300000000005</v>
      </c>
      <c r="BH470" t="s">
        <v>23</v>
      </c>
      <c r="BI470">
        <v>3</v>
      </c>
      <c r="BJ470">
        <v>1772023981</v>
      </c>
      <c r="BK470">
        <v>200</v>
      </c>
      <c r="BL470">
        <v>5</v>
      </c>
      <c r="BM470">
        <v>2</v>
      </c>
      <c r="BN470">
        <v>1</v>
      </c>
      <c r="BO470">
        <v>0</v>
      </c>
      <c r="BP470">
        <v>0</v>
      </c>
      <c r="BQ470">
        <v>0.79890000000000005</v>
      </c>
      <c r="BR470">
        <v>0.79890000000000005</v>
      </c>
    </row>
    <row r="471" spans="49:70">
      <c r="AW471">
        <v>5</v>
      </c>
      <c r="AX471">
        <v>50.039341</v>
      </c>
      <c r="AY471">
        <v>15.540422</v>
      </c>
      <c r="AZ471">
        <v>1</v>
      </c>
      <c r="BA471">
        <v>393</v>
      </c>
      <c r="BB471">
        <v>393</v>
      </c>
      <c r="BC471">
        <v>1</v>
      </c>
      <c r="BD471" t="s">
        <v>1335</v>
      </c>
      <c r="BE471">
        <v>1772024040</v>
      </c>
      <c r="BF471">
        <v>1772135664</v>
      </c>
      <c r="BG471">
        <v>0.97154300000000005</v>
      </c>
      <c r="BH471" t="s">
        <v>23</v>
      </c>
      <c r="BI471">
        <v>3</v>
      </c>
      <c r="BJ471">
        <v>1772024040</v>
      </c>
      <c r="BK471">
        <v>200</v>
      </c>
      <c r="BL471">
        <v>5</v>
      </c>
      <c r="BM471">
        <v>2</v>
      </c>
      <c r="BN471">
        <v>1</v>
      </c>
      <c r="BO471">
        <v>0</v>
      </c>
      <c r="BP471">
        <v>0</v>
      </c>
      <c r="BQ471">
        <v>0.72509999999999997</v>
      </c>
      <c r="BR471">
        <v>0.72509999999999997</v>
      </c>
    </row>
    <row r="472" spans="49:70">
      <c r="AW472">
        <v>5</v>
      </c>
      <c r="AX472">
        <v>50.040602</v>
      </c>
      <c r="AY472">
        <v>15.546721</v>
      </c>
      <c r="AZ472">
        <v>1</v>
      </c>
      <c r="BA472">
        <v>456</v>
      </c>
      <c r="BB472">
        <v>456</v>
      </c>
      <c r="BC472">
        <v>1</v>
      </c>
      <c r="BD472" t="s">
        <v>1335</v>
      </c>
      <c r="BE472">
        <v>1772024057</v>
      </c>
      <c r="BF472">
        <v>1772135664</v>
      </c>
      <c r="BG472">
        <v>0.97154300000000005</v>
      </c>
      <c r="BH472" t="s">
        <v>23</v>
      </c>
      <c r="BI472">
        <v>3</v>
      </c>
      <c r="BJ472">
        <v>1772024057</v>
      </c>
      <c r="BK472">
        <v>200</v>
      </c>
      <c r="BL472">
        <v>5</v>
      </c>
      <c r="BM472">
        <v>2</v>
      </c>
      <c r="BN472">
        <v>1</v>
      </c>
      <c r="BO472">
        <v>0</v>
      </c>
      <c r="BP472">
        <v>0</v>
      </c>
      <c r="BQ472">
        <v>0.84140000000000004</v>
      </c>
      <c r="BR472">
        <v>0.84140000000000004</v>
      </c>
    </row>
    <row r="473" spans="49:70">
      <c r="AW473">
        <v>5</v>
      </c>
      <c r="AX473">
        <v>50.039143000000003</v>
      </c>
      <c r="AY473">
        <v>15.576110999999999</v>
      </c>
      <c r="AZ473">
        <v>1</v>
      </c>
      <c r="BA473">
        <v>473</v>
      </c>
      <c r="BB473">
        <v>473</v>
      </c>
      <c r="BC473">
        <v>1</v>
      </c>
      <c r="BD473" t="s">
        <v>1335</v>
      </c>
      <c r="BE473">
        <v>1772024186</v>
      </c>
      <c r="BF473">
        <v>1772135664</v>
      </c>
      <c r="BG473">
        <v>0.97154300000000005</v>
      </c>
      <c r="BH473" t="s">
        <v>23</v>
      </c>
      <c r="BI473">
        <v>3</v>
      </c>
      <c r="BJ473">
        <v>1772024186</v>
      </c>
      <c r="BK473">
        <v>200</v>
      </c>
      <c r="BL473">
        <v>5</v>
      </c>
      <c r="BM473">
        <v>2</v>
      </c>
      <c r="BN473">
        <v>1</v>
      </c>
      <c r="BO473">
        <v>0</v>
      </c>
      <c r="BP473">
        <v>0</v>
      </c>
      <c r="BQ473">
        <v>0.87270000000000003</v>
      </c>
      <c r="BR473">
        <v>0.87270000000000003</v>
      </c>
    </row>
    <row r="474" spans="49:70">
      <c r="AW474">
        <v>5</v>
      </c>
      <c r="AX474">
        <v>50.031529999999997</v>
      </c>
      <c r="AY474">
        <v>15.755338999999999</v>
      </c>
      <c r="AZ474">
        <v>1</v>
      </c>
      <c r="BA474">
        <v>529</v>
      </c>
      <c r="BB474">
        <v>529</v>
      </c>
      <c r="BC474">
        <v>1</v>
      </c>
      <c r="BD474" t="s">
        <v>1335</v>
      </c>
      <c r="BE474">
        <v>1772024645</v>
      </c>
      <c r="BF474">
        <v>1772135664</v>
      </c>
      <c r="BG474">
        <v>0.97154300000000005</v>
      </c>
      <c r="BH474" t="s">
        <v>23</v>
      </c>
      <c r="BI474">
        <v>3</v>
      </c>
      <c r="BJ474">
        <v>1772024645</v>
      </c>
      <c r="BK474">
        <v>200</v>
      </c>
      <c r="BL474">
        <v>5</v>
      </c>
      <c r="BM474">
        <v>2</v>
      </c>
      <c r="BN474">
        <v>1</v>
      </c>
      <c r="BO474">
        <v>0</v>
      </c>
      <c r="BP474">
        <v>0</v>
      </c>
      <c r="BQ474">
        <v>0.97609999999999997</v>
      </c>
      <c r="BR474">
        <v>0.97609999999999997</v>
      </c>
    </row>
    <row r="475" spans="49:70">
      <c r="AW475">
        <v>5</v>
      </c>
      <c r="AX475">
        <v>50.031694000000002</v>
      </c>
      <c r="AY475">
        <v>15.755701</v>
      </c>
      <c r="AZ475">
        <v>1</v>
      </c>
      <c r="BA475">
        <v>541</v>
      </c>
      <c r="BB475">
        <v>541</v>
      </c>
      <c r="BC475">
        <v>1</v>
      </c>
      <c r="BD475" t="s">
        <v>1335</v>
      </c>
      <c r="BE475">
        <v>1772024650</v>
      </c>
      <c r="BF475">
        <v>1772135664</v>
      </c>
      <c r="BG475">
        <v>0.97154300000000005</v>
      </c>
      <c r="BH475" t="s">
        <v>23</v>
      </c>
      <c r="BI475">
        <v>3</v>
      </c>
      <c r="BJ475">
        <v>1772024650</v>
      </c>
      <c r="BK475">
        <v>200</v>
      </c>
      <c r="BL475">
        <v>5</v>
      </c>
      <c r="BM475">
        <v>2</v>
      </c>
      <c r="BN475">
        <v>1</v>
      </c>
      <c r="BO475">
        <v>0</v>
      </c>
      <c r="BP475">
        <v>0</v>
      </c>
      <c r="BQ475">
        <v>0.99819999999999998</v>
      </c>
      <c r="BR475">
        <v>0.99819999999999998</v>
      </c>
    </row>
    <row r="476" spans="49:70">
      <c r="AW476">
        <v>5</v>
      </c>
      <c r="AX476">
        <v>50.024717000000003</v>
      </c>
      <c r="AY476">
        <v>15.842573</v>
      </c>
      <c r="AZ476">
        <v>1</v>
      </c>
      <c r="BA476">
        <v>461</v>
      </c>
      <c r="BB476">
        <v>461</v>
      </c>
      <c r="BC476">
        <v>1</v>
      </c>
      <c r="BD476" t="s">
        <v>1335</v>
      </c>
      <c r="BE476">
        <v>1772024990</v>
      </c>
      <c r="BF476">
        <v>1772135664</v>
      </c>
      <c r="BG476">
        <v>0.97154300000000005</v>
      </c>
      <c r="BH476" t="s">
        <v>23</v>
      </c>
      <c r="BI476">
        <v>3</v>
      </c>
      <c r="BJ476">
        <v>1772024990</v>
      </c>
      <c r="BK476">
        <v>200</v>
      </c>
      <c r="BL476">
        <v>5</v>
      </c>
      <c r="BM476">
        <v>2</v>
      </c>
      <c r="BN476">
        <v>1</v>
      </c>
      <c r="BO476">
        <v>0</v>
      </c>
      <c r="BP476">
        <v>0</v>
      </c>
      <c r="BQ476">
        <v>0.85060000000000002</v>
      </c>
      <c r="BR476">
        <v>0.85060000000000002</v>
      </c>
    </row>
    <row r="477" spans="49:70">
      <c r="AW477">
        <v>5</v>
      </c>
      <c r="AX477">
        <v>49.986286</v>
      </c>
      <c r="AY477">
        <v>16.02206</v>
      </c>
      <c r="AZ477">
        <v>1</v>
      </c>
      <c r="BA477">
        <v>541</v>
      </c>
      <c r="BB477">
        <v>541</v>
      </c>
      <c r="BC477">
        <v>1</v>
      </c>
      <c r="BD477" t="s">
        <v>1335</v>
      </c>
      <c r="BE477">
        <v>1772025409</v>
      </c>
      <c r="BF477">
        <v>1772135664</v>
      </c>
      <c r="BG477">
        <v>0.97154300000000005</v>
      </c>
      <c r="BH477" t="s">
        <v>23</v>
      </c>
      <c r="BI477">
        <v>3</v>
      </c>
      <c r="BJ477">
        <v>1772025409</v>
      </c>
      <c r="BK477">
        <v>200</v>
      </c>
      <c r="BL477">
        <v>5</v>
      </c>
      <c r="BM477">
        <v>2</v>
      </c>
      <c r="BN477">
        <v>1</v>
      </c>
      <c r="BO477">
        <v>0</v>
      </c>
      <c r="BP477">
        <v>0</v>
      </c>
      <c r="BQ477">
        <v>0.99819999999999998</v>
      </c>
      <c r="BR477">
        <v>0.99819999999999998</v>
      </c>
    </row>
    <row r="478" spans="49:70">
      <c r="AW478">
        <v>5</v>
      </c>
      <c r="AX478">
        <v>49.986541000000003</v>
      </c>
      <c r="AY478">
        <v>16.021912</v>
      </c>
      <c r="AZ478">
        <v>1</v>
      </c>
      <c r="BA478">
        <v>541</v>
      </c>
      <c r="BB478">
        <v>541</v>
      </c>
      <c r="BC478">
        <v>1</v>
      </c>
      <c r="BD478" t="s">
        <v>1335</v>
      </c>
      <c r="BE478">
        <v>1772025414</v>
      </c>
      <c r="BF478">
        <v>1772135664</v>
      </c>
      <c r="BG478">
        <v>0.97154300000000005</v>
      </c>
      <c r="BH478" t="s">
        <v>23</v>
      </c>
      <c r="BI478">
        <v>3</v>
      </c>
      <c r="BJ478">
        <v>1772025414</v>
      </c>
      <c r="BK478">
        <v>200</v>
      </c>
      <c r="BL478">
        <v>5</v>
      </c>
      <c r="BM478">
        <v>2</v>
      </c>
      <c r="BN478">
        <v>1</v>
      </c>
      <c r="BO478">
        <v>0</v>
      </c>
      <c r="BP478">
        <v>0</v>
      </c>
      <c r="BQ478">
        <v>0.99819999999999998</v>
      </c>
      <c r="BR478">
        <v>0.99819999999999998</v>
      </c>
    </row>
    <row r="479" spans="49:70">
      <c r="AW479">
        <v>5</v>
      </c>
      <c r="AX479">
        <v>49.986342</v>
      </c>
      <c r="AY479">
        <v>16.021647000000002</v>
      </c>
      <c r="AZ479">
        <v>1</v>
      </c>
      <c r="BA479">
        <v>541</v>
      </c>
      <c r="BB479">
        <v>541</v>
      </c>
      <c r="BC479">
        <v>1</v>
      </c>
      <c r="BD479" t="s">
        <v>1335</v>
      </c>
      <c r="BE479">
        <v>1772025418</v>
      </c>
      <c r="BF479">
        <v>1772135664</v>
      </c>
      <c r="BG479">
        <v>0.97154300000000005</v>
      </c>
      <c r="BH479" t="s">
        <v>23</v>
      </c>
      <c r="BI479">
        <v>3</v>
      </c>
      <c r="BJ479">
        <v>1772025418</v>
      </c>
      <c r="BK479">
        <v>200</v>
      </c>
      <c r="BL479">
        <v>5</v>
      </c>
      <c r="BM479">
        <v>2</v>
      </c>
      <c r="BN479">
        <v>1</v>
      </c>
      <c r="BO479">
        <v>0</v>
      </c>
      <c r="BP479">
        <v>0</v>
      </c>
      <c r="BQ479">
        <v>0.99819999999999998</v>
      </c>
      <c r="BR479">
        <v>0.99819999999999998</v>
      </c>
    </row>
    <row r="480" spans="49:70">
      <c r="AW480">
        <v>5</v>
      </c>
      <c r="AX480">
        <v>49.986592000000002</v>
      </c>
      <c r="AY480">
        <v>16.021467999999999</v>
      </c>
      <c r="AZ480">
        <v>1</v>
      </c>
      <c r="BA480">
        <v>529</v>
      </c>
      <c r="BB480">
        <v>529</v>
      </c>
      <c r="BC480">
        <v>1</v>
      </c>
      <c r="BD480" t="s">
        <v>1335</v>
      </c>
      <c r="BE480">
        <v>1772025422</v>
      </c>
      <c r="BF480">
        <v>1772135664</v>
      </c>
      <c r="BG480">
        <v>0.97154300000000005</v>
      </c>
      <c r="BH480" t="s">
        <v>23</v>
      </c>
      <c r="BI480">
        <v>3</v>
      </c>
      <c r="BJ480">
        <v>1772025422</v>
      </c>
      <c r="BK480">
        <v>200</v>
      </c>
      <c r="BL480">
        <v>5</v>
      </c>
      <c r="BM480">
        <v>2</v>
      </c>
      <c r="BN480">
        <v>1</v>
      </c>
      <c r="BO480">
        <v>0</v>
      </c>
      <c r="BP480">
        <v>0</v>
      </c>
      <c r="BQ480">
        <v>0.97609999999999997</v>
      </c>
      <c r="BR480">
        <v>0.97609999999999997</v>
      </c>
    </row>
    <row r="481" spans="49:70">
      <c r="AW481">
        <v>5</v>
      </c>
      <c r="AX481">
        <v>49.986080999999999</v>
      </c>
      <c r="AY481">
        <v>16.021784</v>
      </c>
      <c r="AZ481">
        <v>1</v>
      </c>
      <c r="BA481">
        <v>541</v>
      </c>
      <c r="BB481">
        <v>541</v>
      </c>
      <c r="BC481">
        <v>1</v>
      </c>
      <c r="BD481" t="s">
        <v>1335</v>
      </c>
      <c r="BE481">
        <v>1772025426</v>
      </c>
      <c r="BF481">
        <v>1772135664</v>
      </c>
      <c r="BG481">
        <v>0.97154300000000005</v>
      </c>
      <c r="BH481" t="s">
        <v>23</v>
      </c>
      <c r="BI481">
        <v>3</v>
      </c>
      <c r="BJ481">
        <v>1772025426</v>
      </c>
      <c r="BK481">
        <v>200</v>
      </c>
      <c r="BL481">
        <v>5</v>
      </c>
      <c r="BM481">
        <v>2</v>
      </c>
      <c r="BN481">
        <v>1</v>
      </c>
      <c r="BO481">
        <v>0</v>
      </c>
      <c r="BP481">
        <v>0</v>
      </c>
      <c r="BQ481">
        <v>0.99819999999999998</v>
      </c>
      <c r="BR481">
        <v>0.99819999999999998</v>
      </c>
    </row>
    <row r="482" spans="49:70">
      <c r="AW482">
        <v>5</v>
      </c>
      <c r="AX482">
        <v>48.243540000000003</v>
      </c>
      <c r="AY482">
        <v>16.379639999999998</v>
      </c>
      <c r="AZ482">
        <v>1</v>
      </c>
      <c r="BA482">
        <v>444</v>
      </c>
      <c r="BB482">
        <v>444</v>
      </c>
      <c r="BC482">
        <v>1</v>
      </c>
      <c r="BD482" t="s">
        <v>1335</v>
      </c>
      <c r="BE482">
        <v>1772038684</v>
      </c>
      <c r="BF482">
        <v>1772135664</v>
      </c>
      <c r="BG482">
        <v>0.97154300000000005</v>
      </c>
      <c r="BH482" t="s">
        <v>23</v>
      </c>
      <c r="BI482">
        <v>3</v>
      </c>
      <c r="BJ482">
        <v>1772038684</v>
      </c>
      <c r="BK482">
        <v>200</v>
      </c>
      <c r="BL482">
        <v>5</v>
      </c>
      <c r="BM482">
        <v>2</v>
      </c>
      <c r="BN482">
        <v>1</v>
      </c>
      <c r="BO482">
        <v>0</v>
      </c>
      <c r="BP482">
        <v>0</v>
      </c>
      <c r="BQ482">
        <v>0.81920000000000004</v>
      </c>
      <c r="BR482">
        <v>0.81920000000000004</v>
      </c>
    </row>
    <row r="483" spans="49:70">
      <c r="AW483">
        <v>5</v>
      </c>
      <c r="AX483">
        <v>48.243699999999997</v>
      </c>
      <c r="AY483">
        <v>16.379261</v>
      </c>
      <c r="AZ483">
        <v>1</v>
      </c>
      <c r="BA483">
        <v>433</v>
      </c>
      <c r="BB483">
        <v>433</v>
      </c>
      <c r="BC483">
        <v>1</v>
      </c>
      <c r="BD483" t="s">
        <v>1335</v>
      </c>
      <c r="BE483">
        <v>1772038689</v>
      </c>
      <c r="BF483">
        <v>1772135664</v>
      </c>
      <c r="BG483">
        <v>0.97154300000000005</v>
      </c>
      <c r="BH483" t="s">
        <v>23</v>
      </c>
      <c r="BI483">
        <v>3</v>
      </c>
      <c r="BJ483">
        <v>1772038689</v>
      </c>
      <c r="BK483">
        <v>200</v>
      </c>
      <c r="BL483">
        <v>5</v>
      </c>
      <c r="BM483">
        <v>2</v>
      </c>
      <c r="BN483">
        <v>1</v>
      </c>
      <c r="BO483">
        <v>0</v>
      </c>
      <c r="BP483">
        <v>0</v>
      </c>
      <c r="BQ483">
        <v>0.79890000000000005</v>
      </c>
      <c r="BR483">
        <v>0.79890000000000005</v>
      </c>
    </row>
    <row r="484" spans="49:70">
      <c r="AW484">
        <v>5</v>
      </c>
      <c r="AX484">
        <v>48.241532999999997</v>
      </c>
      <c r="AY484">
        <v>16.375004000000001</v>
      </c>
      <c r="AZ484">
        <v>1</v>
      </c>
      <c r="BA484">
        <v>416</v>
      </c>
      <c r="BB484">
        <v>416</v>
      </c>
      <c r="BC484">
        <v>1</v>
      </c>
      <c r="BD484" t="s">
        <v>1335</v>
      </c>
      <c r="BE484">
        <v>1772099333</v>
      </c>
      <c r="BF484">
        <v>1772135664</v>
      </c>
      <c r="BG484">
        <v>0.97154300000000005</v>
      </c>
      <c r="BH484" t="s">
        <v>23</v>
      </c>
      <c r="BI484">
        <v>3</v>
      </c>
      <c r="BJ484">
        <v>1772099333</v>
      </c>
      <c r="BK484">
        <v>200</v>
      </c>
      <c r="BL484">
        <v>5</v>
      </c>
      <c r="BM484">
        <v>2</v>
      </c>
      <c r="BN484">
        <v>1</v>
      </c>
      <c r="BO484">
        <v>0</v>
      </c>
      <c r="BP484">
        <v>0</v>
      </c>
      <c r="BQ484">
        <v>0.76759999999999995</v>
      </c>
      <c r="BR484">
        <v>0.76759999999999995</v>
      </c>
    </row>
    <row r="485" spans="49:70">
      <c r="AW485">
        <v>5</v>
      </c>
      <c r="AX485">
        <v>48.241391</v>
      </c>
      <c r="AY485">
        <v>16.374625000000002</v>
      </c>
      <c r="AZ485">
        <v>1</v>
      </c>
      <c r="BA485">
        <v>405</v>
      </c>
      <c r="BB485">
        <v>405</v>
      </c>
      <c r="BC485">
        <v>1</v>
      </c>
      <c r="BD485" t="s">
        <v>1335</v>
      </c>
      <c r="BE485">
        <v>1772099351</v>
      </c>
      <c r="BF485">
        <v>1772135664</v>
      </c>
      <c r="BG485">
        <v>0.97154300000000005</v>
      </c>
      <c r="BH485" t="s">
        <v>23</v>
      </c>
      <c r="BI485">
        <v>3</v>
      </c>
      <c r="BJ485">
        <v>1772099351</v>
      </c>
      <c r="BK485">
        <v>200</v>
      </c>
      <c r="BL485">
        <v>5</v>
      </c>
      <c r="BM485">
        <v>2</v>
      </c>
      <c r="BN485">
        <v>1</v>
      </c>
      <c r="BO485">
        <v>0</v>
      </c>
      <c r="BP485">
        <v>0</v>
      </c>
      <c r="BQ485">
        <v>0.74729999999999996</v>
      </c>
      <c r="BR485">
        <v>0.74729999999999996</v>
      </c>
    </row>
    <row r="486" spans="49:70">
      <c r="AW486">
        <v>5</v>
      </c>
      <c r="AX486">
        <v>48.224206000000002</v>
      </c>
      <c r="AY486">
        <v>16.374210000000001</v>
      </c>
      <c r="AZ486">
        <v>1</v>
      </c>
      <c r="BA486">
        <v>495</v>
      </c>
      <c r="BB486">
        <v>495</v>
      </c>
      <c r="BC486">
        <v>1</v>
      </c>
      <c r="BD486" t="s">
        <v>1335</v>
      </c>
      <c r="BE486">
        <v>1772115548</v>
      </c>
      <c r="BF486">
        <v>1772135664</v>
      </c>
      <c r="BG486">
        <v>0.97154300000000005</v>
      </c>
      <c r="BH486" t="s">
        <v>23</v>
      </c>
      <c r="BI486">
        <v>3</v>
      </c>
      <c r="BJ486">
        <v>1772115548</v>
      </c>
      <c r="BK486">
        <v>200</v>
      </c>
      <c r="BL486">
        <v>5</v>
      </c>
      <c r="BM486">
        <v>2</v>
      </c>
      <c r="BN486">
        <v>1</v>
      </c>
      <c r="BO486">
        <v>0</v>
      </c>
      <c r="BP486">
        <v>0</v>
      </c>
      <c r="BQ486">
        <v>0.9133</v>
      </c>
      <c r="BR486">
        <v>0.9133</v>
      </c>
    </row>
    <row r="487" spans="49:70">
      <c r="AW487">
        <v>5</v>
      </c>
      <c r="AX487">
        <v>48.223913000000003</v>
      </c>
      <c r="AY487">
        <v>16.373767999999998</v>
      </c>
      <c r="AZ487">
        <v>1</v>
      </c>
      <c r="BA487">
        <v>541</v>
      </c>
      <c r="BB487">
        <v>541</v>
      </c>
      <c r="BC487">
        <v>1</v>
      </c>
      <c r="BD487" t="s">
        <v>1335</v>
      </c>
      <c r="BE487">
        <v>1772115553</v>
      </c>
      <c r="BF487">
        <v>1772135664</v>
      </c>
      <c r="BG487">
        <v>0.97154300000000005</v>
      </c>
      <c r="BH487" t="s">
        <v>23</v>
      </c>
      <c r="BI487">
        <v>3</v>
      </c>
      <c r="BJ487">
        <v>1772115553</v>
      </c>
      <c r="BK487">
        <v>200</v>
      </c>
      <c r="BL487">
        <v>5</v>
      </c>
      <c r="BM487">
        <v>2</v>
      </c>
      <c r="BN487">
        <v>1</v>
      </c>
      <c r="BO487">
        <v>0</v>
      </c>
      <c r="BP487">
        <v>0</v>
      </c>
      <c r="BQ487">
        <v>0.99819999999999998</v>
      </c>
      <c r="BR487">
        <v>0.99819999999999998</v>
      </c>
    </row>
    <row r="488" spans="49:70">
      <c r="AW488">
        <v>5</v>
      </c>
      <c r="AX488">
        <v>48.224079000000003</v>
      </c>
      <c r="AY488">
        <v>16.373429999999999</v>
      </c>
      <c r="AZ488">
        <v>1</v>
      </c>
      <c r="BA488">
        <v>501</v>
      </c>
      <c r="BB488">
        <v>501</v>
      </c>
      <c r="BC488">
        <v>1</v>
      </c>
      <c r="BD488" t="s">
        <v>1335</v>
      </c>
      <c r="BE488">
        <v>1772115556</v>
      </c>
      <c r="BF488">
        <v>1772135664</v>
      </c>
      <c r="BG488">
        <v>0.97154300000000005</v>
      </c>
      <c r="BH488" t="s">
        <v>23</v>
      </c>
      <c r="BI488">
        <v>3</v>
      </c>
      <c r="BJ488">
        <v>1772115556</v>
      </c>
      <c r="BK488">
        <v>200</v>
      </c>
      <c r="BL488">
        <v>5</v>
      </c>
      <c r="BM488">
        <v>2</v>
      </c>
      <c r="BN488">
        <v>1</v>
      </c>
      <c r="BO488">
        <v>0</v>
      </c>
      <c r="BP488">
        <v>0</v>
      </c>
      <c r="BQ488">
        <v>0.9244</v>
      </c>
      <c r="BR488">
        <v>0.9244</v>
      </c>
    </row>
    <row r="489" spans="49:70">
      <c r="AW489">
        <v>5</v>
      </c>
      <c r="AX489">
        <v>48.223644999999998</v>
      </c>
      <c r="AY489">
        <v>16.373778999999999</v>
      </c>
      <c r="AZ489">
        <v>1</v>
      </c>
      <c r="BA489">
        <v>473</v>
      </c>
      <c r="BB489">
        <v>473</v>
      </c>
      <c r="BC489">
        <v>1</v>
      </c>
      <c r="BD489" t="s">
        <v>1335</v>
      </c>
      <c r="BE489">
        <v>1772115561</v>
      </c>
      <c r="BF489">
        <v>1772135664</v>
      </c>
      <c r="BG489">
        <v>0.97154300000000005</v>
      </c>
      <c r="BH489" t="s">
        <v>23</v>
      </c>
      <c r="BI489">
        <v>3</v>
      </c>
      <c r="BJ489">
        <v>1772115561</v>
      </c>
      <c r="BK489">
        <v>200</v>
      </c>
      <c r="BL489">
        <v>5</v>
      </c>
      <c r="BM489">
        <v>2</v>
      </c>
      <c r="BN489">
        <v>1</v>
      </c>
      <c r="BO489">
        <v>0</v>
      </c>
      <c r="BP489">
        <v>0</v>
      </c>
      <c r="BQ489">
        <v>0.87270000000000003</v>
      </c>
      <c r="BR489">
        <v>0.87270000000000003</v>
      </c>
    </row>
    <row r="490" spans="49:70">
      <c r="AW490">
        <v>9</v>
      </c>
      <c r="AX490">
        <v>48.145788000000003</v>
      </c>
      <c r="AY490">
        <v>16.465277</v>
      </c>
      <c r="AZ490">
        <v>1</v>
      </c>
      <c r="BA490">
        <v>350</v>
      </c>
      <c r="BB490">
        <v>350</v>
      </c>
      <c r="BC490">
        <v>1</v>
      </c>
      <c r="BD490" t="s">
        <v>1339</v>
      </c>
      <c r="BE490">
        <v>1771724720</v>
      </c>
      <c r="BF490">
        <v>1772135664</v>
      </c>
      <c r="BG490">
        <v>0.97154300000000005</v>
      </c>
      <c r="BH490" t="s">
        <v>24</v>
      </c>
      <c r="BI490">
        <v>8</v>
      </c>
      <c r="BJ490">
        <v>1771724720</v>
      </c>
      <c r="BK490">
        <v>200</v>
      </c>
      <c r="BL490">
        <v>5</v>
      </c>
      <c r="BM490">
        <v>2</v>
      </c>
      <c r="BN490">
        <v>1</v>
      </c>
      <c r="BO490">
        <v>0</v>
      </c>
      <c r="BP490">
        <v>0</v>
      </c>
      <c r="BQ490">
        <v>0.68630000000000002</v>
      </c>
      <c r="BR490">
        <v>0.68630000000000002</v>
      </c>
    </row>
    <row r="491" spans="49:70">
      <c r="AW491">
        <v>9</v>
      </c>
      <c r="AX491">
        <v>48.145401999999997</v>
      </c>
      <c r="AY491">
        <v>16.465129999999998</v>
      </c>
      <c r="AZ491">
        <v>1</v>
      </c>
      <c r="BA491">
        <v>362</v>
      </c>
      <c r="BB491">
        <v>362</v>
      </c>
      <c r="BC491">
        <v>1</v>
      </c>
      <c r="BD491" t="s">
        <v>1339</v>
      </c>
      <c r="BE491">
        <v>1771724777</v>
      </c>
      <c r="BF491">
        <v>1772135664</v>
      </c>
      <c r="BG491">
        <v>0.97154300000000005</v>
      </c>
      <c r="BH491" t="s">
        <v>24</v>
      </c>
      <c r="BI491">
        <v>8</v>
      </c>
      <c r="BJ491">
        <v>1771724777</v>
      </c>
      <c r="BK491">
        <v>200</v>
      </c>
      <c r="BL491">
        <v>5</v>
      </c>
      <c r="BM491">
        <v>2</v>
      </c>
      <c r="BN491">
        <v>1</v>
      </c>
      <c r="BO491">
        <v>0</v>
      </c>
      <c r="BP491">
        <v>0</v>
      </c>
      <c r="BQ491">
        <v>0.70979999999999999</v>
      </c>
      <c r="BR491">
        <v>0.70979999999999999</v>
      </c>
    </row>
    <row r="492" spans="49:70">
      <c r="AW492">
        <v>9</v>
      </c>
      <c r="AX492">
        <v>48.145310000000002</v>
      </c>
      <c r="AY492">
        <v>16.465525</v>
      </c>
      <c r="AZ492">
        <v>1</v>
      </c>
      <c r="BA492">
        <v>382</v>
      </c>
      <c r="BB492">
        <v>382</v>
      </c>
      <c r="BC492">
        <v>1</v>
      </c>
      <c r="BD492" t="s">
        <v>1339</v>
      </c>
      <c r="BE492">
        <v>1771724781</v>
      </c>
      <c r="BF492">
        <v>1772135664</v>
      </c>
      <c r="BG492">
        <v>0.97154300000000005</v>
      </c>
      <c r="BH492" t="s">
        <v>24</v>
      </c>
      <c r="BI492">
        <v>8</v>
      </c>
      <c r="BJ492">
        <v>1771724781</v>
      </c>
      <c r="BK492">
        <v>200</v>
      </c>
      <c r="BL492">
        <v>5</v>
      </c>
      <c r="BM492">
        <v>2</v>
      </c>
      <c r="BN492">
        <v>1</v>
      </c>
      <c r="BO492">
        <v>0</v>
      </c>
      <c r="BP492">
        <v>0</v>
      </c>
      <c r="BQ492">
        <v>0.749</v>
      </c>
      <c r="BR492">
        <v>0.749</v>
      </c>
    </row>
    <row r="493" spans="49:70">
      <c r="AW493">
        <v>9</v>
      </c>
      <c r="AX493">
        <v>48.145569000000002</v>
      </c>
      <c r="AY493">
        <v>16.465705</v>
      </c>
      <c r="AZ493">
        <v>1</v>
      </c>
      <c r="BA493">
        <v>350</v>
      </c>
      <c r="BB493">
        <v>350</v>
      </c>
      <c r="BC493">
        <v>1</v>
      </c>
      <c r="BD493" t="s">
        <v>1339</v>
      </c>
      <c r="BE493">
        <v>1771724793</v>
      </c>
      <c r="BF493">
        <v>1772135664</v>
      </c>
      <c r="BG493">
        <v>0.97154300000000005</v>
      </c>
      <c r="BH493" t="s">
        <v>24</v>
      </c>
      <c r="BI493">
        <v>8</v>
      </c>
      <c r="BJ493">
        <v>1771724793</v>
      </c>
      <c r="BK493">
        <v>200</v>
      </c>
      <c r="BL493">
        <v>5</v>
      </c>
      <c r="BM493">
        <v>2</v>
      </c>
      <c r="BN493">
        <v>1</v>
      </c>
      <c r="BO493">
        <v>0</v>
      </c>
      <c r="BP493">
        <v>0</v>
      </c>
      <c r="BQ493">
        <v>0.68630000000000002</v>
      </c>
      <c r="BR493">
        <v>0.68630000000000002</v>
      </c>
    </row>
    <row r="494" spans="49:70">
      <c r="AW494">
        <v>9</v>
      </c>
      <c r="AX494">
        <v>48.138235999999999</v>
      </c>
      <c r="AY494">
        <v>16.446545</v>
      </c>
      <c r="AZ494">
        <v>1</v>
      </c>
      <c r="BA494">
        <v>394</v>
      </c>
      <c r="BB494">
        <v>394</v>
      </c>
      <c r="BC494">
        <v>1</v>
      </c>
      <c r="BD494" t="s">
        <v>1339</v>
      </c>
      <c r="BE494">
        <v>1771724862</v>
      </c>
      <c r="BF494">
        <v>1772135664</v>
      </c>
      <c r="BG494">
        <v>0.97154300000000005</v>
      </c>
      <c r="BH494" t="s">
        <v>24</v>
      </c>
      <c r="BI494">
        <v>8</v>
      </c>
      <c r="BJ494">
        <v>1771724862</v>
      </c>
      <c r="BK494">
        <v>200</v>
      </c>
      <c r="BL494">
        <v>5</v>
      </c>
      <c r="BM494">
        <v>2</v>
      </c>
      <c r="BN494">
        <v>1</v>
      </c>
      <c r="BO494">
        <v>0</v>
      </c>
      <c r="BP494">
        <v>0</v>
      </c>
      <c r="BQ494">
        <v>0.77249999999999996</v>
      </c>
      <c r="BR494">
        <v>0.77249999999999996</v>
      </c>
    </row>
    <row r="495" spans="49:70">
      <c r="AW495">
        <v>9</v>
      </c>
      <c r="AX495">
        <v>48.138323</v>
      </c>
      <c r="AY495">
        <v>16.443045000000001</v>
      </c>
      <c r="AZ495">
        <v>1</v>
      </c>
      <c r="BA495">
        <v>314</v>
      </c>
      <c r="BB495">
        <v>314</v>
      </c>
      <c r="BC495">
        <v>1</v>
      </c>
      <c r="BD495" t="s">
        <v>1339</v>
      </c>
      <c r="BE495">
        <v>1771724874</v>
      </c>
      <c r="BF495">
        <v>1772135664</v>
      </c>
      <c r="BG495">
        <v>0.97154300000000005</v>
      </c>
      <c r="BH495" t="s">
        <v>24</v>
      </c>
      <c r="BI495">
        <v>8</v>
      </c>
      <c r="BJ495">
        <v>1771724874</v>
      </c>
      <c r="BK495">
        <v>200</v>
      </c>
      <c r="BL495">
        <v>5</v>
      </c>
      <c r="BM495">
        <v>2</v>
      </c>
      <c r="BN495">
        <v>1</v>
      </c>
      <c r="BO495">
        <v>0</v>
      </c>
      <c r="BP495">
        <v>0</v>
      </c>
      <c r="BQ495">
        <v>0.61570000000000003</v>
      </c>
      <c r="BR495">
        <v>0.61570000000000003</v>
      </c>
    </row>
    <row r="496" spans="49:70">
      <c r="AW496">
        <v>9</v>
      </c>
      <c r="AX496">
        <v>48.147483999999999</v>
      </c>
      <c r="AY496">
        <v>16.429841</v>
      </c>
      <c r="AZ496">
        <v>1</v>
      </c>
      <c r="BA496">
        <v>308</v>
      </c>
      <c r="BB496">
        <v>308</v>
      </c>
      <c r="BC496">
        <v>1</v>
      </c>
      <c r="BD496" t="s">
        <v>1339</v>
      </c>
      <c r="BE496">
        <v>1771724943</v>
      </c>
      <c r="BF496">
        <v>1772135664</v>
      </c>
      <c r="BG496">
        <v>0.97154300000000005</v>
      </c>
      <c r="BH496" t="s">
        <v>24</v>
      </c>
      <c r="BI496">
        <v>8</v>
      </c>
      <c r="BJ496">
        <v>1771724943</v>
      </c>
      <c r="BK496">
        <v>200</v>
      </c>
      <c r="BL496">
        <v>5</v>
      </c>
      <c r="BM496">
        <v>2</v>
      </c>
      <c r="BN496">
        <v>1</v>
      </c>
      <c r="BO496">
        <v>0</v>
      </c>
      <c r="BP496">
        <v>0</v>
      </c>
      <c r="BQ496">
        <v>0.60389999999999999</v>
      </c>
      <c r="BR496">
        <v>0.60389999999999999</v>
      </c>
    </row>
    <row r="497" spans="49:70">
      <c r="AW497">
        <v>9</v>
      </c>
      <c r="AX497">
        <v>48.148305999999998</v>
      </c>
      <c r="AY497">
        <v>16.429386999999998</v>
      </c>
      <c r="AZ497">
        <v>1</v>
      </c>
      <c r="BA497">
        <v>302</v>
      </c>
      <c r="BB497">
        <v>302</v>
      </c>
      <c r="BC497">
        <v>1</v>
      </c>
      <c r="BD497" t="s">
        <v>1339</v>
      </c>
      <c r="BE497">
        <v>1771724946</v>
      </c>
      <c r="BF497">
        <v>1772135664</v>
      </c>
      <c r="BG497">
        <v>0.97154300000000005</v>
      </c>
      <c r="BH497" t="s">
        <v>24</v>
      </c>
      <c r="BI497">
        <v>8</v>
      </c>
      <c r="BJ497">
        <v>1771724946</v>
      </c>
      <c r="BK497">
        <v>200</v>
      </c>
      <c r="BL497">
        <v>5</v>
      </c>
      <c r="BM497">
        <v>2</v>
      </c>
      <c r="BN497">
        <v>1</v>
      </c>
      <c r="BO497">
        <v>0</v>
      </c>
      <c r="BP497">
        <v>0</v>
      </c>
      <c r="BQ497">
        <v>0.59219999999999995</v>
      </c>
      <c r="BR497">
        <v>0.59219999999999995</v>
      </c>
    </row>
    <row r="498" spans="49:70">
      <c r="AW498">
        <v>9</v>
      </c>
      <c r="AX498">
        <v>48.150618000000001</v>
      </c>
      <c r="AY498">
        <v>16.427916</v>
      </c>
      <c r="AZ498">
        <v>1</v>
      </c>
      <c r="BA498">
        <v>296</v>
      </c>
      <c r="BB498">
        <v>296</v>
      </c>
      <c r="BC498">
        <v>1</v>
      </c>
      <c r="BD498" t="s">
        <v>1339</v>
      </c>
      <c r="BE498">
        <v>1771724956</v>
      </c>
      <c r="BF498">
        <v>1772135664</v>
      </c>
      <c r="BG498">
        <v>0.97154300000000005</v>
      </c>
      <c r="BH498" t="s">
        <v>24</v>
      </c>
      <c r="BI498">
        <v>8</v>
      </c>
      <c r="BJ498">
        <v>1771724956</v>
      </c>
      <c r="BK498">
        <v>200</v>
      </c>
      <c r="BL498">
        <v>5</v>
      </c>
      <c r="BM498">
        <v>2</v>
      </c>
      <c r="BN498">
        <v>1</v>
      </c>
      <c r="BO498">
        <v>0</v>
      </c>
      <c r="BP498">
        <v>0</v>
      </c>
      <c r="BQ498">
        <v>0.58040000000000003</v>
      </c>
      <c r="BR498">
        <v>0.58040000000000003</v>
      </c>
    </row>
    <row r="499" spans="49:70">
      <c r="AW499">
        <v>9</v>
      </c>
      <c r="AX499">
        <v>48.237712999999999</v>
      </c>
      <c r="AY499">
        <v>16.378474000000001</v>
      </c>
      <c r="AZ499">
        <v>1</v>
      </c>
      <c r="BA499">
        <v>326</v>
      </c>
      <c r="BB499">
        <v>326</v>
      </c>
      <c r="BC499">
        <v>1</v>
      </c>
      <c r="BD499" t="s">
        <v>1339</v>
      </c>
      <c r="BE499">
        <v>1771726820</v>
      </c>
      <c r="BF499">
        <v>1772135664</v>
      </c>
      <c r="BG499">
        <v>0.97154300000000005</v>
      </c>
      <c r="BH499" t="s">
        <v>24</v>
      </c>
      <c r="BI499">
        <v>8</v>
      </c>
      <c r="BJ499">
        <v>1771726820</v>
      </c>
      <c r="BK499">
        <v>200</v>
      </c>
      <c r="BL499">
        <v>5</v>
      </c>
      <c r="BM499">
        <v>2</v>
      </c>
      <c r="BN499">
        <v>1</v>
      </c>
      <c r="BO499">
        <v>0</v>
      </c>
      <c r="BP499">
        <v>0</v>
      </c>
      <c r="BQ499">
        <v>0.63919999999999999</v>
      </c>
      <c r="BR499">
        <v>0.63919999999999999</v>
      </c>
    </row>
    <row r="500" spans="49:70">
      <c r="AW500">
        <v>9</v>
      </c>
      <c r="AX500">
        <v>48.237969</v>
      </c>
      <c r="AY500">
        <v>16.378177999999998</v>
      </c>
      <c r="AZ500">
        <v>1</v>
      </c>
      <c r="BA500">
        <v>308</v>
      </c>
      <c r="BB500">
        <v>308</v>
      </c>
      <c r="BC500">
        <v>1</v>
      </c>
      <c r="BD500" t="s">
        <v>1339</v>
      </c>
      <c r="BE500">
        <v>1771726825</v>
      </c>
      <c r="BF500">
        <v>1772135664</v>
      </c>
      <c r="BG500">
        <v>0.97154300000000005</v>
      </c>
      <c r="BH500" t="s">
        <v>24</v>
      </c>
      <c r="BI500">
        <v>8</v>
      </c>
      <c r="BJ500">
        <v>1771726825</v>
      </c>
      <c r="BK500">
        <v>200</v>
      </c>
      <c r="BL500">
        <v>5</v>
      </c>
      <c r="BM500">
        <v>2</v>
      </c>
      <c r="BN500">
        <v>1</v>
      </c>
      <c r="BO500">
        <v>0</v>
      </c>
      <c r="BP500">
        <v>0</v>
      </c>
      <c r="BQ500">
        <v>0.60389999999999999</v>
      </c>
      <c r="BR500">
        <v>0.60389999999999999</v>
      </c>
    </row>
    <row r="501" spans="49:70">
      <c r="AW501">
        <v>9</v>
      </c>
      <c r="AX501">
        <v>48.242854999999999</v>
      </c>
      <c r="AY501">
        <v>16.372534000000002</v>
      </c>
      <c r="AZ501">
        <v>1</v>
      </c>
      <c r="BA501">
        <v>350</v>
      </c>
      <c r="BB501">
        <v>350</v>
      </c>
      <c r="BC501">
        <v>1</v>
      </c>
      <c r="BD501" t="s">
        <v>1339</v>
      </c>
      <c r="BE501">
        <v>1771726908</v>
      </c>
      <c r="BF501">
        <v>1772135664</v>
      </c>
      <c r="BG501">
        <v>0.97154300000000005</v>
      </c>
      <c r="BH501" t="s">
        <v>24</v>
      </c>
      <c r="BI501">
        <v>8</v>
      </c>
      <c r="BJ501">
        <v>1771726908</v>
      </c>
      <c r="BK501">
        <v>200</v>
      </c>
      <c r="BL501">
        <v>5</v>
      </c>
      <c r="BM501">
        <v>2</v>
      </c>
      <c r="BN501">
        <v>1</v>
      </c>
      <c r="BO501">
        <v>0</v>
      </c>
      <c r="BP501">
        <v>0</v>
      </c>
      <c r="BQ501">
        <v>0.68630000000000002</v>
      </c>
      <c r="BR501">
        <v>0.68630000000000002</v>
      </c>
    </row>
    <row r="502" spans="49:70">
      <c r="AW502">
        <v>9</v>
      </c>
      <c r="AX502">
        <v>48.243012</v>
      </c>
      <c r="AY502">
        <v>16.372140999999999</v>
      </c>
      <c r="AZ502">
        <v>1</v>
      </c>
      <c r="BA502">
        <v>332</v>
      </c>
      <c r="BB502">
        <v>332</v>
      </c>
      <c r="BC502">
        <v>1</v>
      </c>
      <c r="BD502" t="s">
        <v>1339</v>
      </c>
      <c r="BE502">
        <v>1771726913</v>
      </c>
      <c r="BF502">
        <v>1772135664</v>
      </c>
      <c r="BG502">
        <v>0.97154300000000005</v>
      </c>
      <c r="BH502" t="s">
        <v>24</v>
      </c>
      <c r="BI502">
        <v>8</v>
      </c>
      <c r="BJ502">
        <v>1771726913</v>
      </c>
      <c r="BK502">
        <v>200</v>
      </c>
      <c r="BL502">
        <v>5</v>
      </c>
      <c r="BM502">
        <v>2</v>
      </c>
      <c r="BN502">
        <v>1</v>
      </c>
      <c r="BO502">
        <v>0</v>
      </c>
      <c r="BP502">
        <v>0</v>
      </c>
      <c r="BQ502">
        <v>0.65100000000000002</v>
      </c>
      <c r="BR502">
        <v>0.65100000000000002</v>
      </c>
    </row>
    <row r="503" spans="49:70">
      <c r="AW503">
        <v>9</v>
      </c>
      <c r="AX503">
        <v>48.181593999999997</v>
      </c>
      <c r="AY503">
        <v>16.400120000000001</v>
      </c>
      <c r="AZ503">
        <v>1</v>
      </c>
      <c r="BA503">
        <v>388</v>
      </c>
      <c r="BB503">
        <v>388</v>
      </c>
      <c r="BC503">
        <v>1</v>
      </c>
      <c r="BD503" t="s">
        <v>1339</v>
      </c>
      <c r="BE503">
        <v>1771762226</v>
      </c>
      <c r="BF503">
        <v>1772135664</v>
      </c>
      <c r="BG503">
        <v>0.97154300000000005</v>
      </c>
      <c r="BH503" t="s">
        <v>24</v>
      </c>
      <c r="BI503">
        <v>8</v>
      </c>
      <c r="BJ503">
        <v>1771762226</v>
      </c>
      <c r="BK503">
        <v>200</v>
      </c>
      <c r="BL503">
        <v>5</v>
      </c>
      <c r="BM503">
        <v>2</v>
      </c>
      <c r="BN503">
        <v>1</v>
      </c>
      <c r="BO503">
        <v>0</v>
      </c>
      <c r="BP503">
        <v>0</v>
      </c>
      <c r="BQ503">
        <v>0.76080000000000003</v>
      </c>
      <c r="BR503">
        <v>0.76080000000000003</v>
      </c>
    </row>
    <row r="504" spans="49:70">
      <c r="AW504">
        <v>9</v>
      </c>
      <c r="AX504">
        <v>48.193885999999999</v>
      </c>
      <c r="AY504">
        <v>16.417283999999999</v>
      </c>
      <c r="AZ504">
        <v>1</v>
      </c>
      <c r="BA504">
        <v>302</v>
      </c>
      <c r="BB504">
        <v>302</v>
      </c>
      <c r="BC504">
        <v>1</v>
      </c>
      <c r="BD504" t="s">
        <v>1339</v>
      </c>
      <c r="BE504">
        <v>1771762347</v>
      </c>
      <c r="BF504">
        <v>1772135664</v>
      </c>
      <c r="BG504">
        <v>0.97154300000000005</v>
      </c>
      <c r="BH504" t="s">
        <v>24</v>
      </c>
      <c r="BI504">
        <v>8</v>
      </c>
      <c r="BJ504">
        <v>1771762347</v>
      </c>
      <c r="BK504">
        <v>200</v>
      </c>
      <c r="BL504">
        <v>5</v>
      </c>
      <c r="BM504">
        <v>2</v>
      </c>
      <c r="BN504">
        <v>1</v>
      </c>
      <c r="BO504">
        <v>0</v>
      </c>
      <c r="BP504">
        <v>0</v>
      </c>
      <c r="BQ504">
        <v>0.59219999999999995</v>
      </c>
      <c r="BR504">
        <v>0.59219999999999995</v>
      </c>
    </row>
    <row r="505" spans="49:70">
      <c r="AW505">
        <v>9</v>
      </c>
      <c r="AX505">
        <v>48.246859999999998</v>
      </c>
      <c r="AY505">
        <v>16.466626999999999</v>
      </c>
      <c r="AZ505">
        <v>1</v>
      </c>
      <c r="BA505">
        <v>314</v>
      </c>
      <c r="BB505">
        <v>314</v>
      </c>
      <c r="BC505">
        <v>1</v>
      </c>
      <c r="BD505" t="s">
        <v>1339</v>
      </c>
      <c r="BE505">
        <v>1771762682</v>
      </c>
      <c r="BF505">
        <v>1772135664</v>
      </c>
      <c r="BG505">
        <v>0.97154300000000005</v>
      </c>
      <c r="BH505" t="s">
        <v>24</v>
      </c>
      <c r="BI505">
        <v>8</v>
      </c>
      <c r="BJ505">
        <v>1771762682</v>
      </c>
      <c r="BK505">
        <v>200</v>
      </c>
      <c r="BL505">
        <v>5</v>
      </c>
      <c r="BM505">
        <v>2</v>
      </c>
      <c r="BN505">
        <v>1</v>
      </c>
      <c r="BO505">
        <v>0</v>
      </c>
      <c r="BP505">
        <v>0</v>
      </c>
      <c r="BQ505">
        <v>0.61570000000000003</v>
      </c>
      <c r="BR505">
        <v>0.61570000000000003</v>
      </c>
    </row>
    <row r="506" spans="49:70">
      <c r="AW506">
        <v>9</v>
      </c>
      <c r="AX506">
        <v>48.400709999999997</v>
      </c>
      <c r="AY506">
        <v>16.524445</v>
      </c>
      <c r="AZ506">
        <v>1</v>
      </c>
      <c r="BA506">
        <v>344</v>
      </c>
      <c r="BB506">
        <v>344</v>
      </c>
      <c r="BC506">
        <v>1</v>
      </c>
      <c r="BD506" t="s">
        <v>1339</v>
      </c>
      <c r="BE506">
        <v>1771763516</v>
      </c>
      <c r="BF506">
        <v>1772135664</v>
      </c>
      <c r="BG506">
        <v>0.97154300000000005</v>
      </c>
      <c r="BH506" t="s">
        <v>24</v>
      </c>
      <c r="BI506">
        <v>8</v>
      </c>
      <c r="BJ506">
        <v>1771763516</v>
      </c>
      <c r="BK506">
        <v>200</v>
      </c>
      <c r="BL506">
        <v>5</v>
      </c>
      <c r="BM506">
        <v>2</v>
      </c>
      <c r="BN506">
        <v>1</v>
      </c>
      <c r="BO506">
        <v>0</v>
      </c>
      <c r="BP506">
        <v>0</v>
      </c>
      <c r="BQ506">
        <v>0.67449999999999999</v>
      </c>
      <c r="BR506">
        <v>0.67449999999999999</v>
      </c>
    </row>
    <row r="507" spans="49:70">
      <c r="AW507">
        <v>9</v>
      </c>
      <c r="AX507">
        <v>48.416736</v>
      </c>
      <c r="AY507">
        <v>16.541595000000001</v>
      </c>
      <c r="AZ507">
        <v>1</v>
      </c>
      <c r="BA507">
        <v>376</v>
      </c>
      <c r="BB507">
        <v>376</v>
      </c>
      <c r="BC507">
        <v>1</v>
      </c>
      <c r="BD507" t="s">
        <v>1339</v>
      </c>
      <c r="BE507">
        <v>1771763597</v>
      </c>
      <c r="BF507">
        <v>1772135664</v>
      </c>
      <c r="BG507">
        <v>0.97154300000000005</v>
      </c>
      <c r="BH507" t="s">
        <v>24</v>
      </c>
      <c r="BI507">
        <v>8</v>
      </c>
      <c r="BJ507">
        <v>1771763597</v>
      </c>
      <c r="BK507">
        <v>200</v>
      </c>
      <c r="BL507">
        <v>5</v>
      </c>
      <c r="BM507">
        <v>2</v>
      </c>
      <c r="BN507">
        <v>1</v>
      </c>
      <c r="BO507">
        <v>0</v>
      </c>
      <c r="BP507">
        <v>0</v>
      </c>
      <c r="BQ507">
        <v>0.73729999999999996</v>
      </c>
      <c r="BR507">
        <v>0.73729999999999996</v>
      </c>
    </row>
    <row r="508" spans="49:70">
      <c r="AW508">
        <v>9</v>
      </c>
      <c r="AX508">
        <v>48.420416000000003</v>
      </c>
      <c r="AY508">
        <v>16.544212000000002</v>
      </c>
      <c r="AZ508">
        <v>1</v>
      </c>
      <c r="BA508">
        <v>474</v>
      </c>
      <c r="BB508">
        <v>474</v>
      </c>
      <c r="BC508">
        <v>1</v>
      </c>
      <c r="BD508" t="s">
        <v>1339</v>
      </c>
      <c r="BE508">
        <v>1771763613</v>
      </c>
      <c r="BF508">
        <v>1772135664</v>
      </c>
      <c r="BG508">
        <v>0.97154300000000005</v>
      </c>
      <c r="BH508" t="s">
        <v>24</v>
      </c>
      <c r="BI508">
        <v>8</v>
      </c>
      <c r="BJ508">
        <v>1771763613</v>
      </c>
      <c r="BK508">
        <v>200</v>
      </c>
      <c r="BL508">
        <v>5</v>
      </c>
      <c r="BM508">
        <v>2</v>
      </c>
      <c r="BN508">
        <v>1</v>
      </c>
      <c r="BO508">
        <v>0</v>
      </c>
      <c r="BP508">
        <v>0</v>
      </c>
      <c r="BQ508">
        <v>0.9294</v>
      </c>
      <c r="BR508">
        <v>0.9294</v>
      </c>
    </row>
    <row r="509" spans="49:70">
      <c r="AW509">
        <v>9</v>
      </c>
      <c r="AX509">
        <v>50.023567</v>
      </c>
      <c r="AY509">
        <v>14.459690999999999</v>
      </c>
      <c r="AZ509">
        <v>1</v>
      </c>
      <c r="BA509">
        <v>326</v>
      </c>
      <c r="BB509">
        <v>326</v>
      </c>
      <c r="BC509">
        <v>1</v>
      </c>
      <c r="BD509" t="s">
        <v>1339</v>
      </c>
      <c r="BE509">
        <v>1771868170</v>
      </c>
      <c r="BF509">
        <v>1772135664</v>
      </c>
      <c r="BG509">
        <v>0.97154300000000005</v>
      </c>
      <c r="BH509" t="s">
        <v>24</v>
      </c>
      <c r="BI509">
        <v>8</v>
      </c>
      <c r="BJ509">
        <v>1771868170</v>
      </c>
      <c r="BK509">
        <v>200</v>
      </c>
      <c r="BL509">
        <v>5</v>
      </c>
      <c r="BM509">
        <v>2</v>
      </c>
      <c r="BN509">
        <v>1</v>
      </c>
      <c r="BO509">
        <v>0</v>
      </c>
      <c r="BP509">
        <v>0</v>
      </c>
      <c r="BQ509">
        <v>0.63919999999999999</v>
      </c>
      <c r="BR509">
        <v>0.63919999999999999</v>
      </c>
    </row>
    <row r="510" spans="49:70">
      <c r="AW510">
        <v>9</v>
      </c>
      <c r="AX510">
        <v>50.023826</v>
      </c>
      <c r="AY510">
        <v>14.459502000000001</v>
      </c>
      <c r="AZ510">
        <v>1</v>
      </c>
      <c r="BA510">
        <v>362</v>
      </c>
      <c r="BB510">
        <v>362</v>
      </c>
      <c r="BC510">
        <v>1</v>
      </c>
      <c r="BD510" t="s">
        <v>1339</v>
      </c>
      <c r="BE510">
        <v>1771868185</v>
      </c>
      <c r="BF510">
        <v>1772135664</v>
      </c>
      <c r="BG510">
        <v>0.97154300000000005</v>
      </c>
      <c r="BH510" t="s">
        <v>24</v>
      </c>
      <c r="BI510">
        <v>8</v>
      </c>
      <c r="BJ510">
        <v>1771868185</v>
      </c>
      <c r="BK510">
        <v>200</v>
      </c>
      <c r="BL510">
        <v>5</v>
      </c>
      <c r="BM510">
        <v>2</v>
      </c>
      <c r="BN510">
        <v>1</v>
      </c>
      <c r="BO510">
        <v>0</v>
      </c>
      <c r="BP510">
        <v>0</v>
      </c>
      <c r="BQ510">
        <v>0.70979999999999999</v>
      </c>
      <c r="BR510">
        <v>0.70979999999999999</v>
      </c>
    </row>
    <row r="511" spans="49:70">
      <c r="AW511">
        <v>9</v>
      </c>
      <c r="AX511">
        <v>50.024110999999998</v>
      </c>
      <c r="AY511">
        <v>14.459514</v>
      </c>
      <c r="AZ511">
        <v>1</v>
      </c>
      <c r="BA511">
        <v>376</v>
      </c>
      <c r="BB511">
        <v>376</v>
      </c>
      <c r="BC511">
        <v>1</v>
      </c>
      <c r="BD511" t="s">
        <v>1339</v>
      </c>
      <c r="BE511">
        <v>1771868204</v>
      </c>
      <c r="BF511">
        <v>1772135664</v>
      </c>
      <c r="BG511">
        <v>0.97154300000000005</v>
      </c>
      <c r="BH511" t="s">
        <v>24</v>
      </c>
      <c r="BI511">
        <v>8</v>
      </c>
      <c r="BJ511">
        <v>1771868204</v>
      </c>
      <c r="BK511">
        <v>200</v>
      </c>
      <c r="BL511">
        <v>5</v>
      </c>
      <c r="BM511">
        <v>2</v>
      </c>
      <c r="BN511">
        <v>1</v>
      </c>
      <c r="BO511">
        <v>0</v>
      </c>
      <c r="BP511">
        <v>0</v>
      </c>
      <c r="BQ511">
        <v>0.73729999999999996</v>
      </c>
      <c r="BR511">
        <v>0.73729999999999996</v>
      </c>
    </row>
    <row r="512" spans="49:70">
      <c r="AW512">
        <v>9</v>
      </c>
      <c r="AX512">
        <v>50.024386</v>
      </c>
      <c r="AY512">
        <v>14.459552</v>
      </c>
      <c r="AZ512">
        <v>1</v>
      </c>
      <c r="BA512">
        <v>362</v>
      </c>
      <c r="BB512">
        <v>362</v>
      </c>
      <c r="BC512">
        <v>1</v>
      </c>
      <c r="BD512" t="s">
        <v>1339</v>
      </c>
      <c r="BE512">
        <v>1771868220</v>
      </c>
      <c r="BF512">
        <v>1772135664</v>
      </c>
      <c r="BG512">
        <v>0.97154300000000005</v>
      </c>
      <c r="BH512" t="s">
        <v>24</v>
      </c>
      <c r="BI512">
        <v>8</v>
      </c>
      <c r="BJ512">
        <v>1771868220</v>
      </c>
      <c r="BK512">
        <v>200</v>
      </c>
      <c r="BL512">
        <v>5</v>
      </c>
      <c r="BM512">
        <v>2</v>
      </c>
      <c r="BN512">
        <v>1</v>
      </c>
      <c r="BO512">
        <v>0</v>
      </c>
      <c r="BP512">
        <v>0</v>
      </c>
      <c r="BQ512">
        <v>0.70979999999999999</v>
      </c>
      <c r="BR512">
        <v>0.70979999999999999</v>
      </c>
    </row>
    <row r="513" spans="49:70">
      <c r="AW513">
        <v>9</v>
      </c>
      <c r="AX513">
        <v>50.028472999999998</v>
      </c>
      <c r="AY513">
        <v>14.456861999999999</v>
      </c>
      <c r="AZ513">
        <v>1</v>
      </c>
      <c r="BA513">
        <v>394</v>
      </c>
      <c r="BB513">
        <v>394</v>
      </c>
      <c r="BC513">
        <v>1</v>
      </c>
      <c r="BD513" t="s">
        <v>1339</v>
      </c>
      <c r="BE513">
        <v>1771868602</v>
      </c>
      <c r="BF513">
        <v>1772135664</v>
      </c>
      <c r="BG513">
        <v>0.97154300000000005</v>
      </c>
      <c r="BH513" t="s">
        <v>24</v>
      </c>
      <c r="BI513">
        <v>8</v>
      </c>
      <c r="BJ513">
        <v>1771868602</v>
      </c>
      <c r="BK513">
        <v>200</v>
      </c>
      <c r="BL513">
        <v>5</v>
      </c>
      <c r="BM513">
        <v>2</v>
      </c>
      <c r="BN513">
        <v>1</v>
      </c>
      <c r="BO513">
        <v>0</v>
      </c>
      <c r="BP513">
        <v>0</v>
      </c>
      <c r="BQ513">
        <v>0.77249999999999996</v>
      </c>
      <c r="BR513">
        <v>0.77249999999999996</v>
      </c>
    </row>
    <row r="514" spans="49:70">
      <c r="AW514">
        <v>9</v>
      </c>
      <c r="AX514">
        <v>50.049779999999998</v>
      </c>
      <c r="AY514">
        <v>14.441385</v>
      </c>
      <c r="AZ514">
        <v>1</v>
      </c>
      <c r="BA514">
        <v>356</v>
      </c>
      <c r="BB514">
        <v>356</v>
      </c>
      <c r="BC514">
        <v>1</v>
      </c>
      <c r="BD514" t="s">
        <v>1339</v>
      </c>
      <c r="BE514">
        <v>1771893245</v>
      </c>
      <c r="BF514">
        <v>1772135664</v>
      </c>
      <c r="BG514">
        <v>0.97154300000000005</v>
      </c>
      <c r="BH514" t="s">
        <v>24</v>
      </c>
      <c r="BI514">
        <v>8</v>
      </c>
      <c r="BJ514">
        <v>1771893245</v>
      </c>
      <c r="BK514">
        <v>200</v>
      </c>
      <c r="BL514">
        <v>5</v>
      </c>
      <c r="BM514">
        <v>2</v>
      </c>
      <c r="BN514">
        <v>1</v>
      </c>
      <c r="BO514">
        <v>0</v>
      </c>
      <c r="BP514">
        <v>0</v>
      </c>
      <c r="BQ514">
        <v>0.69799999999999995</v>
      </c>
      <c r="BR514">
        <v>0.69799999999999995</v>
      </c>
    </row>
    <row r="515" spans="49:70">
      <c r="AW515">
        <v>9</v>
      </c>
      <c r="AX515">
        <v>50.048999000000002</v>
      </c>
      <c r="AY515">
        <v>14.442347</v>
      </c>
      <c r="AZ515">
        <v>1</v>
      </c>
      <c r="BA515">
        <v>424</v>
      </c>
      <c r="BB515">
        <v>424</v>
      </c>
      <c r="BC515">
        <v>1</v>
      </c>
      <c r="BD515" t="s">
        <v>1339</v>
      </c>
      <c r="BE515">
        <v>1771893259</v>
      </c>
      <c r="BF515">
        <v>1772135664</v>
      </c>
      <c r="BG515">
        <v>0.97154300000000005</v>
      </c>
      <c r="BH515" t="s">
        <v>24</v>
      </c>
      <c r="BI515">
        <v>8</v>
      </c>
      <c r="BJ515">
        <v>1771893259</v>
      </c>
      <c r="BK515">
        <v>200</v>
      </c>
      <c r="BL515">
        <v>5</v>
      </c>
      <c r="BM515">
        <v>2</v>
      </c>
      <c r="BN515">
        <v>1</v>
      </c>
      <c r="BO515">
        <v>0</v>
      </c>
      <c r="BP515">
        <v>0</v>
      </c>
      <c r="BQ515">
        <v>0.83140000000000003</v>
      </c>
      <c r="BR515">
        <v>0.83140000000000003</v>
      </c>
    </row>
    <row r="516" spans="49:70">
      <c r="AW516">
        <v>9</v>
      </c>
      <c r="AX516">
        <v>50.048625999999999</v>
      </c>
      <c r="AY516">
        <v>14.442978999999999</v>
      </c>
      <c r="AZ516">
        <v>1</v>
      </c>
      <c r="BA516">
        <v>382</v>
      </c>
      <c r="BB516">
        <v>382</v>
      </c>
      <c r="BC516">
        <v>1</v>
      </c>
      <c r="BD516" t="s">
        <v>1339</v>
      </c>
      <c r="BE516">
        <v>1771893263</v>
      </c>
      <c r="BF516">
        <v>1772135664</v>
      </c>
      <c r="BG516">
        <v>0.97154300000000005</v>
      </c>
      <c r="BH516" t="s">
        <v>24</v>
      </c>
      <c r="BI516">
        <v>8</v>
      </c>
      <c r="BJ516">
        <v>1771893263</v>
      </c>
      <c r="BK516">
        <v>200</v>
      </c>
      <c r="BL516">
        <v>5</v>
      </c>
      <c r="BM516">
        <v>2</v>
      </c>
      <c r="BN516">
        <v>1</v>
      </c>
      <c r="BO516">
        <v>0</v>
      </c>
      <c r="BP516">
        <v>0</v>
      </c>
      <c r="BQ516">
        <v>0.749</v>
      </c>
      <c r="BR516">
        <v>0.749</v>
      </c>
    </row>
    <row r="517" spans="49:70">
      <c r="AW517">
        <v>9</v>
      </c>
      <c r="AX517">
        <v>50.047994000000003</v>
      </c>
      <c r="AY517">
        <v>14.454165</v>
      </c>
      <c r="AZ517">
        <v>1</v>
      </c>
      <c r="BA517">
        <v>370</v>
      </c>
      <c r="BB517">
        <v>370</v>
      </c>
      <c r="BC517">
        <v>1</v>
      </c>
      <c r="BD517" t="s">
        <v>1339</v>
      </c>
      <c r="BE517">
        <v>1771893813</v>
      </c>
      <c r="BF517">
        <v>1772135664</v>
      </c>
      <c r="BG517">
        <v>0.97154300000000005</v>
      </c>
      <c r="BH517" t="s">
        <v>24</v>
      </c>
      <c r="BI517">
        <v>8</v>
      </c>
      <c r="BJ517">
        <v>1771893813</v>
      </c>
      <c r="BK517">
        <v>200</v>
      </c>
      <c r="BL517">
        <v>5</v>
      </c>
      <c r="BM517">
        <v>2</v>
      </c>
      <c r="BN517">
        <v>1</v>
      </c>
      <c r="BO517">
        <v>0</v>
      </c>
      <c r="BP517">
        <v>0</v>
      </c>
      <c r="BQ517">
        <v>0.72550000000000003</v>
      </c>
      <c r="BR517">
        <v>0.72550000000000003</v>
      </c>
    </row>
    <row r="518" spans="49:70">
      <c r="AW518">
        <v>9</v>
      </c>
      <c r="AX518">
        <v>50.045558</v>
      </c>
      <c r="AY518">
        <v>14.461179</v>
      </c>
      <c r="AZ518">
        <v>1</v>
      </c>
      <c r="BA518">
        <v>406</v>
      </c>
      <c r="BB518">
        <v>406</v>
      </c>
      <c r="BC518">
        <v>1</v>
      </c>
      <c r="BD518" t="s">
        <v>1339</v>
      </c>
      <c r="BE518">
        <v>1771893920</v>
      </c>
      <c r="BF518">
        <v>1772135664</v>
      </c>
      <c r="BG518">
        <v>0.97154300000000005</v>
      </c>
      <c r="BH518" t="s">
        <v>24</v>
      </c>
      <c r="BI518">
        <v>8</v>
      </c>
      <c r="BJ518">
        <v>1771893920</v>
      </c>
      <c r="BK518">
        <v>200</v>
      </c>
      <c r="BL518">
        <v>5</v>
      </c>
      <c r="BM518">
        <v>2</v>
      </c>
      <c r="BN518">
        <v>1</v>
      </c>
      <c r="BO518">
        <v>0</v>
      </c>
      <c r="BP518">
        <v>0</v>
      </c>
      <c r="BQ518">
        <v>0.79610000000000003</v>
      </c>
      <c r="BR518">
        <v>0.79610000000000003</v>
      </c>
    </row>
    <row r="519" spans="49:70">
      <c r="AW519">
        <v>9</v>
      </c>
      <c r="AX519">
        <v>50.045310000000001</v>
      </c>
      <c r="AY519">
        <v>14.461399999999999</v>
      </c>
      <c r="AZ519">
        <v>1</v>
      </c>
      <c r="BA519">
        <v>456</v>
      </c>
      <c r="BB519">
        <v>456</v>
      </c>
      <c r="BC519">
        <v>1</v>
      </c>
      <c r="BD519" t="s">
        <v>1339</v>
      </c>
      <c r="BE519">
        <v>1771893925</v>
      </c>
      <c r="BF519">
        <v>1772135664</v>
      </c>
      <c r="BG519">
        <v>0.97154300000000005</v>
      </c>
      <c r="BH519" t="s">
        <v>24</v>
      </c>
      <c r="BI519">
        <v>8</v>
      </c>
      <c r="BJ519">
        <v>1771893925</v>
      </c>
      <c r="BK519">
        <v>200</v>
      </c>
      <c r="BL519">
        <v>5</v>
      </c>
      <c r="BM519">
        <v>2</v>
      </c>
      <c r="BN519">
        <v>1</v>
      </c>
      <c r="BO519">
        <v>0</v>
      </c>
      <c r="BP519">
        <v>0</v>
      </c>
      <c r="BQ519">
        <v>0.89410000000000001</v>
      </c>
      <c r="BR519">
        <v>0.89410000000000001</v>
      </c>
    </row>
    <row r="520" spans="49:70">
      <c r="AW520">
        <v>9</v>
      </c>
      <c r="AX520">
        <v>50.045064000000004</v>
      </c>
      <c r="AY520">
        <v>14.461244000000001</v>
      </c>
      <c r="AZ520">
        <v>1</v>
      </c>
      <c r="BA520">
        <v>462</v>
      </c>
      <c r="BB520">
        <v>462</v>
      </c>
      <c r="BC520">
        <v>1</v>
      </c>
      <c r="BD520" t="s">
        <v>1339</v>
      </c>
      <c r="BE520">
        <v>1771893931</v>
      </c>
      <c r="BF520">
        <v>1772135664</v>
      </c>
      <c r="BG520">
        <v>0.97154300000000005</v>
      </c>
      <c r="BH520" t="s">
        <v>24</v>
      </c>
      <c r="BI520">
        <v>8</v>
      </c>
      <c r="BJ520">
        <v>1771893931</v>
      </c>
      <c r="BK520">
        <v>200</v>
      </c>
      <c r="BL520">
        <v>5</v>
      </c>
      <c r="BM520">
        <v>2</v>
      </c>
      <c r="BN520">
        <v>1</v>
      </c>
      <c r="BO520">
        <v>0</v>
      </c>
      <c r="BP520">
        <v>0</v>
      </c>
      <c r="BQ520">
        <v>0.90590000000000004</v>
      </c>
      <c r="BR520">
        <v>0.90590000000000004</v>
      </c>
    </row>
    <row r="521" spans="49:70">
      <c r="AW521">
        <v>9</v>
      </c>
      <c r="AX521">
        <v>50.045090999999999</v>
      </c>
      <c r="AY521">
        <v>14.461656</v>
      </c>
      <c r="AZ521">
        <v>1</v>
      </c>
      <c r="BA521">
        <v>394</v>
      </c>
      <c r="BB521">
        <v>394</v>
      </c>
      <c r="BC521">
        <v>1</v>
      </c>
      <c r="BD521" t="s">
        <v>1339</v>
      </c>
      <c r="BE521">
        <v>1771893935</v>
      </c>
      <c r="BF521">
        <v>1772135664</v>
      </c>
      <c r="BG521">
        <v>0.97154300000000005</v>
      </c>
      <c r="BH521" t="s">
        <v>24</v>
      </c>
      <c r="BI521">
        <v>8</v>
      </c>
      <c r="BJ521">
        <v>1771893935</v>
      </c>
      <c r="BK521">
        <v>200</v>
      </c>
      <c r="BL521">
        <v>5</v>
      </c>
      <c r="BM521">
        <v>2</v>
      </c>
      <c r="BN521">
        <v>1</v>
      </c>
      <c r="BO521">
        <v>0</v>
      </c>
      <c r="BP521">
        <v>0</v>
      </c>
      <c r="BQ521">
        <v>0.77249999999999996</v>
      </c>
      <c r="BR521">
        <v>0.77249999999999996</v>
      </c>
    </row>
    <row r="522" spans="49:70">
      <c r="AW522">
        <v>9</v>
      </c>
      <c r="AX522">
        <v>50.044826</v>
      </c>
      <c r="AY522">
        <v>14.461034</v>
      </c>
      <c r="AZ522">
        <v>1</v>
      </c>
      <c r="BA522">
        <v>444</v>
      </c>
      <c r="BB522">
        <v>444</v>
      </c>
      <c r="BC522">
        <v>1</v>
      </c>
      <c r="BD522" t="s">
        <v>1339</v>
      </c>
      <c r="BE522">
        <v>1771893946</v>
      </c>
      <c r="BF522">
        <v>1772135664</v>
      </c>
      <c r="BG522">
        <v>0.97154300000000005</v>
      </c>
      <c r="BH522" t="s">
        <v>24</v>
      </c>
      <c r="BI522">
        <v>8</v>
      </c>
      <c r="BJ522">
        <v>1771893946</v>
      </c>
      <c r="BK522">
        <v>200</v>
      </c>
      <c r="BL522">
        <v>5</v>
      </c>
      <c r="BM522">
        <v>2</v>
      </c>
      <c r="BN522">
        <v>1</v>
      </c>
      <c r="BO522">
        <v>0</v>
      </c>
      <c r="BP522">
        <v>0</v>
      </c>
      <c r="BQ522">
        <v>0.87060000000000004</v>
      </c>
      <c r="BR522">
        <v>0.87060000000000004</v>
      </c>
    </row>
    <row r="523" spans="49:70">
      <c r="AW523">
        <v>9</v>
      </c>
      <c r="AX523">
        <v>50.027915999999998</v>
      </c>
      <c r="AY523">
        <v>14.451316</v>
      </c>
      <c r="AZ523">
        <v>1</v>
      </c>
      <c r="BA523">
        <v>332</v>
      </c>
      <c r="BB523">
        <v>332</v>
      </c>
      <c r="BC523">
        <v>1</v>
      </c>
      <c r="BD523" t="s">
        <v>1339</v>
      </c>
      <c r="BE523">
        <v>1771894234</v>
      </c>
      <c r="BF523">
        <v>1772135664</v>
      </c>
      <c r="BG523">
        <v>0.97154300000000005</v>
      </c>
      <c r="BH523" t="s">
        <v>24</v>
      </c>
      <c r="BI523">
        <v>8</v>
      </c>
      <c r="BJ523">
        <v>1771894234</v>
      </c>
      <c r="BK523">
        <v>200</v>
      </c>
      <c r="BL523">
        <v>5</v>
      </c>
      <c r="BM523">
        <v>2</v>
      </c>
      <c r="BN523">
        <v>1</v>
      </c>
      <c r="BO523">
        <v>0</v>
      </c>
      <c r="BP523">
        <v>0</v>
      </c>
      <c r="BQ523">
        <v>0.65100000000000002</v>
      </c>
      <c r="BR523">
        <v>0.65100000000000002</v>
      </c>
    </row>
    <row r="524" spans="49:70">
      <c r="AW524">
        <v>9</v>
      </c>
      <c r="AX524">
        <v>50.032331999999997</v>
      </c>
      <c r="AY524">
        <v>14.454623</v>
      </c>
      <c r="AZ524">
        <v>1</v>
      </c>
      <c r="BA524">
        <v>344</v>
      </c>
      <c r="BB524">
        <v>344</v>
      </c>
      <c r="BC524">
        <v>1</v>
      </c>
      <c r="BD524" t="s">
        <v>1339</v>
      </c>
      <c r="BE524">
        <v>1771973331</v>
      </c>
      <c r="BF524">
        <v>1772135664</v>
      </c>
      <c r="BG524">
        <v>0.97154300000000005</v>
      </c>
      <c r="BH524" t="s">
        <v>24</v>
      </c>
      <c r="BI524">
        <v>8</v>
      </c>
      <c r="BJ524">
        <v>1771973331</v>
      </c>
      <c r="BK524">
        <v>200</v>
      </c>
      <c r="BL524">
        <v>5</v>
      </c>
      <c r="BM524">
        <v>2</v>
      </c>
      <c r="BN524">
        <v>1</v>
      </c>
      <c r="BO524">
        <v>0</v>
      </c>
      <c r="BP524">
        <v>0</v>
      </c>
      <c r="BQ524">
        <v>0.67449999999999999</v>
      </c>
      <c r="BR524">
        <v>0.67449999999999999</v>
      </c>
    </row>
    <row r="525" spans="49:70">
      <c r="AW525">
        <v>9</v>
      </c>
      <c r="AX525">
        <v>50.032052999999998</v>
      </c>
      <c r="AY525">
        <v>14.454478999999999</v>
      </c>
      <c r="AZ525">
        <v>1</v>
      </c>
      <c r="BA525">
        <v>370</v>
      </c>
      <c r="BB525">
        <v>370</v>
      </c>
      <c r="BC525">
        <v>1</v>
      </c>
      <c r="BD525" t="s">
        <v>1339</v>
      </c>
      <c r="BE525">
        <v>1771973341</v>
      </c>
      <c r="BF525">
        <v>1772135664</v>
      </c>
      <c r="BG525">
        <v>0.97154300000000005</v>
      </c>
      <c r="BH525" t="s">
        <v>24</v>
      </c>
      <c r="BI525">
        <v>8</v>
      </c>
      <c r="BJ525">
        <v>1771973341</v>
      </c>
      <c r="BK525">
        <v>200</v>
      </c>
      <c r="BL525">
        <v>5</v>
      </c>
      <c r="BM525">
        <v>2</v>
      </c>
      <c r="BN525">
        <v>1</v>
      </c>
      <c r="BO525">
        <v>0</v>
      </c>
      <c r="BP525">
        <v>0</v>
      </c>
      <c r="BQ525">
        <v>0.72550000000000003</v>
      </c>
      <c r="BR525">
        <v>0.72550000000000003</v>
      </c>
    </row>
    <row r="526" spans="49:70">
      <c r="AW526">
        <v>9</v>
      </c>
      <c r="AX526">
        <v>50.032260999999998</v>
      </c>
      <c r="AY526">
        <v>15.446331000000001</v>
      </c>
      <c r="AZ526">
        <v>1</v>
      </c>
      <c r="BA526">
        <v>356</v>
      </c>
      <c r="BB526">
        <v>356</v>
      </c>
      <c r="BC526">
        <v>1</v>
      </c>
      <c r="BD526" t="s">
        <v>1339</v>
      </c>
      <c r="BE526">
        <v>1772023859</v>
      </c>
      <c r="BF526">
        <v>1772135664</v>
      </c>
      <c r="BG526">
        <v>0.97154300000000005</v>
      </c>
      <c r="BH526" t="s">
        <v>24</v>
      </c>
      <c r="BI526">
        <v>8</v>
      </c>
      <c r="BJ526">
        <v>1772023859</v>
      </c>
      <c r="BK526">
        <v>200</v>
      </c>
      <c r="BL526">
        <v>5</v>
      </c>
      <c r="BM526">
        <v>2</v>
      </c>
      <c r="BN526">
        <v>1</v>
      </c>
      <c r="BO526">
        <v>0</v>
      </c>
      <c r="BP526">
        <v>0</v>
      </c>
      <c r="BQ526">
        <v>0.69799999999999995</v>
      </c>
      <c r="BR526">
        <v>0.69799999999999995</v>
      </c>
    </row>
    <row r="527" spans="49:70">
      <c r="AW527">
        <v>9</v>
      </c>
      <c r="AX527">
        <v>50.035505999999998</v>
      </c>
      <c r="AY527">
        <v>15.593284000000001</v>
      </c>
      <c r="AZ527">
        <v>1</v>
      </c>
      <c r="BA527">
        <v>456</v>
      </c>
      <c r="BB527">
        <v>456</v>
      </c>
      <c r="BC527">
        <v>1</v>
      </c>
      <c r="BD527" t="s">
        <v>1339</v>
      </c>
      <c r="BE527">
        <v>1772024241</v>
      </c>
      <c r="BF527">
        <v>1772135664</v>
      </c>
      <c r="BG527">
        <v>0.97154300000000005</v>
      </c>
      <c r="BH527" t="s">
        <v>24</v>
      </c>
      <c r="BI527">
        <v>8</v>
      </c>
      <c r="BJ527">
        <v>1772024241</v>
      </c>
      <c r="BK527">
        <v>200</v>
      </c>
      <c r="BL527">
        <v>5</v>
      </c>
      <c r="BM527">
        <v>2</v>
      </c>
      <c r="BN527">
        <v>1</v>
      </c>
      <c r="BO527">
        <v>0</v>
      </c>
      <c r="BP527">
        <v>0</v>
      </c>
      <c r="BQ527">
        <v>0.89410000000000001</v>
      </c>
      <c r="BR527">
        <v>0.89410000000000001</v>
      </c>
    </row>
    <row r="528" spans="49:70">
      <c r="AW528">
        <v>9</v>
      </c>
      <c r="AX528">
        <v>50.024172</v>
      </c>
      <c r="AY528">
        <v>15.844779000000001</v>
      </c>
      <c r="AZ528">
        <v>1</v>
      </c>
      <c r="BA528">
        <v>438</v>
      </c>
      <c r="BB528">
        <v>438</v>
      </c>
      <c r="BC528">
        <v>1</v>
      </c>
      <c r="BD528" t="s">
        <v>1339</v>
      </c>
      <c r="BE528">
        <v>1772024995</v>
      </c>
      <c r="BF528">
        <v>1772135664</v>
      </c>
      <c r="BG528">
        <v>0.97154300000000005</v>
      </c>
      <c r="BH528" t="s">
        <v>24</v>
      </c>
      <c r="BI528">
        <v>8</v>
      </c>
      <c r="BJ528">
        <v>1772024995</v>
      </c>
      <c r="BK528">
        <v>200</v>
      </c>
      <c r="BL528">
        <v>5</v>
      </c>
      <c r="BM528">
        <v>2</v>
      </c>
      <c r="BN528">
        <v>1</v>
      </c>
      <c r="BO528">
        <v>0</v>
      </c>
      <c r="BP528">
        <v>0</v>
      </c>
      <c r="BQ528">
        <v>0.85880000000000001</v>
      </c>
      <c r="BR528">
        <v>0.85880000000000001</v>
      </c>
    </row>
    <row r="529" spans="49:70">
      <c r="AW529">
        <v>9</v>
      </c>
      <c r="AX529">
        <v>50.020133000000001</v>
      </c>
      <c r="AY529">
        <v>15.863077000000001</v>
      </c>
      <c r="AZ529">
        <v>1</v>
      </c>
      <c r="BA529">
        <v>468</v>
      </c>
      <c r="BB529">
        <v>468</v>
      </c>
      <c r="BC529">
        <v>1</v>
      </c>
      <c r="BD529" t="s">
        <v>1339</v>
      </c>
      <c r="BE529">
        <v>1772025032</v>
      </c>
      <c r="BF529">
        <v>1772135664</v>
      </c>
      <c r="BG529">
        <v>0.97154300000000005</v>
      </c>
      <c r="BH529" t="s">
        <v>24</v>
      </c>
      <c r="BI529">
        <v>8</v>
      </c>
      <c r="BJ529">
        <v>1772025032</v>
      </c>
      <c r="BK529">
        <v>200</v>
      </c>
      <c r="BL529">
        <v>5</v>
      </c>
      <c r="BM529">
        <v>2</v>
      </c>
      <c r="BN529">
        <v>1</v>
      </c>
      <c r="BO529">
        <v>0</v>
      </c>
      <c r="BP529">
        <v>0</v>
      </c>
      <c r="BQ529">
        <v>0.91759999999999997</v>
      </c>
      <c r="BR529">
        <v>0.91759999999999997</v>
      </c>
    </row>
    <row r="530" spans="49:70">
      <c r="AW530">
        <v>9</v>
      </c>
      <c r="AX530">
        <v>49.995255</v>
      </c>
      <c r="AY530">
        <v>15.977917</v>
      </c>
      <c r="AZ530">
        <v>1</v>
      </c>
      <c r="BA530">
        <v>388</v>
      </c>
      <c r="BB530">
        <v>388</v>
      </c>
      <c r="BC530">
        <v>1</v>
      </c>
      <c r="BD530" t="s">
        <v>1339</v>
      </c>
      <c r="BE530">
        <v>1772025244</v>
      </c>
      <c r="BF530">
        <v>1772135664</v>
      </c>
      <c r="BG530">
        <v>0.97154300000000005</v>
      </c>
      <c r="BH530" t="s">
        <v>24</v>
      </c>
      <c r="BI530">
        <v>8</v>
      </c>
      <c r="BJ530">
        <v>1772025244</v>
      </c>
      <c r="BK530">
        <v>200</v>
      </c>
      <c r="BL530">
        <v>5</v>
      </c>
      <c r="BM530">
        <v>2</v>
      </c>
      <c r="BN530">
        <v>1</v>
      </c>
      <c r="BO530">
        <v>0</v>
      </c>
      <c r="BP530">
        <v>0</v>
      </c>
      <c r="BQ530">
        <v>0.76080000000000003</v>
      </c>
      <c r="BR530">
        <v>0.76080000000000003</v>
      </c>
    </row>
    <row r="531" spans="49:70">
      <c r="AW531">
        <v>9</v>
      </c>
      <c r="AX531">
        <v>49.904328</v>
      </c>
      <c r="AY531">
        <v>16.442905</v>
      </c>
      <c r="AZ531">
        <v>1</v>
      </c>
      <c r="BA531">
        <v>362</v>
      </c>
      <c r="BB531">
        <v>362</v>
      </c>
      <c r="BC531">
        <v>1</v>
      </c>
      <c r="BD531" t="s">
        <v>1339</v>
      </c>
      <c r="BE531">
        <v>1772027029</v>
      </c>
      <c r="BF531">
        <v>1772135664</v>
      </c>
      <c r="BG531">
        <v>0.97154300000000005</v>
      </c>
      <c r="BH531" t="s">
        <v>24</v>
      </c>
      <c r="BI531">
        <v>8</v>
      </c>
      <c r="BJ531">
        <v>1772027029</v>
      </c>
      <c r="BK531">
        <v>200</v>
      </c>
      <c r="BL531">
        <v>5</v>
      </c>
      <c r="BM531">
        <v>2</v>
      </c>
      <c r="BN531">
        <v>1</v>
      </c>
      <c r="BO531">
        <v>0</v>
      </c>
      <c r="BP531">
        <v>0</v>
      </c>
      <c r="BQ531">
        <v>0.70979999999999999</v>
      </c>
      <c r="BR531">
        <v>0.70979999999999999</v>
      </c>
    </row>
    <row r="532" spans="49:70">
      <c r="AW532">
        <v>9</v>
      </c>
      <c r="AX532">
        <v>49.904066</v>
      </c>
      <c r="AY532">
        <v>16.442966999999999</v>
      </c>
      <c r="AZ532">
        <v>1</v>
      </c>
      <c r="BA532">
        <v>332</v>
      </c>
      <c r="BB532">
        <v>332</v>
      </c>
      <c r="BC532">
        <v>1</v>
      </c>
      <c r="BD532" t="s">
        <v>1339</v>
      </c>
      <c r="BE532">
        <v>1772027052</v>
      </c>
      <c r="BF532">
        <v>1772135664</v>
      </c>
      <c r="BG532">
        <v>0.97154300000000005</v>
      </c>
      <c r="BH532" t="s">
        <v>24</v>
      </c>
      <c r="BI532">
        <v>8</v>
      </c>
      <c r="BJ532">
        <v>1772027052</v>
      </c>
      <c r="BK532">
        <v>200</v>
      </c>
      <c r="BL532">
        <v>5</v>
      </c>
      <c r="BM532">
        <v>2</v>
      </c>
      <c r="BN532">
        <v>1</v>
      </c>
      <c r="BO532">
        <v>0</v>
      </c>
      <c r="BP532">
        <v>0</v>
      </c>
      <c r="BQ532">
        <v>0.65100000000000002</v>
      </c>
      <c r="BR532">
        <v>0.65100000000000002</v>
      </c>
    </row>
    <row r="533" spans="49:70">
      <c r="AW533">
        <v>9</v>
      </c>
      <c r="AX533">
        <v>49.07302</v>
      </c>
      <c r="AY533">
        <v>16.603888999999999</v>
      </c>
      <c r="AZ533">
        <v>1</v>
      </c>
      <c r="BA533">
        <v>444</v>
      </c>
      <c r="BB533">
        <v>444</v>
      </c>
      <c r="BC533">
        <v>1</v>
      </c>
      <c r="BD533" t="s">
        <v>1339</v>
      </c>
      <c r="BE533">
        <v>1772031518</v>
      </c>
      <c r="BF533">
        <v>1772135664</v>
      </c>
      <c r="BG533">
        <v>0.97154300000000005</v>
      </c>
      <c r="BH533" t="s">
        <v>24</v>
      </c>
      <c r="BI533">
        <v>8</v>
      </c>
      <c r="BJ533">
        <v>1772031518</v>
      </c>
      <c r="BK533">
        <v>200</v>
      </c>
      <c r="BL533">
        <v>5</v>
      </c>
      <c r="BM533">
        <v>2</v>
      </c>
      <c r="BN533">
        <v>1</v>
      </c>
      <c r="BO533">
        <v>0</v>
      </c>
      <c r="BP533">
        <v>0</v>
      </c>
      <c r="BQ533">
        <v>0.87060000000000004</v>
      </c>
      <c r="BR533">
        <v>0.87060000000000004</v>
      </c>
    </row>
    <row r="534" spans="49:70">
      <c r="AW534">
        <v>9</v>
      </c>
      <c r="AX534">
        <v>49.073292000000002</v>
      </c>
      <c r="AY534">
        <v>16.603856</v>
      </c>
      <c r="AZ534">
        <v>1</v>
      </c>
      <c r="BA534">
        <v>400</v>
      </c>
      <c r="BB534">
        <v>400</v>
      </c>
      <c r="BC534">
        <v>1</v>
      </c>
      <c r="BD534" t="s">
        <v>1339</v>
      </c>
      <c r="BE534">
        <v>1772031544</v>
      </c>
      <c r="BF534">
        <v>1772135664</v>
      </c>
      <c r="BG534">
        <v>0.97154300000000005</v>
      </c>
      <c r="BH534" t="s">
        <v>24</v>
      </c>
      <c r="BI534">
        <v>8</v>
      </c>
      <c r="BJ534">
        <v>1772031544</v>
      </c>
      <c r="BK534">
        <v>200</v>
      </c>
      <c r="BL534">
        <v>5</v>
      </c>
      <c r="BM534">
        <v>2</v>
      </c>
      <c r="BN534">
        <v>1</v>
      </c>
      <c r="BO534">
        <v>0</v>
      </c>
      <c r="BP534">
        <v>0</v>
      </c>
      <c r="BQ534">
        <v>0.7843</v>
      </c>
      <c r="BR534">
        <v>0.7843</v>
      </c>
    </row>
    <row r="535" spans="49:70">
      <c r="AW535">
        <v>9</v>
      </c>
      <c r="AX535">
        <v>49.072808999999999</v>
      </c>
      <c r="AY535">
        <v>16.604157000000001</v>
      </c>
      <c r="AZ535">
        <v>1</v>
      </c>
      <c r="BA535">
        <v>388</v>
      </c>
      <c r="BB535">
        <v>388</v>
      </c>
      <c r="BC535">
        <v>1</v>
      </c>
      <c r="BD535" t="s">
        <v>1339</v>
      </c>
      <c r="BE535">
        <v>1772031552</v>
      </c>
      <c r="BF535">
        <v>1772135664</v>
      </c>
      <c r="BG535">
        <v>0.97154300000000005</v>
      </c>
      <c r="BH535" t="s">
        <v>24</v>
      </c>
      <c r="BI535">
        <v>8</v>
      </c>
      <c r="BJ535">
        <v>1772031552</v>
      </c>
      <c r="BK535">
        <v>200</v>
      </c>
      <c r="BL535">
        <v>5</v>
      </c>
      <c r="BM535">
        <v>2</v>
      </c>
      <c r="BN535">
        <v>1</v>
      </c>
      <c r="BO535">
        <v>0</v>
      </c>
      <c r="BP535">
        <v>0</v>
      </c>
      <c r="BQ535">
        <v>0.76080000000000003</v>
      </c>
      <c r="BR535">
        <v>0.76080000000000003</v>
      </c>
    </row>
    <row r="536" spans="49:70">
      <c r="AW536">
        <v>9</v>
      </c>
      <c r="AX536">
        <v>49.073065</v>
      </c>
      <c r="AY536">
        <v>16.604292000000001</v>
      </c>
      <c r="AZ536">
        <v>1</v>
      </c>
      <c r="BA536">
        <v>370</v>
      </c>
      <c r="BB536">
        <v>370</v>
      </c>
      <c r="BC536">
        <v>1</v>
      </c>
      <c r="BD536" t="s">
        <v>1339</v>
      </c>
      <c r="BE536">
        <v>1772031562</v>
      </c>
      <c r="BF536">
        <v>1772135664</v>
      </c>
      <c r="BG536">
        <v>0.97154300000000005</v>
      </c>
      <c r="BH536" t="s">
        <v>24</v>
      </c>
      <c r="BI536">
        <v>8</v>
      </c>
      <c r="BJ536">
        <v>1772031562</v>
      </c>
      <c r="BK536">
        <v>200</v>
      </c>
      <c r="BL536">
        <v>5</v>
      </c>
      <c r="BM536">
        <v>2</v>
      </c>
      <c r="BN536">
        <v>1</v>
      </c>
      <c r="BO536">
        <v>0</v>
      </c>
      <c r="BP536">
        <v>0</v>
      </c>
      <c r="BQ536">
        <v>0.72550000000000003</v>
      </c>
      <c r="BR536">
        <v>0.72550000000000003</v>
      </c>
    </row>
    <row r="537" spans="49:70">
      <c r="AW537">
        <v>9</v>
      </c>
      <c r="AX537">
        <v>48.242739</v>
      </c>
      <c r="AY537">
        <v>16.372161999999999</v>
      </c>
      <c r="AZ537">
        <v>1</v>
      </c>
      <c r="BA537">
        <v>326</v>
      </c>
      <c r="BB537">
        <v>326</v>
      </c>
      <c r="BC537">
        <v>1</v>
      </c>
      <c r="BD537" t="s">
        <v>1339</v>
      </c>
      <c r="BE537">
        <v>1772099136</v>
      </c>
      <c r="BF537">
        <v>1772135664</v>
      </c>
      <c r="BG537">
        <v>0.97154300000000005</v>
      </c>
      <c r="BH537" t="s">
        <v>24</v>
      </c>
      <c r="BI537">
        <v>8</v>
      </c>
      <c r="BJ537">
        <v>1772099136</v>
      </c>
      <c r="BK537">
        <v>200</v>
      </c>
      <c r="BL537">
        <v>5</v>
      </c>
      <c r="BM537">
        <v>2</v>
      </c>
      <c r="BN537">
        <v>1</v>
      </c>
      <c r="BO537">
        <v>0</v>
      </c>
      <c r="BP537">
        <v>0</v>
      </c>
      <c r="BQ537">
        <v>0.63919999999999999</v>
      </c>
      <c r="BR537">
        <v>0.63919999999999999</v>
      </c>
    </row>
    <row r="538" spans="49:70">
      <c r="AW538">
        <v>9</v>
      </c>
      <c r="AX538">
        <v>48.243287000000002</v>
      </c>
      <c r="AY538">
        <v>16.372121</v>
      </c>
      <c r="AZ538">
        <v>1</v>
      </c>
      <c r="BA538">
        <v>320</v>
      </c>
      <c r="BB538">
        <v>320</v>
      </c>
      <c r="BC538">
        <v>1</v>
      </c>
      <c r="BD538" t="s">
        <v>1339</v>
      </c>
      <c r="BE538">
        <v>1772099144</v>
      </c>
      <c r="BF538">
        <v>1772135664</v>
      </c>
      <c r="BG538">
        <v>0.97154300000000005</v>
      </c>
      <c r="BH538" t="s">
        <v>24</v>
      </c>
      <c r="BI538">
        <v>8</v>
      </c>
      <c r="BJ538">
        <v>1772099144</v>
      </c>
      <c r="BK538">
        <v>200</v>
      </c>
      <c r="BL538">
        <v>5</v>
      </c>
      <c r="BM538">
        <v>2</v>
      </c>
      <c r="BN538">
        <v>1</v>
      </c>
      <c r="BO538">
        <v>0</v>
      </c>
      <c r="BP538">
        <v>0</v>
      </c>
      <c r="BQ538">
        <v>0.62749999999999995</v>
      </c>
      <c r="BR538">
        <v>0.62749999999999995</v>
      </c>
    </row>
    <row r="539" spans="49:70">
      <c r="AW539">
        <v>9</v>
      </c>
      <c r="AX539">
        <v>48.243161999999998</v>
      </c>
      <c r="AY539">
        <v>16.372491</v>
      </c>
      <c r="AZ539">
        <v>1</v>
      </c>
      <c r="BA539">
        <v>302</v>
      </c>
      <c r="BB539">
        <v>302</v>
      </c>
      <c r="BC539">
        <v>1</v>
      </c>
      <c r="BD539" t="s">
        <v>1339</v>
      </c>
      <c r="BE539">
        <v>1772099159</v>
      </c>
      <c r="BF539">
        <v>1772135664</v>
      </c>
      <c r="BG539">
        <v>0.97154300000000005</v>
      </c>
      <c r="BH539" t="s">
        <v>24</v>
      </c>
      <c r="BI539">
        <v>8</v>
      </c>
      <c r="BJ539">
        <v>1772099159</v>
      </c>
      <c r="BK539">
        <v>200</v>
      </c>
      <c r="BL539">
        <v>5</v>
      </c>
      <c r="BM539">
        <v>2</v>
      </c>
      <c r="BN539">
        <v>1</v>
      </c>
      <c r="BO539">
        <v>0</v>
      </c>
      <c r="BP539">
        <v>0</v>
      </c>
      <c r="BQ539">
        <v>0.59219999999999995</v>
      </c>
      <c r="BR539">
        <v>0.59219999999999995</v>
      </c>
    </row>
    <row r="540" spans="49:70">
      <c r="AW540">
        <v>9</v>
      </c>
      <c r="AX540">
        <v>48.243026</v>
      </c>
      <c r="AY540">
        <v>16.372859999999999</v>
      </c>
      <c r="AZ540">
        <v>1</v>
      </c>
      <c r="BA540">
        <v>320</v>
      </c>
      <c r="BB540">
        <v>320</v>
      </c>
      <c r="BC540">
        <v>1</v>
      </c>
      <c r="BD540" t="s">
        <v>1339</v>
      </c>
      <c r="BE540">
        <v>1772099192</v>
      </c>
      <c r="BF540">
        <v>1772135664</v>
      </c>
      <c r="BG540">
        <v>0.97154300000000005</v>
      </c>
      <c r="BH540" t="s">
        <v>24</v>
      </c>
      <c r="BI540">
        <v>8</v>
      </c>
      <c r="BJ540">
        <v>1772099192</v>
      </c>
      <c r="BK540">
        <v>200</v>
      </c>
      <c r="BL540">
        <v>5</v>
      </c>
      <c r="BM540">
        <v>2</v>
      </c>
      <c r="BN540">
        <v>1</v>
      </c>
      <c r="BO540">
        <v>0</v>
      </c>
      <c r="BP540">
        <v>0</v>
      </c>
      <c r="BQ540">
        <v>0.62749999999999995</v>
      </c>
      <c r="BR540">
        <v>0.62749999999999995</v>
      </c>
    </row>
    <row r="541" spans="49:70">
      <c r="AW541">
        <v>9</v>
      </c>
      <c r="AX541">
        <v>48.242755000000002</v>
      </c>
      <c r="AY541">
        <v>16.372910000000001</v>
      </c>
      <c r="AZ541">
        <v>1</v>
      </c>
      <c r="BA541">
        <v>308</v>
      </c>
      <c r="BB541">
        <v>308</v>
      </c>
      <c r="BC541">
        <v>1</v>
      </c>
      <c r="BD541" t="s">
        <v>1339</v>
      </c>
      <c r="BE541">
        <v>1772099204</v>
      </c>
      <c r="BF541">
        <v>1772135664</v>
      </c>
      <c r="BG541">
        <v>0.97154300000000005</v>
      </c>
      <c r="BH541" t="s">
        <v>24</v>
      </c>
      <c r="BI541">
        <v>8</v>
      </c>
      <c r="BJ541">
        <v>1772099204</v>
      </c>
      <c r="BK541">
        <v>200</v>
      </c>
      <c r="BL541">
        <v>5</v>
      </c>
      <c r="BM541">
        <v>2</v>
      </c>
      <c r="BN541">
        <v>1</v>
      </c>
      <c r="BO541">
        <v>0</v>
      </c>
      <c r="BP541">
        <v>0</v>
      </c>
      <c r="BQ541">
        <v>0.60389999999999999</v>
      </c>
      <c r="BR541">
        <v>0.60389999999999999</v>
      </c>
    </row>
    <row r="542" spans="49:70">
      <c r="AW542">
        <v>9</v>
      </c>
      <c r="AX542">
        <v>48.238351999999999</v>
      </c>
      <c r="AY542">
        <v>16.379011999999999</v>
      </c>
      <c r="AZ542">
        <v>1</v>
      </c>
      <c r="BA542">
        <v>320</v>
      </c>
      <c r="BB542">
        <v>320</v>
      </c>
      <c r="BC542">
        <v>1</v>
      </c>
      <c r="BD542" t="s">
        <v>1339</v>
      </c>
      <c r="BE542">
        <v>1772114743</v>
      </c>
      <c r="BF542">
        <v>1772135664</v>
      </c>
      <c r="BG542">
        <v>0.97154300000000005</v>
      </c>
      <c r="BH542" t="s">
        <v>24</v>
      </c>
      <c r="BI542">
        <v>8</v>
      </c>
      <c r="BJ542">
        <v>1772114743</v>
      </c>
      <c r="BK542">
        <v>200</v>
      </c>
      <c r="BL542">
        <v>5</v>
      </c>
      <c r="BM542">
        <v>2</v>
      </c>
      <c r="BN542">
        <v>1</v>
      </c>
      <c r="BO542">
        <v>0</v>
      </c>
      <c r="BP542">
        <v>0</v>
      </c>
      <c r="BQ542">
        <v>0.62749999999999995</v>
      </c>
      <c r="BR542">
        <v>0.62749999999999995</v>
      </c>
    </row>
    <row r="543" spans="49:70">
      <c r="AW543">
        <v>9</v>
      </c>
      <c r="AX543">
        <v>48.238514000000002</v>
      </c>
      <c r="AY543">
        <v>16.378668000000001</v>
      </c>
      <c r="AZ543">
        <v>1</v>
      </c>
      <c r="BA543">
        <v>308</v>
      </c>
      <c r="BB543">
        <v>308</v>
      </c>
      <c r="BC543">
        <v>1</v>
      </c>
      <c r="BD543" t="s">
        <v>1339</v>
      </c>
      <c r="BE543">
        <v>1772114749</v>
      </c>
      <c r="BF543">
        <v>1772135664</v>
      </c>
      <c r="BG543">
        <v>0.97154300000000005</v>
      </c>
      <c r="BH543" t="s">
        <v>24</v>
      </c>
      <c r="BI543">
        <v>8</v>
      </c>
      <c r="BJ543">
        <v>1772114749</v>
      </c>
      <c r="BK543">
        <v>200</v>
      </c>
      <c r="BL543">
        <v>5</v>
      </c>
      <c r="BM543">
        <v>2</v>
      </c>
      <c r="BN543">
        <v>1</v>
      </c>
      <c r="BO543">
        <v>0</v>
      </c>
      <c r="BP543">
        <v>0</v>
      </c>
      <c r="BQ543">
        <v>0.60389999999999999</v>
      </c>
      <c r="BR543">
        <v>0.60389999999999999</v>
      </c>
    </row>
    <row r="544" spans="49:70">
      <c r="AW544">
        <v>9</v>
      </c>
      <c r="AX544">
        <v>48.238078000000002</v>
      </c>
      <c r="AY544">
        <v>16.379045999999999</v>
      </c>
      <c r="AZ544">
        <v>1</v>
      </c>
      <c r="BA544">
        <v>308</v>
      </c>
      <c r="BB544">
        <v>308</v>
      </c>
      <c r="BC544">
        <v>1</v>
      </c>
      <c r="BD544" t="s">
        <v>1339</v>
      </c>
      <c r="BE544">
        <v>1772114759</v>
      </c>
      <c r="BF544">
        <v>1772135664</v>
      </c>
      <c r="BG544">
        <v>0.97154300000000005</v>
      </c>
      <c r="BH544" t="s">
        <v>24</v>
      </c>
      <c r="BI544">
        <v>8</v>
      </c>
      <c r="BJ544">
        <v>1772114759</v>
      </c>
      <c r="BK544">
        <v>200</v>
      </c>
      <c r="BL544">
        <v>5</v>
      </c>
      <c r="BM544">
        <v>2</v>
      </c>
      <c r="BN544">
        <v>1</v>
      </c>
      <c r="BO544">
        <v>0</v>
      </c>
      <c r="BP544">
        <v>0</v>
      </c>
      <c r="BQ544">
        <v>0.60389999999999999</v>
      </c>
      <c r="BR544">
        <v>0.60389999999999999</v>
      </c>
    </row>
    <row r="545" spans="49:70">
      <c r="AW545">
        <v>9</v>
      </c>
      <c r="AX545">
        <v>48.228185000000003</v>
      </c>
      <c r="AY545">
        <v>16.373543999999999</v>
      </c>
      <c r="AZ545">
        <v>1</v>
      </c>
      <c r="BA545">
        <v>382</v>
      </c>
      <c r="BB545">
        <v>382</v>
      </c>
      <c r="BC545">
        <v>1</v>
      </c>
      <c r="BD545" t="s">
        <v>1339</v>
      </c>
      <c r="BE545">
        <v>1772115382</v>
      </c>
      <c r="BF545">
        <v>1772135664</v>
      </c>
      <c r="BG545">
        <v>0.97154300000000005</v>
      </c>
      <c r="BH545" t="s">
        <v>24</v>
      </c>
      <c r="BI545">
        <v>8</v>
      </c>
      <c r="BJ545">
        <v>1772115382</v>
      </c>
      <c r="BK545">
        <v>200</v>
      </c>
      <c r="BL545">
        <v>5</v>
      </c>
      <c r="BM545">
        <v>2</v>
      </c>
      <c r="BN545">
        <v>1</v>
      </c>
      <c r="BO545">
        <v>0</v>
      </c>
      <c r="BP545">
        <v>0</v>
      </c>
      <c r="BQ545">
        <v>0.749</v>
      </c>
      <c r="BR545">
        <v>0.749</v>
      </c>
    </row>
    <row r="546" spans="49:70">
      <c r="AW546">
        <v>9</v>
      </c>
      <c r="AX546">
        <v>48.228361999999997</v>
      </c>
      <c r="AY546">
        <v>16.373225000000001</v>
      </c>
      <c r="AZ546">
        <v>1</v>
      </c>
      <c r="BA546">
        <v>362</v>
      </c>
      <c r="BB546">
        <v>362</v>
      </c>
      <c r="BC546">
        <v>1</v>
      </c>
      <c r="BD546" t="s">
        <v>1339</v>
      </c>
      <c r="BE546">
        <v>1772115389</v>
      </c>
      <c r="BF546">
        <v>1772135664</v>
      </c>
      <c r="BG546">
        <v>0.97154300000000005</v>
      </c>
      <c r="BH546" t="s">
        <v>24</v>
      </c>
      <c r="BI546">
        <v>8</v>
      </c>
      <c r="BJ546">
        <v>1772115389</v>
      </c>
      <c r="BK546">
        <v>200</v>
      </c>
      <c r="BL546">
        <v>5</v>
      </c>
      <c r="BM546">
        <v>2</v>
      </c>
      <c r="BN546">
        <v>1</v>
      </c>
      <c r="BO546">
        <v>0</v>
      </c>
      <c r="BP546">
        <v>0</v>
      </c>
      <c r="BQ546">
        <v>0.70979999999999999</v>
      </c>
      <c r="BR546">
        <v>0.70979999999999999</v>
      </c>
    </row>
    <row r="547" spans="49:70">
      <c r="AW547">
        <v>11</v>
      </c>
      <c r="AX547">
        <v>48.180517000000002</v>
      </c>
      <c r="AY547">
        <v>16.403493000000001</v>
      </c>
      <c r="AZ547">
        <v>1</v>
      </c>
      <c r="BA547">
        <v>184</v>
      </c>
      <c r="BB547">
        <v>184</v>
      </c>
      <c r="BC547">
        <v>1</v>
      </c>
      <c r="BD547" t="s">
        <v>1341</v>
      </c>
      <c r="BE547">
        <v>1771762244</v>
      </c>
      <c r="BF547">
        <v>1772135664</v>
      </c>
      <c r="BG547">
        <v>0.97154300000000005</v>
      </c>
      <c r="BH547" t="s">
        <v>26</v>
      </c>
      <c r="BI547">
        <v>10</v>
      </c>
      <c r="BJ547">
        <v>1771762244</v>
      </c>
      <c r="BK547">
        <v>200</v>
      </c>
      <c r="BL547">
        <v>5</v>
      </c>
      <c r="BM547">
        <v>2</v>
      </c>
      <c r="BN547">
        <v>1</v>
      </c>
      <c r="BO547">
        <v>0</v>
      </c>
      <c r="BP547">
        <v>0</v>
      </c>
      <c r="BQ547">
        <v>0.60129999999999995</v>
      </c>
      <c r="BR547">
        <v>0.60129999999999995</v>
      </c>
    </row>
    <row r="548" spans="49:70">
      <c r="AW548">
        <v>11</v>
      </c>
      <c r="AX548">
        <v>48.180973999999999</v>
      </c>
      <c r="AY548">
        <v>16.404146000000001</v>
      </c>
      <c r="AZ548">
        <v>1</v>
      </c>
      <c r="BA548">
        <v>169</v>
      </c>
      <c r="BB548">
        <v>169</v>
      </c>
      <c r="BC548">
        <v>1</v>
      </c>
      <c r="BD548" t="s">
        <v>1341</v>
      </c>
      <c r="BE548">
        <v>1771762249</v>
      </c>
      <c r="BF548">
        <v>1772135664</v>
      </c>
      <c r="BG548">
        <v>0.97154300000000005</v>
      </c>
      <c r="BH548" t="s">
        <v>26</v>
      </c>
      <c r="BI548">
        <v>10</v>
      </c>
      <c r="BJ548">
        <v>1771762249</v>
      </c>
      <c r="BK548">
        <v>200</v>
      </c>
      <c r="BL548">
        <v>5</v>
      </c>
      <c r="BM548">
        <v>2</v>
      </c>
      <c r="BN548">
        <v>1</v>
      </c>
      <c r="BO548">
        <v>0</v>
      </c>
      <c r="BP548">
        <v>0</v>
      </c>
      <c r="BQ548">
        <v>0.55230000000000001</v>
      </c>
      <c r="BR548">
        <v>0.55230000000000001</v>
      </c>
    </row>
    <row r="549" spans="49:70">
      <c r="AW549">
        <v>11</v>
      </c>
      <c r="AX549">
        <v>48.349606000000001</v>
      </c>
      <c r="AY549">
        <v>16.484155000000001</v>
      </c>
      <c r="AZ549">
        <v>1</v>
      </c>
      <c r="BA549">
        <v>180</v>
      </c>
      <c r="BB549">
        <v>180</v>
      </c>
      <c r="BC549">
        <v>1</v>
      </c>
      <c r="BD549" t="s">
        <v>1341</v>
      </c>
      <c r="BE549">
        <v>1771763255</v>
      </c>
      <c r="BF549">
        <v>1772135664</v>
      </c>
      <c r="BG549">
        <v>0.97154300000000005</v>
      </c>
      <c r="BH549" t="s">
        <v>26</v>
      </c>
      <c r="BI549">
        <v>10</v>
      </c>
      <c r="BJ549">
        <v>1771763255</v>
      </c>
      <c r="BK549">
        <v>200</v>
      </c>
      <c r="BL549">
        <v>5</v>
      </c>
      <c r="BM549">
        <v>2</v>
      </c>
      <c r="BN549">
        <v>1</v>
      </c>
      <c r="BO549">
        <v>0</v>
      </c>
      <c r="BP549">
        <v>0</v>
      </c>
      <c r="BQ549">
        <v>0.58819999999999995</v>
      </c>
      <c r="BR549">
        <v>0.58819999999999995</v>
      </c>
    </row>
    <row r="550" spans="49:70">
      <c r="AW550">
        <v>16</v>
      </c>
      <c r="AX550">
        <v>48.247698999999997</v>
      </c>
      <c r="AY550">
        <v>16.468174000000001</v>
      </c>
      <c r="AZ550">
        <v>1</v>
      </c>
      <c r="BA550">
        <v>244</v>
      </c>
      <c r="BB550">
        <v>244</v>
      </c>
      <c r="BC550">
        <v>1</v>
      </c>
      <c r="BD550" t="s">
        <v>1346</v>
      </c>
      <c r="BE550">
        <v>1771762688</v>
      </c>
      <c r="BF550">
        <v>1772135664</v>
      </c>
      <c r="BG550">
        <v>0.97154300000000005</v>
      </c>
      <c r="BH550" t="s">
        <v>29</v>
      </c>
      <c r="BI550">
        <v>12</v>
      </c>
      <c r="BJ550">
        <v>1771762688</v>
      </c>
      <c r="BK550">
        <v>200</v>
      </c>
      <c r="BL550">
        <v>5</v>
      </c>
      <c r="BM550">
        <v>2</v>
      </c>
      <c r="BN550">
        <v>1</v>
      </c>
      <c r="BO550">
        <v>0</v>
      </c>
      <c r="BP550">
        <v>0</v>
      </c>
      <c r="BQ550">
        <v>0.7974</v>
      </c>
      <c r="BR550">
        <v>0.7974</v>
      </c>
    </row>
    <row r="551" spans="49:70">
      <c r="AW551">
        <v>16</v>
      </c>
      <c r="AX551">
        <v>48.248424</v>
      </c>
      <c r="AY551">
        <v>16.468993999999999</v>
      </c>
      <c r="AZ551">
        <v>1</v>
      </c>
      <c r="BA551">
        <v>193</v>
      </c>
      <c r="BB551">
        <v>193</v>
      </c>
      <c r="BC551">
        <v>1</v>
      </c>
      <c r="BD551" t="s">
        <v>1346</v>
      </c>
      <c r="BE551">
        <v>1771762692</v>
      </c>
      <c r="BF551">
        <v>1772135664</v>
      </c>
      <c r="BG551">
        <v>0.97154300000000005</v>
      </c>
      <c r="BH551" t="s">
        <v>29</v>
      </c>
      <c r="BI551">
        <v>12</v>
      </c>
      <c r="BJ551">
        <v>1771762692</v>
      </c>
      <c r="BK551">
        <v>200</v>
      </c>
      <c r="BL551">
        <v>5</v>
      </c>
      <c r="BM551">
        <v>2</v>
      </c>
      <c r="BN551">
        <v>1</v>
      </c>
      <c r="BO551">
        <v>0</v>
      </c>
      <c r="BP551">
        <v>0</v>
      </c>
      <c r="BQ551">
        <v>0.63070000000000004</v>
      </c>
      <c r="BR551">
        <v>0.63070000000000004</v>
      </c>
    </row>
    <row r="552" spans="49:70">
      <c r="AW552">
        <v>16</v>
      </c>
      <c r="AX552">
        <v>48.257140999999997</v>
      </c>
      <c r="AY552">
        <v>16.474789999999999</v>
      </c>
      <c r="AZ552">
        <v>1</v>
      </c>
      <c r="BA552">
        <v>224</v>
      </c>
      <c r="BB552">
        <v>224</v>
      </c>
      <c r="BC552">
        <v>1</v>
      </c>
      <c r="BD552" t="s">
        <v>1346</v>
      </c>
      <c r="BE552">
        <v>1771762742</v>
      </c>
      <c r="BF552">
        <v>1772135664</v>
      </c>
      <c r="BG552">
        <v>0.97154300000000005</v>
      </c>
      <c r="BH552" t="s">
        <v>29</v>
      </c>
      <c r="BI552">
        <v>12</v>
      </c>
      <c r="BJ552">
        <v>1771762742</v>
      </c>
      <c r="BK552">
        <v>200</v>
      </c>
      <c r="BL552">
        <v>5</v>
      </c>
      <c r="BM552">
        <v>2</v>
      </c>
      <c r="BN552">
        <v>1</v>
      </c>
      <c r="BO552">
        <v>0</v>
      </c>
      <c r="BP552">
        <v>0</v>
      </c>
      <c r="BQ552">
        <v>0.73199999999999998</v>
      </c>
      <c r="BR552">
        <v>0.73199999999999998</v>
      </c>
    </row>
    <row r="553" spans="49:70">
      <c r="AW553">
        <v>16</v>
      </c>
      <c r="AX553">
        <v>48.401764</v>
      </c>
      <c r="AY553">
        <v>16.528233</v>
      </c>
      <c r="AZ553">
        <v>1</v>
      </c>
      <c r="BA553">
        <v>232</v>
      </c>
      <c r="BB553">
        <v>232</v>
      </c>
      <c r="BC553">
        <v>1</v>
      </c>
      <c r="BD553" t="s">
        <v>1346</v>
      </c>
      <c r="BE553">
        <v>1771763527</v>
      </c>
      <c r="BF553">
        <v>1772135664</v>
      </c>
      <c r="BG553">
        <v>0.97154300000000005</v>
      </c>
      <c r="BH553" t="s">
        <v>29</v>
      </c>
      <c r="BI553">
        <v>12</v>
      </c>
      <c r="BJ553">
        <v>1771763527</v>
      </c>
      <c r="BK553">
        <v>200</v>
      </c>
      <c r="BL553">
        <v>5</v>
      </c>
      <c r="BM553">
        <v>2</v>
      </c>
      <c r="BN553">
        <v>1</v>
      </c>
      <c r="BO553">
        <v>0</v>
      </c>
      <c r="BP553">
        <v>0</v>
      </c>
      <c r="BQ553">
        <v>0.75819999999999999</v>
      </c>
      <c r="BR553">
        <v>0.75819999999999999</v>
      </c>
    </row>
    <row r="554" spans="49:70">
      <c r="AW554">
        <v>16</v>
      </c>
      <c r="AX554">
        <v>48.441965000000003</v>
      </c>
      <c r="AY554">
        <v>16.557290999999999</v>
      </c>
      <c r="AZ554">
        <v>1</v>
      </c>
      <c r="BA554">
        <v>306</v>
      </c>
      <c r="BB554">
        <v>306</v>
      </c>
      <c r="BC554">
        <v>1</v>
      </c>
      <c r="BD554" t="s">
        <v>1346</v>
      </c>
      <c r="BE554">
        <v>1771763705</v>
      </c>
      <c r="BF554">
        <v>1772135664</v>
      </c>
      <c r="BG554">
        <v>0.97154300000000005</v>
      </c>
      <c r="BH554" t="s">
        <v>29</v>
      </c>
      <c r="BI554">
        <v>12</v>
      </c>
      <c r="BJ554">
        <v>1771763705</v>
      </c>
      <c r="BK554">
        <v>200</v>
      </c>
      <c r="BL554">
        <v>5</v>
      </c>
      <c r="BM554">
        <v>2</v>
      </c>
      <c r="BN554">
        <v>1</v>
      </c>
      <c r="BO554">
        <v>0</v>
      </c>
      <c r="BP554">
        <v>0</v>
      </c>
      <c r="BQ554">
        <v>1</v>
      </c>
      <c r="BR554">
        <v>1</v>
      </c>
    </row>
    <row r="555" spans="49:70">
      <c r="AW555">
        <v>16</v>
      </c>
      <c r="AX555">
        <v>48.442759000000002</v>
      </c>
      <c r="AY555">
        <v>16.557202</v>
      </c>
      <c r="AZ555">
        <v>1</v>
      </c>
      <c r="BA555">
        <v>306</v>
      </c>
      <c r="BB555">
        <v>306</v>
      </c>
      <c r="BC555">
        <v>1</v>
      </c>
      <c r="BD555" t="s">
        <v>1346</v>
      </c>
      <c r="BE555">
        <v>1771763708</v>
      </c>
      <c r="BF555">
        <v>1772135664</v>
      </c>
      <c r="BG555">
        <v>0.97154300000000005</v>
      </c>
      <c r="BH555" t="s">
        <v>29</v>
      </c>
      <c r="BI555">
        <v>12</v>
      </c>
      <c r="BJ555">
        <v>1771763708</v>
      </c>
      <c r="BK555">
        <v>200</v>
      </c>
      <c r="BL555">
        <v>5</v>
      </c>
      <c r="BM555">
        <v>2</v>
      </c>
      <c r="BN555">
        <v>1</v>
      </c>
      <c r="BO555">
        <v>0</v>
      </c>
      <c r="BP555">
        <v>0</v>
      </c>
      <c r="BQ555">
        <v>1</v>
      </c>
      <c r="BR555">
        <v>1</v>
      </c>
    </row>
    <row r="556" spans="49:70">
      <c r="AW556">
        <v>16</v>
      </c>
      <c r="AX556">
        <v>48.443018000000002</v>
      </c>
      <c r="AY556">
        <v>16.557022</v>
      </c>
      <c r="AZ556">
        <v>1</v>
      </c>
      <c r="BA556">
        <v>253</v>
      </c>
      <c r="BB556">
        <v>253</v>
      </c>
      <c r="BC556">
        <v>1</v>
      </c>
      <c r="BD556" t="s">
        <v>1346</v>
      </c>
      <c r="BE556">
        <v>1771763711</v>
      </c>
      <c r="BF556">
        <v>1772135664</v>
      </c>
      <c r="BG556">
        <v>0.97154300000000005</v>
      </c>
      <c r="BH556" t="s">
        <v>29</v>
      </c>
      <c r="BI556">
        <v>12</v>
      </c>
      <c r="BJ556">
        <v>1771763711</v>
      </c>
      <c r="BK556">
        <v>200</v>
      </c>
      <c r="BL556">
        <v>5</v>
      </c>
      <c r="BM556">
        <v>2</v>
      </c>
      <c r="BN556">
        <v>1</v>
      </c>
      <c r="BO556">
        <v>0</v>
      </c>
      <c r="BP556">
        <v>0</v>
      </c>
      <c r="BQ556">
        <v>0.82679999999999998</v>
      </c>
      <c r="BR556">
        <v>0.82679999999999998</v>
      </c>
    </row>
    <row r="557" spans="49:70">
      <c r="AW557">
        <v>16</v>
      </c>
      <c r="AX557">
        <v>48.466248999999998</v>
      </c>
      <c r="AY557">
        <v>16.555638999999999</v>
      </c>
      <c r="AZ557">
        <v>1</v>
      </c>
      <c r="BA557">
        <v>184</v>
      </c>
      <c r="BB557">
        <v>184</v>
      </c>
      <c r="BC557">
        <v>1</v>
      </c>
      <c r="BD557" t="s">
        <v>1346</v>
      </c>
      <c r="BE557">
        <v>1771763806</v>
      </c>
      <c r="BF557">
        <v>1772135664</v>
      </c>
      <c r="BG557">
        <v>0.97154300000000005</v>
      </c>
      <c r="BH557" t="s">
        <v>29</v>
      </c>
      <c r="BI557">
        <v>12</v>
      </c>
      <c r="BJ557">
        <v>1771763806</v>
      </c>
      <c r="BK557">
        <v>200</v>
      </c>
      <c r="BL557">
        <v>5</v>
      </c>
      <c r="BM557">
        <v>2</v>
      </c>
      <c r="BN557">
        <v>1</v>
      </c>
      <c r="BO557">
        <v>0</v>
      </c>
      <c r="BP557">
        <v>0</v>
      </c>
      <c r="BQ557">
        <v>0.60129999999999995</v>
      </c>
      <c r="BR557">
        <v>0.60129999999999995</v>
      </c>
    </row>
    <row r="558" spans="49:70">
      <c r="AW558">
        <v>16</v>
      </c>
      <c r="AX558">
        <v>48.620220000000003</v>
      </c>
      <c r="AY558">
        <v>16.676738</v>
      </c>
      <c r="AZ558">
        <v>1</v>
      </c>
      <c r="BA558">
        <v>180</v>
      </c>
      <c r="BB558">
        <v>180</v>
      </c>
      <c r="BC558">
        <v>1</v>
      </c>
      <c r="BD558" t="s">
        <v>1346</v>
      </c>
      <c r="BE558">
        <v>1771764587</v>
      </c>
      <c r="BF558">
        <v>1772135664</v>
      </c>
      <c r="BG558">
        <v>0.97154300000000005</v>
      </c>
      <c r="BH558" t="s">
        <v>29</v>
      </c>
      <c r="BI558">
        <v>12</v>
      </c>
      <c r="BJ558">
        <v>1771764587</v>
      </c>
      <c r="BK558">
        <v>200</v>
      </c>
      <c r="BL558">
        <v>5</v>
      </c>
      <c r="BM558">
        <v>2</v>
      </c>
      <c r="BN558">
        <v>1</v>
      </c>
      <c r="BO558">
        <v>0</v>
      </c>
      <c r="BP558">
        <v>0</v>
      </c>
      <c r="BQ558">
        <v>0.58819999999999995</v>
      </c>
      <c r="BR558">
        <v>0.58819999999999995</v>
      </c>
    </row>
    <row r="559" spans="49:70">
      <c r="AW559">
        <v>16</v>
      </c>
      <c r="AX559">
        <v>48.689287999999998</v>
      </c>
      <c r="AY559">
        <v>16.656396999999998</v>
      </c>
      <c r="AZ559">
        <v>1</v>
      </c>
      <c r="BA559">
        <v>172</v>
      </c>
      <c r="BB559">
        <v>172</v>
      </c>
      <c r="BC559">
        <v>1</v>
      </c>
      <c r="BD559" t="s">
        <v>1346</v>
      </c>
      <c r="BE559">
        <v>1771764904</v>
      </c>
      <c r="BF559">
        <v>1772135664</v>
      </c>
      <c r="BG559">
        <v>0.97154300000000005</v>
      </c>
      <c r="BH559" t="s">
        <v>29</v>
      </c>
      <c r="BI559">
        <v>12</v>
      </c>
      <c r="BJ559">
        <v>1771764904</v>
      </c>
      <c r="BK559">
        <v>200</v>
      </c>
      <c r="BL559">
        <v>5</v>
      </c>
      <c r="BM559">
        <v>2</v>
      </c>
      <c r="BN559">
        <v>1</v>
      </c>
      <c r="BO559">
        <v>0</v>
      </c>
      <c r="BP559">
        <v>0</v>
      </c>
      <c r="BQ559">
        <v>0.56210000000000004</v>
      </c>
      <c r="BR559">
        <v>0.56210000000000004</v>
      </c>
    </row>
    <row r="560" spans="49:70">
      <c r="AW560">
        <v>16</v>
      </c>
      <c r="AX560">
        <v>50.077725999999998</v>
      </c>
      <c r="AY560">
        <v>14.417598999999999</v>
      </c>
      <c r="AZ560">
        <v>1</v>
      </c>
      <c r="BA560">
        <v>253</v>
      </c>
      <c r="BB560">
        <v>253</v>
      </c>
      <c r="BC560">
        <v>1</v>
      </c>
      <c r="BD560" t="s">
        <v>1346</v>
      </c>
      <c r="BE560">
        <v>1771892232</v>
      </c>
      <c r="BF560">
        <v>1772135664</v>
      </c>
      <c r="BG560">
        <v>0.97154300000000005</v>
      </c>
      <c r="BH560" t="s">
        <v>29</v>
      </c>
      <c r="BI560">
        <v>12</v>
      </c>
      <c r="BJ560">
        <v>1771892232</v>
      </c>
      <c r="BK560">
        <v>200</v>
      </c>
      <c r="BL560">
        <v>5</v>
      </c>
      <c r="BM560">
        <v>2</v>
      </c>
      <c r="BN560">
        <v>1</v>
      </c>
      <c r="BO560">
        <v>0</v>
      </c>
      <c r="BP560">
        <v>0</v>
      </c>
      <c r="BQ560">
        <v>0.82679999999999998</v>
      </c>
      <c r="BR560">
        <v>0.82679999999999998</v>
      </c>
    </row>
    <row r="561" spans="49:70">
      <c r="AW561">
        <v>16</v>
      </c>
      <c r="AX561">
        <v>50.076053000000002</v>
      </c>
      <c r="AY561">
        <v>14.418599</v>
      </c>
      <c r="AZ561">
        <v>1</v>
      </c>
      <c r="BA561">
        <v>205</v>
      </c>
      <c r="BB561">
        <v>205</v>
      </c>
      <c r="BC561">
        <v>1</v>
      </c>
      <c r="BD561" t="s">
        <v>1346</v>
      </c>
      <c r="BE561">
        <v>1771892631</v>
      </c>
      <c r="BF561">
        <v>1772135664</v>
      </c>
      <c r="BG561">
        <v>0.97154300000000005</v>
      </c>
      <c r="BH561" t="s">
        <v>29</v>
      </c>
      <c r="BI561">
        <v>12</v>
      </c>
      <c r="BJ561">
        <v>1771892631</v>
      </c>
      <c r="BK561">
        <v>200</v>
      </c>
      <c r="BL561">
        <v>5</v>
      </c>
      <c r="BM561">
        <v>2</v>
      </c>
      <c r="BN561">
        <v>1</v>
      </c>
      <c r="BO561">
        <v>0</v>
      </c>
      <c r="BP561">
        <v>0</v>
      </c>
      <c r="BQ561">
        <v>0.66990000000000005</v>
      </c>
      <c r="BR561">
        <v>0.66990000000000005</v>
      </c>
    </row>
    <row r="562" spans="49:70">
      <c r="AW562">
        <v>16</v>
      </c>
      <c r="AX562">
        <v>50.047955999999999</v>
      </c>
      <c r="AY562">
        <v>14.444084</v>
      </c>
      <c r="AZ562">
        <v>1</v>
      </c>
      <c r="BA562">
        <v>208</v>
      </c>
      <c r="BB562">
        <v>208</v>
      </c>
      <c r="BC562">
        <v>1</v>
      </c>
      <c r="BD562" t="s">
        <v>1346</v>
      </c>
      <c r="BE562">
        <v>1771893295</v>
      </c>
      <c r="BF562">
        <v>1772135664</v>
      </c>
      <c r="BG562">
        <v>0.97154300000000005</v>
      </c>
      <c r="BH562" t="s">
        <v>29</v>
      </c>
      <c r="BI562">
        <v>12</v>
      </c>
      <c r="BJ562">
        <v>1771893295</v>
      </c>
      <c r="BK562">
        <v>200</v>
      </c>
      <c r="BL562">
        <v>5</v>
      </c>
      <c r="BM562">
        <v>2</v>
      </c>
      <c r="BN562">
        <v>1</v>
      </c>
      <c r="BO562">
        <v>0</v>
      </c>
      <c r="BP562">
        <v>0</v>
      </c>
      <c r="BQ562">
        <v>0.67969999999999997</v>
      </c>
      <c r="BR562">
        <v>0.67969999999999997</v>
      </c>
    </row>
    <row r="563" spans="49:70">
      <c r="AW563">
        <v>16</v>
      </c>
      <c r="AX563">
        <v>50.031730000000003</v>
      </c>
      <c r="AY563">
        <v>15.753819999999999</v>
      </c>
      <c r="AZ563">
        <v>1</v>
      </c>
      <c r="BA563">
        <v>249</v>
      </c>
      <c r="BB563">
        <v>249</v>
      </c>
      <c r="BC563">
        <v>1</v>
      </c>
      <c r="BD563" t="s">
        <v>1346</v>
      </c>
      <c r="BE563">
        <v>1772024633</v>
      </c>
      <c r="BF563">
        <v>1772135664</v>
      </c>
      <c r="BG563">
        <v>0.97154300000000005</v>
      </c>
      <c r="BH563" t="s">
        <v>29</v>
      </c>
      <c r="BI563">
        <v>12</v>
      </c>
      <c r="BJ563">
        <v>1772024633</v>
      </c>
      <c r="BK563">
        <v>200</v>
      </c>
      <c r="BL563">
        <v>5</v>
      </c>
      <c r="BM563">
        <v>2</v>
      </c>
      <c r="BN563">
        <v>1</v>
      </c>
      <c r="BO563">
        <v>0</v>
      </c>
      <c r="BP563">
        <v>0</v>
      </c>
      <c r="BQ563">
        <v>0.81369999999999998</v>
      </c>
      <c r="BR563">
        <v>0.81369999999999998</v>
      </c>
    </row>
    <row r="564" spans="49:70">
      <c r="AW564">
        <v>16</v>
      </c>
      <c r="AX564">
        <v>48.241683999999999</v>
      </c>
      <c r="AY564">
        <v>16.383427000000001</v>
      </c>
      <c r="AZ564">
        <v>1</v>
      </c>
      <c r="BA564">
        <v>208</v>
      </c>
      <c r="BB564">
        <v>208</v>
      </c>
      <c r="BC564">
        <v>1</v>
      </c>
      <c r="BD564" t="s">
        <v>1346</v>
      </c>
      <c r="BE564">
        <v>1772038613</v>
      </c>
      <c r="BF564">
        <v>1772135664</v>
      </c>
      <c r="BG564">
        <v>0.97154300000000005</v>
      </c>
      <c r="BH564" t="s">
        <v>29</v>
      </c>
      <c r="BI564">
        <v>12</v>
      </c>
      <c r="BJ564">
        <v>1772038613</v>
      </c>
      <c r="BK564">
        <v>200</v>
      </c>
      <c r="BL564">
        <v>5</v>
      </c>
      <c r="BM564">
        <v>2</v>
      </c>
      <c r="BN564">
        <v>1</v>
      </c>
      <c r="BO564">
        <v>0</v>
      </c>
      <c r="BP564">
        <v>0</v>
      </c>
      <c r="BQ564">
        <v>0.67969999999999997</v>
      </c>
      <c r="BR564">
        <v>0.67969999999999997</v>
      </c>
    </row>
    <row r="565" spans="49:70">
      <c r="AW565">
        <v>16</v>
      </c>
      <c r="AX565">
        <v>48.241689999999998</v>
      </c>
      <c r="AY565">
        <v>16.382591000000001</v>
      </c>
      <c r="AZ565">
        <v>1</v>
      </c>
      <c r="BA565">
        <v>212</v>
      </c>
      <c r="BB565">
        <v>212</v>
      </c>
      <c r="BC565">
        <v>1</v>
      </c>
      <c r="BD565" t="s">
        <v>1346</v>
      </c>
      <c r="BE565">
        <v>1772038643</v>
      </c>
      <c r="BF565">
        <v>1772135664</v>
      </c>
      <c r="BG565">
        <v>0.97154300000000005</v>
      </c>
      <c r="BH565" t="s">
        <v>29</v>
      </c>
      <c r="BI565">
        <v>12</v>
      </c>
      <c r="BJ565">
        <v>1772038643</v>
      </c>
      <c r="BK565">
        <v>200</v>
      </c>
      <c r="BL565">
        <v>5</v>
      </c>
      <c r="BM565">
        <v>2</v>
      </c>
      <c r="BN565">
        <v>1</v>
      </c>
      <c r="BO565">
        <v>0</v>
      </c>
      <c r="BP565">
        <v>0</v>
      </c>
      <c r="BQ565">
        <v>0.69279999999999997</v>
      </c>
      <c r="BR565">
        <v>0.69279999999999997</v>
      </c>
    </row>
    <row r="566" spans="49:70">
      <c r="AW566">
        <v>17</v>
      </c>
      <c r="AX566">
        <v>48.145159999999997</v>
      </c>
      <c r="AY566">
        <v>16.431263999999999</v>
      </c>
      <c r="AZ566">
        <v>1</v>
      </c>
      <c r="BA566">
        <v>220</v>
      </c>
      <c r="BB566">
        <v>220</v>
      </c>
      <c r="BC566">
        <v>1</v>
      </c>
      <c r="BD566" t="s">
        <v>1347</v>
      </c>
      <c r="BE566">
        <v>1771724930</v>
      </c>
      <c r="BF566">
        <v>1772135664</v>
      </c>
      <c r="BG566">
        <v>0.97154300000000005</v>
      </c>
      <c r="BH566" t="s">
        <v>25</v>
      </c>
      <c r="BI566">
        <v>13</v>
      </c>
      <c r="BJ566">
        <v>1771724930</v>
      </c>
      <c r="BK566">
        <v>200</v>
      </c>
      <c r="BL566">
        <v>5</v>
      </c>
      <c r="BM566">
        <v>2</v>
      </c>
      <c r="BN566">
        <v>1</v>
      </c>
      <c r="BO566">
        <v>0</v>
      </c>
      <c r="BP566">
        <v>0</v>
      </c>
      <c r="BQ566">
        <v>0.57520000000000004</v>
      </c>
      <c r="BR566">
        <v>0.57520000000000004</v>
      </c>
    </row>
    <row r="567" spans="49:70">
      <c r="AW567">
        <v>17</v>
      </c>
      <c r="AX567">
        <v>48.211803000000003</v>
      </c>
      <c r="AY567">
        <v>16.392268000000001</v>
      </c>
      <c r="AZ567">
        <v>1</v>
      </c>
      <c r="BA567">
        <v>307</v>
      </c>
      <c r="BB567">
        <v>307</v>
      </c>
      <c r="BC567">
        <v>1</v>
      </c>
      <c r="BD567" t="s">
        <v>1347</v>
      </c>
      <c r="BE567">
        <v>1771725766</v>
      </c>
      <c r="BF567">
        <v>1772135664</v>
      </c>
      <c r="BG567">
        <v>0.97154300000000005</v>
      </c>
      <c r="BH567" t="s">
        <v>25</v>
      </c>
      <c r="BI567">
        <v>13</v>
      </c>
      <c r="BJ567">
        <v>1771725766</v>
      </c>
      <c r="BK567">
        <v>200</v>
      </c>
      <c r="BL567">
        <v>5</v>
      </c>
      <c r="BM567">
        <v>2</v>
      </c>
      <c r="BN567">
        <v>1</v>
      </c>
      <c r="BO567">
        <v>0</v>
      </c>
      <c r="BP567">
        <v>0</v>
      </c>
      <c r="BQ567">
        <v>0.80259999999999998</v>
      </c>
      <c r="BR567">
        <v>0.80259999999999998</v>
      </c>
    </row>
    <row r="568" spans="49:70">
      <c r="AW568">
        <v>17</v>
      </c>
      <c r="AX568">
        <v>48.187058</v>
      </c>
      <c r="AY568">
        <v>16.387843</v>
      </c>
      <c r="AZ568">
        <v>1</v>
      </c>
      <c r="BA568">
        <v>270</v>
      </c>
      <c r="BB568">
        <v>270</v>
      </c>
      <c r="BC568">
        <v>1</v>
      </c>
      <c r="BD568" t="s">
        <v>1347</v>
      </c>
      <c r="BE568">
        <v>1771759767</v>
      </c>
      <c r="BF568">
        <v>1772135664</v>
      </c>
      <c r="BG568">
        <v>0.97154300000000005</v>
      </c>
      <c r="BH568" t="s">
        <v>25</v>
      </c>
      <c r="BI568">
        <v>13</v>
      </c>
      <c r="BJ568">
        <v>1771759767</v>
      </c>
      <c r="BK568">
        <v>200</v>
      </c>
      <c r="BL568">
        <v>5</v>
      </c>
      <c r="BM568">
        <v>2</v>
      </c>
      <c r="BN568">
        <v>1</v>
      </c>
      <c r="BO568">
        <v>0</v>
      </c>
      <c r="BP568">
        <v>0</v>
      </c>
      <c r="BQ568">
        <v>0.70589999999999997</v>
      </c>
      <c r="BR568">
        <v>0.70589999999999997</v>
      </c>
    </row>
    <row r="569" spans="49:70">
      <c r="AW569">
        <v>17</v>
      </c>
      <c r="AX569">
        <v>48.337851000000001</v>
      </c>
      <c r="AY569">
        <v>16.506845999999999</v>
      </c>
      <c r="AZ569">
        <v>1</v>
      </c>
      <c r="BA569">
        <v>202</v>
      </c>
      <c r="BB569">
        <v>202</v>
      </c>
      <c r="BC569">
        <v>1</v>
      </c>
      <c r="BD569" t="s">
        <v>1347</v>
      </c>
      <c r="BE569">
        <v>1771763176</v>
      </c>
      <c r="BF569">
        <v>1772135664</v>
      </c>
      <c r="BG569">
        <v>0.97154300000000005</v>
      </c>
      <c r="BH569" t="s">
        <v>25</v>
      </c>
      <c r="BI569">
        <v>13</v>
      </c>
      <c r="BJ569">
        <v>1771763176</v>
      </c>
      <c r="BK569">
        <v>200</v>
      </c>
      <c r="BL569">
        <v>5</v>
      </c>
      <c r="BM569">
        <v>2</v>
      </c>
      <c r="BN569">
        <v>1</v>
      </c>
      <c r="BO569">
        <v>0</v>
      </c>
      <c r="BP569">
        <v>0</v>
      </c>
      <c r="BQ569">
        <v>0.52810000000000001</v>
      </c>
      <c r="BR569">
        <v>0.52810000000000001</v>
      </c>
    </row>
    <row r="570" spans="49:70">
      <c r="AW570">
        <v>17</v>
      </c>
      <c r="AX570">
        <v>48.687460000000002</v>
      </c>
      <c r="AY570">
        <v>16.656427999999998</v>
      </c>
      <c r="AZ570">
        <v>1</v>
      </c>
      <c r="BA570">
        <v>220</v>
      </c>
      <c r="BB570">
        <v>220</v>
      </c>
      <c r="BC570">
        <v>1</v>
      </c>
      <c r="BD570" t="s">
        <v>1347</v>
      </c>
      <c r="BE570">
        <v>1771764898</v>
      </c>
      <c r="BF570">
        <v>1772135664</v>
      </c>
      <c r="BG570">
        <v>0.97154300000000005</v>
      </c>
      <c r="BH570" t="s">
        <v>25</v>
      </c>
      <c r="BI570">
        <v>13</v>
      </c>
      <c r="BJ570">
        <v>1771764898</v>
      </c>
      <c r="BK570">
        <v>200</v>
      </c>
      <c r="BL570">
        <v>5</v>
      </c>
      <c r="BM570">
        <v>2</v>
      </c>
      <c r="BN570">
        <v>1</v>
      </c>
      <c r="BO570">
        <v>0</v>
      </c>
      <c r="BP570">
        <v>0</v>
      </c>
      <c r="BQ570">
        <v>0.57520000000000004</v>
      </c>
      <c r="BR570">
        <v>0.57520000000000004</v>
      </c>
    </row>
    <row r="571" spans="49:70">
      <c r="AW571">
        <v>17</v>
      </c>
      <c r="AX571">
        <v>50.059081999999997</v>
      </c>
      <c r="AY571">
        <v>14.430543999999999</v>
      </c>
      <c r="AZ571">
        <v>1</v>
      </c>
      <c r="BA571">
        <v>250</v>
      </c>
      <c r="BB571">
        <v>250</v>
      </c>
      <c r="BC571">
        <v>1</v>
      </c>
      <c r="BD571" t="s">
        <v>1347</v>
      </c>
      <c r="BE571">
        <v>1771893027</v>
      </c>
      <c r="BF571">
        <v>1772135664</v>
      </c>
      <c r="BG571">
        <v>0.97154300000000005</v>
      </c>
      <c r="BH571" t="s">
        <v>25</v>
      </c>
      <c r="BI571">
        <v>13</v>
      </c>
      <c r="BJ571">
        <v>1771893027</v>
      </c>
      <c r="BK571">
        <v>200</v>
      </c>
      <c r="BL571">
        <v>5</v>
      </c>
      <c r="BM571">
        <v>2</v>
      </c>
      <c r="BN571">
        <v>1</v>
      </c>
      <c r="BO571">
        <v>0</v>
      </c>
      <c r="BP571">
        <v>0</v>
      </c>
      <c r="BQ571">
        <v>0.65359999999999996</v>
      </c>
      <c r="BR571">
        <v>0.65359999999999996</v>
      </c>
    </row>
    <row r="572" spans="49:70">
      <c r="AW572">
        <v>17</v>
      </c>
      <c r="AX572">
        <v>50.059063000000002</v>
      </c>
      <c r="AY572">
        <v>14.430956</v>
      </c>
      <c r="AZ572">
        <v>1</v>
      </c>
      <c r="BA572">
        <v>231</v>
      </c>
      <c r="BB572">
        <v>231</v>
      </c>
      <c r="BC572">
        <v>1</v>
      </c>
      <c r="BD572" t="s">
        <v>1347</v>
      </c>
      <c r="BE572">
        <v>1771893047</v>
      </c>
      <c r="BF572">
        <v>1772135664</v>
      </c>
      <c r="BG572">
        <v>0.97154300000000005</v>
      </c>
      <c r="BH572" t="s">
        <v>25</v>
      </c>
      <c r="BI572">
        <v>13</v>
      </c>
      <c r="BJ572">
        <v>1771893047</v>
      </c>
      <c r="BK572">
        <v>200</v>
      </c>
      <c r="BL572">
        <v>5</v>
      </c>
      <c r="BM572">
        <v>2</v>
      </c>
      <c r="BN572">
        <v>1</v>
      </c>
      <c r="BO572">
        <v>0</v>
      </c>
      <c r="BP572">
        <v>0</v>
      </c>
      <c r="BQ572">
        <v>0.60389999999999999</v>
      </c>
      <c r="BR572">
        <v>0.60389999999999999</v>
      </c>
    </row>
    <row r="573" spans="49:70">
      <c r="AW573">
        <v>17</v>
      </c>
      <c r="AX573">
        <v>50.048279999999998</v>
      </c>
      <c r="AY573">
        <v>14.443462999999999</v>
      </c>
      <c r="AZ573">
        <v>1</v>
      </c>
      <c r="BA573">
        <v>270</v>
      </c>
      <c r="BB573">
        <v>270</v>
      </c>
      <c r="BC573">
        <v>1</v>
      </c>
      <c r="BD573" t="s">
        <v>1347</v>
      </c>
      <c r="BE573">
        <v>1771893273</v>
      </c>
      <c r="BF573">
        <v>1772135664</v>
      </c>
      <c r="BG573">
        <v>0.97154300000000005</v>
      </c>
      <c r="BH573" t="s">
        <v>25</v>
      </c>
      <c r="BI573">
        <v>13</v>
      </c>
      <c r="BJ573">
        <v>1771893273</v>
      </c>
      <c r="BK573">
        <v>200</v>
      </c>
      <c r="BL573">
        <v>5</v>
      </c>
      <c r="BM573">
        <v>2</v>
      </c>
      <c r="BN573">
        <v>1</v>
      </c>
      <c r="BO573">
        <v>0</v>
      </c>
      <c r="BP573">
        <v>0</v>
      </c>
      <c r="BQ573">
        <v>0.70589999999999997</v>
      </c>
      <c r="BR573">
        <v>0.70589999999999997</v>
      </c>
    </row>
    <row r="574" spans="49:70">
      <c r="AW574">
        <v>17</v>
      </c>
      <c r="AX574">
        <v>50.048200000000001</v>
      </c>
      <c r="AY574">
        <v>14.443875</v>
      </c>
      <c r="AZ574">
        <v>1</v>
      </c>
      <c r="BA574">
        <v>255</v>
      </c>
      <c r="BB574">
        <v>255</v>
      </c>
      <c r="BC574">
        <v>1</v>
      </c>
      <c r="BD574" t="s">
        <v>1347</v>
      </c>
      <c r="BE574">
        <v>1771893278</v>
      </c>
      <c r="BF574">
        <v>1772135664</v>
      </c>
      <c r="BG574">
        <v>0.97154300000000005</v>
      </c>
      <c r="BH574" t="s">
        <v>25</v>
      </c>
      <c r="BI574">
        <v>13</v>
      </c>
      <c r="BJ574">
        <v>1771893278</v>
      </c>
      <c r="BK574">
        <v>200</v>
      </c>
      <c r="BL574">
        <v>5</v>
      </c>
      <c r="BM574">
        <v>2</v>
      </c>
      <c r="BN574">
        <v>1</v>
      </c>
      <c r="BO574">
        <v>0</v>
      </c>
      <c r="BP574">
        <v>0</v>
      </c>
      <c r="BQ574">
        <v>0.66669999999999996</v>
      </c>
      <c r="BR574">
        <v>0.66669999999999996</v>
      </c>
    </row>
    <row r="575" spans="49:70">
      <c r="AW575">
        <v>17</v>
      </c>
      <c r="AX575">
        <v>50.047781000000001</v>
      </c>
      <c r="AY575">
        <v>14.444405</v>
      </c>
      <c r="AZ575">
        <v>1</v>
      </c>
      <c r="BA575">
        <v>250</v>
      </c>
      <c r="BB575">
        <v>250</v>
      </c>
      <c r="BC575">
        <v>1</v>
      </c>
      <c r="BD575" t="s">
        <v>1347</v>
      </c>
      <c r="BE575">
        <v>1771893300</v>
      </c>
      <c r="BF575">
        <v>1772135664</v>
      </c>
      <c r="BG575">
        <v>0.97154300000000005</v>
      </c>
      <c r="BH575" t="s">
        <v>25</v>
      </c>
      <c r="BI575">
        <v>13</v>
      </c>
      <c r="BJ575">
        <v>1771893300</v>
      </c>
      <c r="BK575">
        <v>200</v>
      </c>
      <c r="BL575">
        <v>5</v>
      </c>
      <c r="BM575">
        <v>2</v>
      </c>
      <c r="BN575">
        <v>1</v>
      </c>
      <c r="BO575">
        <v>0</v>
      </c>
      <c r="BP575">
        <v>0</v>
      </c>
      <c r="BQ575">
        <v>0.65359999999999996</v>
      </c>
      <c r="BR575">
        <v>0.65359999999999996</v>
      </c>
    </row>
    <row r="576" spans="49:70">
      <c r="AW576">
        <v>17</v>
      </c>
      <c r="AX576">
        <v>50.097445999999998</v>
      </c>
      <c r="AY576">
        <v>14.403368</v>
      </c>
      <c r="AZ576">
        <v>1</v>
      </c>
      <c r="BA576">
        <v>250</v>
      </c>
      <c r="BB576">
        <v>250</v>
      </c>
      <c r="BC576">
        <v>1</v>
      </c>
      <c r="BD576" t="s">
        <v>1347</v>
      </c>
      <c r="BE576">
        <v>1771970965</v>
      </c>
      <c r="BF576">
        <v>1772135664</v>
      </c>
      <c r="BG576">
        <v>0.97154300000000005</v>
      </c>
      <c r="BH576" t="s">
        <v>25</v>
      </c>
      <c r="BI576">
        <v>13</v>
      </c>
      <c r="BJ576">
        <v>1771970965</v>
      </c>
      <c r="BK576">
        <v>200</v>
      </c>
      <c r="BL576">
        <v>5</v>
      </c>
      <c r="BM576">
        <v>2</v>
      </c>
      <c r="BN576">
        <v>1</v>
      </c>
      <c r="BO576">
        <v>0</v>
      </c>
      <c r="BP576">
        <v>0</v>
      </c>
      <c r="BQ576">
        <v>0.65359999999999996</v>
      </c>
      <c r="BR576">
        <v>0.65359999999999996</v>
      </c>
    </row>
    <row r="577" spans="49:70">
      <c r="AW577">
        <v>17</v>
      </c>
      <c r="AX577">
        <v>50.031804999999999</v>
      </c>
      <c r="AY577">
        <v>15.72935</v>
      </c>
      <c r="AZ577">
        <v>1</v>
      </c>
      <c r="BA577">
        <v>382</v>
      </c>
      <c r="BB577">
        <v>382</v>
      </c>
      <c r="BC577">
        <v>1</v>
      </c>
      <c r="BD577" t="s">
        <v>1347</v>
      </c>
      <c r="BE577">
        <v>1772024532</v>
      </c>
      <c r="BF577">
        <v>1772135664</v>
      </c>
      <c r="BG577">
        <v>0.97154300000000005</v>
      </c>
      <c r="BH577" t="s">
        <v>25</v>
      </c>
      <c r="BI577">
        <v>13</v>
      </c>
      <c r="BJ577">
        <v>1772024532</v>
      </c>
      <c r="BK577">
        <v>200</v>
      </c>
      <c r="BL577">
        <v>5</v>
      </c>
      <c r="BM577">
        <v>2</v>
      </c>
      <c r="BN577">
        <v>1</v>
      </c>
      <c r="BO577">
        <v>0</v>
      </c>
      <c r="BP577">
        <v>0</v>
      </c>
      <c r="BQ577">
        <v>0.99870000000000003</v>
      </c>
      <c r="BR577">
        <v>0.99870000000000003</v>
      </c>
    </row>
    <row r="578" spans="49:70">
      <c r="AW578">
        <v>17</v>
      </c>
      <c r="AX578">
        <v>48.227859000000002</v>
      </c>
      <c r="AY578">
        <v>16.372737999999998</v>
      </c>
      <c r="AZ578">
        <v>1</v>
      </c>
      <c r="BA578">
        <v>327</v>
      </c>
      <c r="BB578">
        <v>327</v>
      </c>
      <c r="BC578">
        <v>1</v>
      </c>
      <c r="BD578" t="s">
        <v>1347</v>
      </c>
      <c r="BE578">
        <v>1772115405</v>
      </c>
      <c r="BF578">
        <v>1772135664</v>
      </c>
      <c r="BG578">
        <v>0.97154300000000005</v>
      </c>
      <c r="BH578" t="s">
        <v>25</v>
      </c>
      <c r="BI578">
        <v>13</v>
      </c>
      <c r="BJ578">
        <v>1772115405</v>
      </c>
      <c r="BK578">
        <v>200</v>
      </c>
      <c r="BL578">
        <v>5</v>
      </c>
      <c r="BM578">
        <v>2</v>
      </c>
      <c r="BN578">
        <v>1</v>
      </c>
      <c r="BO578">
        <v>0</v>
      </c>
      <c r="BP578">
        <v>0</v>
      </c>
      <c r="BQ578">
        <v>0.85489999999999999</v>
      </c>
      <c r="BR578">
        <v>0.85489999999999999</v>
      </c>
    </row>
    <row r="579" spans="49:70">
      <c r="AW579">
        <v>17</v>
      </c>
      <c r="AX579">
        <v>48.221055999999997</v>
      </c>
      <c r="AY579">
        <v>16.388228999999999</v>
      </c>
      <c r="AZ579">
        <v>1</v>
      </c>
      <c r="BA579">
        <v>244</v>
      </c>
      <c r="BB579">
        <v>244</v>
      </c>
      <c r="BC579">
        <v>1</v>
      </c>
      <c r="BD579" t="s">
        <v>1347</v>
      </c>
      <c r="BE579">
        <v>1772124060</v>
      </c>
      <c r="BF579">
        <v>1772135664</v>
      </c>
      <c r="BG579">
        <v>0.97154300000000005</v>
      </c>
      <c r="BH579" t="s">
        <v>25</v>
      </c>
      <c r="BI579">
        <v>13</v>
      </c>
      <c r="BJ579">
        <v>1772124060</v>
      </c>
      <c r="BK579">
        <v>200</v>
      </c>
      <c r="BL579">
        <v>5</v>
      </c>
      <c r="BM579">
        <v>2</v>
      </c>
      <c r="BN579">
        <v>1</v>
      </c>
      <c r="BO579">
        <v>0</v>
      </c>
      <c r="BP579">
        <v>0</v>
      </c>
      <c r="BQ579">
        <v>0.63790000000000002</v>
      </c>
      <c r="BR579">
        <v>0.63790000000000002</v>
      </c>
    </row>
    <row r="580" spans="49:70">
      <c r="AW580">
        <v>17</v>
      </c>
      <c r="AX580">
        <v>48.221786000000002</v>
      </c>
      <c r="AY580">
        <v>16.377072999999999</v>
      </c>
      <c r="AZ580">
        <v>1</v>
      </c>
      <c r="BA580">
        <v>244</v>
      </c>
      <c r="BB580">
        <v>244</v>
      </c>
      <c r="BC580">
        <v>1</v>
      </c>
      <c r="BD580" t="s">
        <v>1347</v>
      </c>
      <c r="BE580">
        <v>1772124624</v>
      </c>
      <c r="BF580">
        <v>1772135664</v>
      </c>
      <c r="BG580">
        <v>0.97154300000000005</v>
      </c>
      <c r="BH580" t="s">
        <v>25</v>
      </c>
      <c r="BI580">
        <v>13</v>
      </c>
      <c r="BJ580">
        <v>1772124624</v>
      </c>
      <c r="BK580">
        <v>200</v>
      </c>
      <c r="BL580">
        <v>5</v>
      </c>
      <c r="BM580">
        <v>2</v>
      </c>
      <c r="BN580">
        <v>1</v>
      </c>
      <c r="BO580">
        <v>0</v>
      </c>
      <c r="BP580">
        <v>0</v>
      </c>
      <c r="BQ580">
        <v>0.63790000000000002</v>
      </c>
      <c r="BR580">
        <v>0.63790000000000002</v>
      </c>
    </row>
    <row r="581" spans="49:70">
      <c r="AW581">
        <v>27</v>
      </c>
      <c r="AX581">
        <v>48.663263999999998</v>
      </c>
      <c r="AY581">
        <v>16.685006000000001</v>
      </c>
      <c r="AZ581">
        <v>1</v>
      </c>
      <c r="BA581">
        <v>313</v>
      </c>
      <c r="BB581">
        <v>313</v>
      </c>
      <c r="BC581">
        <v>1</v>
      </c>
      <c r="BD581" t="s">
        <v>1357</v>
      </c>
      <c r="BE581">
        <v>1771764769</v>
      </c>
      <c r="BF581">
        <v>1772135664</v>
      </c>
      <c r="BG581">
        <v>0.97154300000000005</v>
      </c>
      <c r="BH581" t="s">
        <v>28</v>
      </c>
      <c r="BI581">
        <v>26</v>
      </c>
      <c r="BJ581">
        <v>1771764769</v>
      </c>
      <c r="BK581">
        <v>200</v>
      </c>
      <c r="BL581">
        <v>5</v>
      </c>
      <c r="BM581">
        <v>2</v>
      </c>
      <c r="BN581">
        <v>1</v>
      </c>
      <c r="BO581">
        <v>0</v>
      </c>
      <c r="BP581">
        <v>0</v>
      </c>
      <c r="BQ581">
        <v>0.76719999999999999</v>
      </c>
      <c r="BR581">
        <v>0.76719999999999999</v>
      </c>
    </row>
    <row r="582" spans="49:70">
      <c r="AW582">
        <v>27</v>
      </c>
      <c r="AX582">
        <v>48.667610000000003</v>
      </c>
      <c r="AY582">
        <v>16.679055000000002</v>
      </c>
      <c r="AZ582">
        <v>1</v>
      </c>
      <c r="BA582">
        <v>251</v>
      </c>
      <c r="BB582">
        <v>251</v>
      </c>
      <c r="BC582">
        <v>1</v>
      </c>
      <c r="BD582" t="s">
        <v>1357</v>
      </c>
      <c r="BE582">
        <v>1771764795</v>
      </c>
      <c r="BF582">
        <v>1772135664</v>
      </c>
      <c r="BG582">
        <v>0.97154300000000005</v>
      </c>
      <c r="BH582" t="s">
        <v>28</v>
      </c>
      <c r="BI582">
        <v>26</v>
      </c>
      <c r="BJ582">
        <v>1771764795</v>
      </c>
      <c r="BK582">
        <v>200</v>
      </c>
      <c r="BL582">
        <v>5</v>
      </c>
      <c r="BM582">
        <v>2</v>
      </c>
      <c r="BN582">
        <v>1</v>
      </c>
      <c r="BO582">
        <v>0</v>
      </c>
      <c r="BP582">
        <v>0</v>
      </c>
      <c r="BQ582">
        <v>0.61519999999999997</v>
      </c>
      <c r="BR582">
        <v>0.61519999999999997</v>
      </c>
    </row>
    <row r="583" spans="49:70">
      <c r="AW583">
        <v>27</v>
      </c>
      <c r="AX583">
        <v>48.693927000000002</v>
      </c>
      <c r="AY583">
        <v>16.655915</v>
      </c>
      <c r="AZ583">
        <v>1</v>
      </c>
      <c r="BA583">
        <v>262</v>
      </c>
      <c r="BB583">
        <v>262</v>
      </c>
      <c r="BC583">
        <v>1</v>
      </c>
      <c r="BD583" t="s">
        <v>1357</v>
      </c>
      <c r="BE583">
        <v>1771764924</v>
      </c>
      <c r="BF583">
        <v>1772135664</v>
      </c>
      <c r="BG583">
        <v>0.97154300000000005</v>
      </c>
      <c r="BH583" t="s">
        <v>28</v>
      </c>
      <c r="BI583">
        <v>26</v>
      </c>
      <c r="BJ583">
        <v>1771764924</v>
      </c>
      <c r="BK583">
        <v>200</v>
      </c>
      <c r="BL583">
        <v>5</v>
      </c>
      <c r="BM583">
        <v>2</v>
      </c>
      <c r="BN583">
        <v>1</v>
      </c>
      <c r="BO583">
        <v>0</v>
      </c>
      <c r="BP583">
        <v>0</v>
      </c>
      <c r="BQ583">
        <v>0.64219999999999999</v>
      </c>
      <c r="BR583">
        <v>0.64219999999999999</v>
      </c>
    </row>
    <row r="584" spans="49:70">
      <c r="AW584">
        <v>27</v>
      </c>
      <c r="AX584">
        <v>50.042884000000001</v>
      </c>
      <c r="AY584">
        <v>15.393216000000001</v>
      </c>
      <c r="AZ584">
        <v>1</v>
      </c>
      <c r="BA584">
        <v>380</v>
      </c>
      <c r="BB584">
        <v>380</v>
      </c>
      <c r="BC584">
        <v>1</v>
      </c>
      <c r="BD584" t="s">
        <v>1357</v>
      </c>
      <c r="BE584">
        <v>1772023750</v>
      </c>
      <c r="BF584">
        <v>1772135664</v>
      </c>
      <c r="BG584">
        <v>0.97154300000000005</v>
      </c>
      <c r="BH584" t="s">
        <v>28</v>
      </c>
      <c r="BI584">
        <v>26</v>
      </c>
      <c r="BJ584">
        <v>1772023750</v>
      </c>
      <c r="BK584">
        <v>200</v>
      </c>
      <c r="BL584">
        <v>5</v>
      </c>
      <c r="BM584">
        <v>2</v>
      </c>
      <c r="BN584">
        <v>1</v>
      </c>
      <c r="BO584">
        <v>0</v>
      </c>
      <c r="BP584">
        <v>0</v>
      </c>
      <c r="BQ584">
        <v>0.93140000000000001</v>
      </c>
      <c r="BR584">
        <v>0.93140000000000001</v>
      </c>
    </row>
    <row r="585" spans="49:70">
      <c r="AW585">
        <v>27</v>
      </c>
      <c r="AX585">
        <v>49.753273999999998</v>
      </c>
      <c r="AY585">
        <v>16.478954999999999</v>
      </c>
      <c r="AZ585">
        <v>1</v>
      </c>
      <c r="BA585">
        <v>273</v>
      </c>
      <c r="BB585">
        <v>273</v>
      </c>
      <c r="BC585">
        <v>1</v>
      </c>
      <c r="BD585" t="s">
        <v>1357</v>
      </c>
      <c r="BE585">
        <v>1772028233</v>
      </c>
      <c r="BF585">
        <v>1772135664</v>
      </c>
      <c r="BG585">
        <v>0.97154300000000005</v>
      </c>
      <c r="BH585" t="s">
        <v>28</v>
      </c>
      <c r="BI585">
        <v>26</v>
      </c>
      <c r="BJ585">
        <v>1772028233</v>
      </c>
      <c r="BK585">
        <v>200</v>
      </c>
      <c r="BL585">
        <v>5</v>
      </c>
      <c r="BM585">
        <v>2</v>
      </c>
      <c r="BN585">
        <v>1</v>
      </c>
      <c r="BO585">
        <v>0</v>
      </c>
      <c r="BP585">
        <v>0</v>
      </c>
      <c r="BQ585">
        <v>0.66910000000000003</v>
      </c>
      <c r="BR585">
        <v>0.66910000000000003</v>
      </c>
    </row>
    <row r="586" spans="49:70">
      <c r="AW586">
        <v>27</v>
      </c>
      <c r="AX586">
        <v>49.112411000000002</v>
      </c>
      <c r="AY586">
        <v>16.606930999999999</v>
      </c>
      <c r="AZ586">
        <v>1</v>
      </c>
      <c r="BA586">
        <v>313</v>
      </c>
      <c r="BB586">
        <v>313</v>
      </c>
      <c r="BC586">
        <v>1</v>
      </c>
      <c r="BD586" t="s">
        <v>1357</v>
      </c>
      <c r="BE586">
        <v>1772031449</v>
      </c>
      <c r="BF586">
        <v>1772135664</v>
      </c>
      <c r="BG586">
        <v>0.97154300000000005</v>
      </c>
      <c r="BH586" t="s">
        <v>28</v>
      </c>
      <c r="BI586">
        <v>26</v>
      </c>
      <c r="BJ586">
        <v>1772031449</v>
      </c>
      <c r="BK586">
        <v>200</v>
      </c>
      <c r="BL586">
        <v>5</v>
      </c>
      <c r="BM586">
        <v>2</v>
      </c>
      <c r="BN586">
        <v>1</v>
      </c>
      <c r="BO586">
        <v>0</v>
      </c>
      <c r="BP586">
        <v>0</v>
      </c>
      <c r="BQ586">
        <v>0.76719999999999999</v>
      </c>
      <c r="BR586">
        <v>0.76719999999999999</v>
      </c>
    </row>
    <row r="587" spans="49:70">
      <c r="AW587">
        <v>27</v>
      </c>
      <c r="AX587">
        <v>49.112234999999998</v>
      </c>
      <c r="AY587">
        <v>16.607223999999999</v>
      </c>
      <c r="AZ587">
        <v>1</v>
      </c>
      <c r="BA587">
        <v>291</v>
      </c>
      <c r="BB587">
        <v>291</v>
      </c>
      <c r="BC587">
        <v>1</v>
      </c>
      <c r="BD587" t="s">
        <v>1357</v>
      </c>
      <c r="BE587">
        <v>1772031462</v>
      </c>
      <c r="BF587">
        <v>1772135664</v>
      </c>
      <c r="BG587">
        <v>0.97154300000000005</v>
      </c>
      <c r="BH587" t="s">
        <v>28</v>
      </c>
      <c r="BI587">
        <v>26</v>
      </c>
      <c r="BJ587">
        <v>1772031462</v>
      </c>
      <c r="BK587">
        <v>200</v>
      </c>
      <c r="BL587">
        <v>5</v>
      </c>
      <c r="BM587">
        <v>2</v>
      </c>
      <c r="BN587">
        <v>1</v>
      </c>
      <c r="BO587">
        <v>0</v>
      </c>
      <c r="BP587">
        <v>0</v>
      </c>
      <c r="BQ587">
        <v>0.71319999999999995</v>
      </c>
      <c r="BR587">
        <v>0.71319999999999995</v>
      </c>
    </row>
    <row r="588" spans="49:70">
      <c r="AW588">
        <v>27</v>
      </c>
      <c r="AX588">
        <v>49.112150999999997</v>
      </c>
      <c r="AY588">
        <v>16.606838</v>
      </c>
      <c r="AZ588">
        <v>1</v>
      </c>
      <c r="BA588">
        <v>324</v>
      </c>
      <c r="BB588">
        <v>324</v>
      </c>
      <c r="BC588">
        <v>1</v>
      </c>
      <c r="BD588" t="s">
        <v>1357</v>
      </c>
      <c r="BE588">
        <v>1772031467</v>
      </c>
      <c r="BF588">
        <v>1772135664</v>
      </c>
      <c r="BG588">
        <v>0.97154300000000005</v>
      </c>
      <c r="BH588" t="s">
        <v>28</v>
      </c>
      <c r="BI588">
        <v>26</v>
      </c>
      <c r="BJ588">
        <v>1772031467</v>
      </c>
      <c r="BK588">
        <v>200</v>
      </c>
      <c r="BL588">
        <v>5</v>
      </c>
      <c r="BM588">
        <v>2</v>
      </c>
      <c r="BN588">
        <v>1</v>
      </c>
      <c r="BO588">
        <v>0</v>
      </c>
      <c r="BP588">
        <v>0</v>
      </c>
      <c r="BQ588">
        <v>0.79410000000000003</v>
      </c>
      <c r="BR588">
        <v>0.79410000000000003</v>
      </c>
    </row>
    <row r="589" spans="49:70">
      <c r="AW589">
        <v>27</v>
      </c>
      <c r="AX589">
        <v>49.112675000000003</v>
      </c>
      <c r="AY589">
        <v>16.607023999999999</v>
      </c>
      <c r="AZ589">
        <v>1</v>
      </c>
      <c r="BA589">
        <v>320</v>
      </c>
      <c r="BB589">
        <v>320</v>
      </c>
      <c r="BC589">
        <v>1</v>
      </c>
      <c r="BD589" t="s">
        <v>1357</v>
      </c>
      <c r="BE589">
        <v>1772031490</v>
      </c>
      <c r="BF589">
        <v>1772135664</v>
      </c>
      <c r="BG589">
        <v>0.97154300000000005</v>
      </c>
      <c r="BH589" t="s">
        <v>28</v>
      </c>
      <c r="BI589">
        <v>26</v>
      </c>
      <c r="BJ589">
        <v>1772031490</v>
      </c>
      <c r="BK589">
        <v>200</v>
      </c>
      <c r="BL589">
        <v>5</v>
      </c>
      <c r="BM589">
        <v>2</v>
      </c>
      <c r="BN589">
        <v>1</v>
      </c>
      <c r="BO589">
        <v>0</v>
      </c>
      <c r="BP589">
        <v>0</v>
      </c>
      <c r="BQ589">
        <v>0.7843</v>
      </c>
      <c r="BR589">
        <v>0.7843</v>
      </c>
    </row>
    <row r="590" spans="49:70">
      <c r="AW590">
        <v>27</v>
      </c>
      <c r="AX590">
        <v>48.245548999999997</v>
      </c>
      <c r="AY590">
        <v>16.370702000000001</v>
      </c>
      <c r="AZ590">
        <v>1</v>
      </c>
      <c r="BA590">
        <v>376</v>
      </c>
      <c r="BB590">
        <v>376</v>
      </c>
      <c r="BC590">
        <v>1</v>
      </c>
      <c r="BD590" t="s">
        <v>1357</v>
      </c>
      <c r="BE590">
        <v>1772038951</v>
      </c>
      <c r="BF590">
        <v>1772135664</v>
      </c>
      <c r="BG590">
        <v>0.97154300000000005</v>
      </c>
      <c r="BH590" t="s">
        <v>28</v>
      </c>
      <c r="BI590">
        <v>26</v>
      </c>
      <c r="BJ590">
        <v>1772038951</v>
      </c>
      <c r="BK590">
        <v>200</v>
      </c>
      <c r="BL590">
        <v>5</v>
      </c>
      <c r="BM590">
        <v>2</v>
      </c>
      <c r="BN590">
        <v>1</v>
      </c>
      <c r="BO590">
        <v>0</v>
      </c>
      <c r="BP590">
        <v>0</v>
      </c>
      <c r="BQ590">
        <v>0.92159999999999997</v>
      </c>
      <c r="BR590">
        <v>0.92159999999999997</v>
      </c>
    </row>
    <row r="591" spans="49:70">
      <c r="AW591">
        <v>27</v>
      </c>
      <c r="AX591">
        <v>48.24577</v>
      </c>
      <c r="AY591">
        <v>16.371005</v>
      </c>
      <c r="AZ591">
        <v>1</v>
      </c>
      <c r="BA591">
        <v>347</v>
      </c>
      <c r="BB591">
        <v>347</v>
      </c>
      <c r="BC591">
        <v>1</v>
      </c>
      <c r="BD591" t="s">
        <v>1357</v>
      </c>
      <c r="BE591">
        <v>1772038959</v>
      </c>
      <c r="BF591">
        <v>1772135664</v>
      </c>
      <c r="BG591">
        <v>0.97154300000000005</v>
      </c>
      <c r="BH591" t="s">
        <v>28</v>
      </c>
      <c r="BI591">
        <v>26</v>
      </c>
      <c r="BJ591">
        <v>1772038959</v>
      </c>
      <c r="BK591">
        <v>200</v>
      </c>
      <c r="BL591">
        <v>5</v>
      </c>
      <c r="BM591">
        <v>2</v>
      </c>
      <c r="BN591">
        <v>1</v>
      </c>
      <c r="BO591">
        <v>0</v>
      </c>
      <c r="BP591">
        <v>0</v>
      </c>
      <c r="BQ591">
        <v>0.85050000000000003</v>
      </c>
      <c r="BR591">
        <v>0.85050000000000003</v>
      </c>
    </row>
    <row r="592" spans="49:70">
      <c r="AW592">
        <v>27</v>
      </c>
      <c r="AX592">
        <v>48.246026000000001</v>
      </c>
      <c r="AY592">
        <v>16.370802000000001</v>
      </c>
      <c r="AZ592">
        <v>1</v>
      </c>
      <c r="BA592">
        <v>331</v>
      </c>
      <c r="BB592">
        <v>331</v>
      </c>
      <c r="BC592">
        <v>1</v>
      </c>
      <c r="BD592" t="s">
        <v>1357</v>
      </c>
      <c r="BE592">
        <v>1772038966</v>
      </c>
      <c r="BF592">
        <v>1772135664</v>
      </c>
      <c r="BG592">
        <v>0.97154300000000005</v>
      </c>
      <c r="BH592" t="s">
        <v>28</v>
      </c>
      <c r="BI592">
        <v>26</v>
      </c>
      <c r="BJ592">
        <v>1772038966</v>
      </c>
      <c r="BK592">
        <v>200</v>
      </c>
      <c r="BL592">
        <v>5</v>
      </c>
      <c r="BM592">
        <v>2</v>
      </c>
      <c r="BN592">
        <v>1</v>
      </c>
      <c r="BO592">
        <v>0</v>
      </c>
      <c r="BP592">
        <v>0</v>
      </c>
      <c r="BQ592">
        <v>0.81130000000000002</v>
      </c>
      <c r="BR592">
        <v>0.81130000000000002</v>
      </c>
    </row>
    <row r="593" spans="49:70">
      <c r="AW593">
        <v>27</v>
      </c>
      <c r="AX593">
        <v>48.246139999999997</v>
      </c>
      <c r="AY593">
        <v>16.370429999999999</v>
      </c>
      <c r="AZ593">
        <v>1</v>
      </c>
      <c r="BA593">
        <v>291</v>
      </c>
      <c r="BB593">
        <v>291</v>
      </c>
      <c r="BC593">
        <v>1</v>
      </c>
      <c r="BD593" t="s">
        <v>1357</v>
      </c>
      <c r="BE593">
        <v>1772038972</v>
      </c>
      <c r="BF593">
        <v>1772135664</v>
      </c>
      <c r="BG593">
        <v>0.97154300000000005</v>
      </c>
      <c r="BH593" t="s">
        <v>28</v>
      </c>
      <c r="BI593">
        <v>26</v>
      </c>
      <c r="BJ593">
        <v>1772038972</v>
      </c>
      <c r="BK593">
        <v>200</v>
      </c>
      <c r="BL593">
        <v>5</v>
      </c>
      <c r="BM593">
        <v>2</v>
      </c>
      <c r="BN593">
        <v>1</v>
      </c>
      <c r="BO593">
        <v>0</v>
      </c>
      <c r="BP593">
        <v>0</v>
      </c>
      <c r="BQ593">
        <v>0.71319999999999995</v>
      </c>
      <c r="BR593">
        <v>0.71319999999999995</v>
      </c>
    </row>
    <row r="594" spans="49:70">
      <c r="AW594">
        <v>27</v>
      </c>
      <c r="AX594">
        <v>48.245804999999997</v>
      </c>
      <c r="AY594">
        <v>16.370550999999999</v>
      </c>
      <c r="AZ594">
        <v>1</v>
      </c>
      <c r="BA594">
        <v>308</v>
      </c>
      <c r="BB594">
        <v>308</v>
      </c>
      <c r="BC594">
        <v>1</v>
      </c>
      <c r="BD594" t="s">
        <v>1357</v>
      </c>
      <c r="BE594">
        <v>1772038979</v>
      </c>
      <c r="BF594">
        <v>1772135664</v>
      </c>
      <c r="BG594">
        <v>0.97154300000000005</v>
      </c>
      <c r="BH594" t="s">
        <v>28</v>
      </c>
      <c r="BI594">
        <v>26</v>
      </c>
      <c r="BJ594">
        <v>1772038979</v>
      </c>
      <c r="BK594">
        <v>200</v>
      </c>
      <c r="BL594">
        <v>5</v>
      </c>
      <c r="BM594">
        <v>2</v>
      </c>
      <c r="BN594">
        <v>1</v>
      </c>
      <c r="BO594">
        <v>0</v>
      </c>
      <c r="BP594">
        <v>0</v>
      </c>
      <c r="BQ594">
        <v>0.75490000000000002</v>
      </c>
      <c r="BR594">
        <v>0.75490000000000002</v>
      </c>
    </row>
    <row r="595" spans="49:70">
      <c r="AW595">
        <v>27</v>
      </c>
      <c r="AX595">
        <v>48.245210999999998</v>
      </c>
      <c r="AY595">
        <v>16.370425000000001</v>
      </c>
      <c r="AZ595">
        <v>1</v>
      </c>
      <c r="BA595">
        <v>336</v>
      </c>
      <c r="BB595">
        <v>336</v>
      </c>
      <c r="BC595">
        <v>1</v>
      </c>
      <c r="BD595" t="s">
        <v>1357</v>
      </c>
      <c r="BE595">
        <v>1772041598</v>
      </c>
      <c r="BF595">
        <v>1772135664</v>
      </c>
      <c r="BG595">
        <v>0.97154300000000005</v>
      </c>
      <c r="BH595" t="s">
        <v>28</v>
      </c>
      <c r="BI595">
        <v>26</v>
      </c>
      <c r="BJ595">
        <v>1772041598</v>
      </c>
      <c r="BK595">
        <v>200</v>
      </c>
      <c r="BL595">
        <v>5</v>
      </c>
      <c r="BM595">
        <v>2</v>
      </c>
      <c r="BN595">
        <v>1</v>
      </c>
      <c r="BO595">
        <v>0</v>
      </c>
      <c r="BP595">
        <v>0</v>
      </c>
      <c r="BQ595">
        <v>0.82350000000000001</v>
      </c>
      <c r="BR595">
        <v>0.82350000000000001</v>
      </c>
    </row>
    <row r="596" spans="49:70">
      <c r="AW596">
        <v>50</v>
      </c>
      <c r="AX596">
        <v>50.025846999999999</v>
      </c>
      <c r="AY596">
        <v>14.459142999999999</v>
      </c>
      <c r="AZ596">
        <v>1</v>
      </c>
      <c r="BA596">
        <v>217</v>
      </c>
      <c r="BB596">
        <v>217</v>
      </c>
      <c r="BC596">
        <v>1</v>
      </c>
      <c r="BD596" t="s">
        <v>1379</v>
      </c>
      <c r="BE596">
        <v>1771940398</v>
      </c>
      <c r="BF596">
        <v>1772135664</v>
      </c>
      <c r="BG596">
        <v>0.97154300000000005</v>
      </c>
      <c r="BH596" t="s">
        <v>31</v>
      </c>
      <c r="BI596">
        <v>49</v>
      </c>
      <c r="BJ596">
        <v>1771940398</v>
      </c>
      <c r="BK596">
        <v>200</v>
      </c>
      <c r="BL596">
        <v>5</v>
      </c>
      <c r="BM596">
        <v>2</v>
      </c>
      <c r="BN596">
        <v>1</v>
      </c>
      <c r="BO596">
        <v>0</v>
      </c>
      <c r="BP596">
        <v>0</v>
      </c>
      <c r="BQ596">
        <v>0.77359999999999995</v>
      </c>
      <c r="BR596">
        <v>0.77359999999999995</v>
      </c>
    </row>
    <row r="597" spans="49:70">
      <c r="AW597">
        <v>50</v>
      </c>
      <c r="AX597">
        <v>50.026023000000002</v>
      </c>
      <c r="AY597">
        <v>14.458449</v>
      </c>
      <c r="AZ597">
        <v>1</v>
      </c>
      <c r="BA597">
        <v>236</v>
      </c>
      <c r="BB597">
        <v>236</v>
      </c>
      <c r="BC597">
        <v>1</v>
      </c>
      <c r="BD597" t="s">
        <v>1379</v>
      </c>
      <c r="BE597">
        <v>1771940401</v>
      </c>
      <c r="BF597">
        <v>1772135664</v>
      </c>
      <c r="BG597">
        <v>0.97154300000000005</v>
      </c>
      <c r="BH597" t="s">
        <v>31</v>
      </c>
      <c r="BI597">
        <v>49</v>
      </c>
      <c r="BJ597">
        <v>1771940401</v>
      </c>
      <c r="BK597">
        <v>200</v>
      </c>
      <c r="BL597">
        <v>5</v>
      </c>
      <c r="BM597">
        <v>2</v>
      </c>
      <c r="BN597">
        <v>1</v>
      </c>
      <c r="BO597">
        <v>0</v>
      </c>
      <c r="BP597">
        <v>0</v>
      </c>
      <c r="BQ597">
        <v>0.84140000000000004</v>
      </c>
      <c r="BR597">
        <v>0.84140000000000004</v>
      </c>
    </row>
    <row r="598" spans="49:70">
      <c r="AW598">
        <v>50</v>
      </c>
      <c r="AX598">
        <v>50.026871</v>
      </c>
      <c r="AY598">
        <v>14.458669</v>
      </c>
      <c r="AZ598">
        <v>1</v>
      </c>
      <c r="BA598">
        <v>255</v>
      </c>
      <c r="BB598">
        <v>255</v>
      </c>
      <c r="BC598">
        <v>1</v>
      </c>
      <c r="BD598" t="s">
        <v>1379</v>
      </c>
      <c r="BE598">
        <v>1771973421</v>
      </c>
      <c r="BF598">
        <v>1772135664</v>
      </c>
      <c r="BG598">
        <v>0.97154300000000005</v>
      </c>
      <c r="BH598" t="s">
        <v>31</v>
      </c>
      <c r="BI598">
        <v>49</v>
      </c>
      <c r="BJ598">
        <v>1771973421</v>
      </c>
      <c r="BK598">
        <v>200</v>
      </c>
      <c r="BL598">
        <v>5</v>
      </c>
      <c r="BM598">
        <v>2</v>
      </c>
      <c r="BN598">
        <v>1</v>
      </c>
      <c r="BO598">
        <v>0</v>
      </c>
      <c r="BP598">
        <v>0</v>
      </c>
      <c r="BQ598">
        <v>0.90910000000000002</v>
      </c>
      <c r="BR598">
        <v>0.90910000000000002</v>
      </c>
    </row>
    <row r="599" spans="49:70">
      <c r="AW599">
        <v>50</v>
      </c>
      <c r="AX599">
        <v>50.026649999999997</v>
      </c>
      <c r="AY599">
        <v>14.458957</v>
      </c>
      <c r="AZ599">
        <v>1</v>
      </c>
      <c r="BA599">
        <v>243</v>
      </c>
      <c r="BB599">
        <v>243</v>
      </c>
      <c r="BC599">
        <v>1</v>
      </c>
      <c r="BD599" t="s">
        <v>1379</v>
      </c>
      <c r="BE599">
        <v>1771973427</v>
      </c>
      <c r="BF599">
        <v>1772135664</v>
      </c>
      <c r="BG599">
        <v>0.97154300000000005</v>
      </c>
      <c r="BH599" t="s">
        <v>31</v>
      </c>
      <c r="BI599">
        <v>49</v>
      </c>
      <c r="BJ599">
        <v>1771973427</v>
      </c>
      <c r="BK599">
        <v>200</v>
      </c>
      <c r="BL599">
        <v>5</v>
      </c>
      <c r="BM599">
        <v>2</v>
      </c>
      <c r="BN599">
        <v>1</v>
      </c>
      <c r="BO599">
        <v>0</v>
      </c>
      <c r="BP599">
        <v>0</v>
      </c>
      <c r="BQ599">
        <v>0.86629999999999996</v>
      </c>
      <c r="BR599">
        <v>0.86629999999999996</v>
      </c>
    </row>
    <row r="600" spans="49:70">
      <c r="AW600">
        <v>50</v>
      </c>
      <c r="AX600">
        <v>48.228546999999999</v>
      </c>
      <c r="AY600">
        <v>16.373519000000002</v>
      </c>
      <c r="AZ600">
        <v>1</v>
      </c>
      <c r="BA600">
        <v>236</v>
      </c>
      <c r="BB600">
        <v>236</v>
      </c>
      <c r="BC600">
        <v>1</v>
      </c>
      <c r="BD600" t="s">
        <v>1379</v>
      </c>
      <c r="BE600">
        <v>1772115366</v>
      </c>
      <c r="BF600">
        <v>1772135664</v>
      </c>
      <c r="BG600">
        <v>0.97154300000000005</v>
      </c>
      <c r="BH600" t="s">
        <v>31</v>
      </c>
      <c r="BI600">
        <v>49</v>
      </c>
      <c r="BJ600">
        <v>1772115366</v>
      </c>
      <c r="BK600">
        <v>200</v>
      </c>
      <c r="BL600">
        <v>5</v>
      </c>
      <c r="BM600">
        <v>2</v>
      </c>
      <c r="BN600">
        <v>1</v>
      </c>
      <c r="BO600">
        <v>0</v>
      </c>
      <c r="BP600">
        <v>0</v>
      </c>
      <c r="BQ600">
        <v>0.84140000000000004</v>
      </c>
      <c r="BR600">
        <v>0.84140000000000004</v>
      </c>
    </row>
    <row r="601" spans="49:70">
      <c r="AW601">
        <v>54</v>
      </c>
      <c r="AX601">
        <v>48.486012000000002</v>
      </c>
      <c r="AY601">
        <v>16.576955999999999</v>
      </c>
      <c r="AZ601">
        <v>1</v>
      </c>
      <c r="BA601">
        <v>507</v>
      </c>
      <c r="BB601">
        <v>507</v>
      </c>
      <c r="BC601">
        <v>1</v>
      </c>
      <c r="BD601" t="s">
        <v>1383</v>
      </c>
      <c r="BE601">
        <v>1771763907</v>
      </c>
      <c r="BF601">
        <v>1772135664</v>
      </c>
      <c r="BG601">
        <v>0.97154300000000005</v>
      </c>
      <c r="BH601" t="s">
        <v>27</v>
      </c>
      <c r="BI601">
        <v>53</v>
      </c>
      <c r="BJ601">
        <v>1771763907</v>
      </c>
      <c r="BK601">
        <v>200</v>
      </c>
      <c r="BL601">
        <v>5</v>
      </c>
      <c r="BM601">
        <v>2</v>
      </c>
      <c r="BN601">
        <v>1</v>
      </c>
      <c r="BO601">
        <v>0</v>
      </c>
      <c r="BP601">
        <v>0</v>
      </c>
      <c r="BQ601">
        <v>0.66269999999999996</v>
      </c>
      <c r="BR601">
        <v>0.66269999999999996</v>
      </c>
    </row>
    <row r="602" spans="49:70">
      <c r="AW602">
        <v>54</v>
      </c>
      <c r="AX602">
        <v>50.023142</v>
      </c>
      <c r="AY602">
        <v>14.458363</v>
      </c>
      <c r="AZ602">
        <v>2.8</v>
      </c>
      <c r="BA602">
        <v>1696.8</v>
      </c>
      <c r="BB602">
        <v>606</v>
      </c>
      <c r="BC602">
        <v>1</v>
      </c>
      <c r="BD602" t="s">
        <v>1383</v>
      </c>
      <c r="BE602">
        <v>1771863987</v>
      </c>
      <c r="BF602">
        <v>1772135664</v>
      </c>
      <c r="BG602">
        <v>0.97154300000000005</v>
      </c>
      <c r="BH602" t="s">
        <v>27</v>
      </c>
      <c r="BI602">
        <v>53</v>
      </c>
      <c r="BJ602">
        <v>1771863987</v>
      </c>
      <c r="BK602">
        <v>200</v>
      </c>
      <c r="BL602">
        <v>5</v>
      </c>
      <c r="BM602">
        <v>2</v>
      </c>
      <c r="BN602">
        <v>1</v>
      </c>
      <c r="BO602">
        <v>0</v>
      </c>
      <c r="BP602">
        <v>0</v>
      </c>
      <c r="BQ602">
        <v>0.79220000000000002</v>
      </c>
      <c r="BR602">
        <v>0.79220000000000002</v>
      </c>
    </row>
    <row r="603" spans="49:70">
      <c r="AW603">
        <v>54</v>
      </c>
      <c r="AX603">
        <v>50.073248</v>
      </c>
      <c r="AY603">
        <v>14.433555999999999</v>
      </c>
      <c r="AZ603">
        <v>1</v>
      </c>
      <c r="BA603">
        <v>561</v>
      </c>
      <c r="BB603">
        <v>561</v>
      </c>
      <c r="BC603">
        <v>1</v>
      </c>
      <c r="BD603" t="s">
        <v>1383</v>
      </c>
      <c r="BE603">
        <v>1771869976</v>
      </c>
      <c r="BF603">
        <v>1772135664</v>
      </c>
      <c r="BG603">
        <v>0.97154300000000005</v>
      </c>
      <c r="BH603" t="s">
        <v>27</v>
      </c>
      <c r="BI603">
        <v>53</v>
      </c>
      <c r="BJ603">
        <v>1771869976</v>
      </c>
      <c r="BK603">
        <v>200</v>
      </c>
      <c r="BL603">
        <v>5</v>
      </c>
      <c r="BM603">
        <v>2</v>
      </c>
      <c r="BN603">
        <v>1</v>
      </c>
      <c r="BO603">
        <v>0</v>
      </c>
      <c r="BP603">
        <v>0</v>
      </c>
      <c r="BQ603">
        <v>0.73329999999999995</v>
      </c>
      <c r="BR603">
        <v>0.73329999999999995</v>
      </c>
    </row>
    <row r="604" spans="49:70">
      <c r="AW604">
        <v>54</v>
      </c>
      <c r="AX604">
        <v>50.071475</v>
      </c>
      <c r="AY604">
        <v>14.429672</v>
      </c>
      <c r="AZ604">
        <v>1</v>
      </c>
      <c r="BA604">
        <v>507</v>
      </c>
      <c r="BB604">
        <v>507</v>
      </c>
      <c r="BC604">
        <v>1</v>
      </c>
      <c r="BD604" t="s">
        <v>1383</v>
      </c>
      <c r="BE604">
        <v>1771892877</v>
      </c>
      <c r="BF604">
        <v>1772135664</v>
      </c>
      <c r="BG604">
        <v>0.97154300000000005</v>
      </c>
      <c r="BH604" t="s">
        <v>27</v>
      </c>
      <c r="BI604">
        <v>53</v>
      </c>
      <c r="BJ604">
        <v>1771892877</v>
      </c>
      <c r="BK604">
        <v>200</v>
      </c>
      <c r="BL604">
        <v>5</v>
      </c>
      <c r="BM604">
        <v>2</v>
      </c>
      <c r="BN604">
        <v>1</v>
      </c>
      <c r="BO604">
        <v>0</v>
      </c>
      <c r="BP604">
        <v>0</v>
      </c>
      <c r="BQ604">
        <v>0.66269999999999996</v>
      </c>
      <c r="BR604">
        <v>0.66269999999999996</v>
      </c>
    </row>
    <row r="605" spans="49:70">
      <c r="AW605">
        <v>54</v>
      </c>
      <c r="AX605">
        <v>50.022722000000002</v>
      </c>
      <c r="AY605">
        <v>14.457611999999999</v>
      </c>
      <c r="AZ605">
        <v>2.8</v>
      </c>
      <c r="BA605">
        <v>1915.2</v>
      </c>
      <c r="BB605">
        <v>684</v>
      </c>
      <c r="BC605">
        <v>1</v>
      </c>
      <c r="BD605" t="s">
        <v>1383</v>
      </c>
      <c r="BE605">
        <v>1771894834</v>
      </c>
      <c r="BF605">
        <v>1772135664</v>
      </c>
      <c r="BG605">
        <v>0.97154300000000005</v>
      </c>
      <c r="BH605" t="s">
        <v>27</v>
      </c>
      <c r="BI605">
        <v>53</v>
      </c>
      <c r="BJ605">
        <v>1771894834</v>
      </c>
      <c r="BK605">
        <v>200</v>
      </c>
      <c r="BL605">
        <v>5</v>
      </c>
      <c r="BM605">
        <v>2</v>
      </c>
      <c r="BN605">
        <v>1</v>
      </c>
      <c r="BO605">
        <v>0</v>
      </c>
      <c r="BP605">
        <v>0</v>
      </c>
      <c r="BQ605">
        <v>0.89410000000000001</v>
      </c>
      <c r="BR605">
        <v>0.89410000000000001</v>
      </c>
    </row>
    <row r="606" spans="49:70">
      <c r="AW606">
        <v>54</v>
      </c>
      <c r="AX606">
        <v>50.022995999999999</v>
      </c>
      <c r="AY606">
        <v>14.45758</v>
      </c>
      <c r="AZ606">
        <v>2.8</v>
      </c>
      <c r="BA606">
        <v>1755.6</v>
      </c>
      <c r="BB606">
        <v>627</v>
      </c>
      <c r="BC606">
        <v>1</v>
      </c>
      <c r="BD606" t="s">
        <v>1383</v>
      </c>
      <c r="BE606">
        <v>1771894843</v>
      </c>
      <c r="BF606">
        <v>1772135664</v>
      </c>
      <c r="BG606">
        <v>0.97154300000000005</v>
      </c>
      <c r="BH606" t="s">
        <v>27</v>
      </c>
      <c r="BI606">
        <v>53</v>
      </c>
      <c r="BJ606">
        <v>1771894843</v>
      </c>
      <c r="BK606">
        <v>200</v>
      </c>
      <c r="BL606">
        <v>5</v>
      </c>
      <c r="BM606">
        <v>2</v>
      </c>
      <c r="BN606">
        <v>1</v>
      </c>
      <c r="BO606">
        <v>0</v>
      </c>
      <c r="BP606">
        <v>0</v>
      </c>
      <c r="BQ606">
        <v>0.8196</v>
      </c>
      <c r="BR606">
        <v>0.8196</v>
      </c>
    </row>
    <row r="607" spans="49:70">
      <c r="AW607">
        <v>54</v>
      </c>
      <c r="AX607">
        <v>50.022452999999999</v>
      </c>
      <c r="AY607">
        <v>14.457680999999999</v>
      </c>
      <c r="AZ607">
        <v>2.8</v>
      </c>
      <c r="BA607">
        <v>1663.2</v>
      </c>
      <c r="BB607">
        <v>594</v>
      </c>
      <c r="BC607">
        <v>1</v>
      </c>
      <c r="BD607" t="s">
        <v>1383</v>
      </c>
      <c r="BE607">
        <v>1771894879</v>
      </c>
      <c r="BF607">
        <v>1772135664</v>
      </c>
      <c r="BG607">
        <v>0.97154300000000005</v>
      </c>
      <c r="BH607" t="s">
        <v>27</v>
      </c>
      <c r="BI607">
        <v>53</v>
      </c>
      <c r="BJ607">
        <v>1771894879</v>
      </c>
      <c r="BK607">
        <v>200</v>
      </c>
      <c r="BL607">
        <v>5</v>
      </c>
      <c r="BM607">
        <v>2</v>
      </c>
      <c r="BN607">
        <v>1</v>
      </c>
      <c r="BO607">
        <v>0</v>
      </c>
      <c r="BP607">
        <v>0</v>
      </c>
      <c r="BQ607">
        <v>0.77649999999999997</v>
      </c>
      <c r="BR607">
        <v>0.77649999999999997</v>
      </c>
    </row>
    <row r="608" spans="49:70">
      <c r="AW608">
        <v>54</v>
      </c>
      <c r="AX608">
        <v>50.023145999999997</v>
      </c>
      <c r="AY608">
        <v>14.457929999999999</v>
      </c>
      <c r="AZ608">
        <v>2.8</v>
      </c>
      <c r="BA608">
        <v>2100</v>
      </c>
      <c r="BB608">
        <v>750</v>
      </c>
      <c r="BC608">
        <v>1</v>
      </c>
      <c r="BD608" t="s">
        <v>1383</v>
      </c>
      <c r="BE608">
        <v>1771894888</v>
      </c>
      <c r="BF608">
        <v>1772135664</v>
      </c>
      <c r="BG608">
        <v>0.97154300000000005</v>
      </c>
      <c r="BH608" t="s">
        <v>27</v>
      </c>
      <c r="BI608">
        <v>53</v>
      </c>
      <c r="BJ608">
        <v>1771894888</v>
      </c>
      <c r="BK608">
        <v>200</v>
      </c>
      <c r="BL608">
        <v>5</v>
      </c>
      <c r="BM608">
        <v>2</v>
      </c>
      <c r="BN608">
        <v>1</v>
      </c>
      <c r="BO608">
        <v>0</v>
      </c>
      <c r="BP608">
        <v>0</v>
      </c>
      <c r="BQ608">
        <v>0.98040000000000005</v>
      </c>
      <c r="BR608">
        <v>0.98040000000000005</v>
      </c>
    </row>
    <row r="609" spans="49:70">
      <c r="AW609">
        <v>54</v>
      </c>
      <c r="AX609">
        <v>50.023273000000003</v>
      </c>
      <c r="AY609">
        <v>14.457545</v>
      </c>
      <c r="AZ609">
        <v>2.8</v>
      </c>
      <c r="BA609">
        <v>1848</v>
      </c>
      <c r="BB609">
        <v>660</v>
      </c>
      <c r="BC609">
        <v>1</v>
      </c>
      <c r="BD609" t="s">
        <v>1383</v>
      </c>
      <c r="BE609">
        <v>1771894905</v>
      </c>
      <c r="BF609">
        <v>1772135664</v>
      </c>
      <c r="BG609">
        <v>0.97154300000000005</v>
      </c>
      <c r="BH609" t="s">
        <v>27</v>
      </c>
      <c r="BI609">
        <v>53</v>
      </c>
      <c r="BJ609">
        <v>1771894905</v>
      </c>
      <c r="BK609">
        <v>200</v>
      </c>
      <c r="BL609">
        <v>5</v>
      </c>
      <c r="BM609">
        <v>2</v>
      </c>
      <c r="BN609">
        <v>1</v>
      </c>
      <c r="BO609">
        <v>0</v>
      </c>
      <c r="BP609">
        <v>0</v>
      </c>
      <c r="BQ609">
        <v>0.86270000000000002</v>
      </c>
      <c r="BR609">
        <v>0.86270000000000002</v>
      </c>
    </row>
    <row r="610" spans="49:70">
      <c r="AW610">
        <v>54</v>
      </c>
      <c r="AX610">
        <v>50.022871000000002</v>
      </c>
      <c r="AY610">
        <v>14.458373999999999</v>
      </c>
      <c r="AZ610">
        <v>2.8</v>
      </c>
      <c r="BA610">
        <v>1722</v>
      </c>
      <c r="BB610">
        <v>615</v>
      </c>
      <c r="BC610">
        <v>1</v>
      </c>
      <c r="BD610" t="s">
        <v>1383</v>
      </c>
      <c r="BE610">
        <v>1771894930</v>
      </c>
      <c r="BF610">
        <v>1772135664</v>
      </c>
      <c r="BG610">
        <v>0.97154300000000005</v>
      </c>
      <c r="BH610" t="s">
        <v>27</v>
      </c>
      <c r="BI610">
        <v>53</v>
      </c>
      <c r="BJ610">
        <v>1771894930</v>
      </c>
      <c r="BK610">
        <v>200</v>
      </c>
      <c r="BL610">
        <v>5</v>
      </c>
      <c r="BM610">
        <v>2</v>
      </c>
      <c r="BN610">
        <v>1</v>
      </c>
      <c r="BO610">
        <v>0</v>
      </c>
      <c r="BP610">
        <v>0</v>
      </c>
      <c r="BQ610">
        <v>0.80389999999999995</v>
      </c>
      <c r="BR610">
        <v>0.80389999999999995</v>
      </c>
    </row>
    <row r="611" spans="49:70">
      <c r="AW611">
        <v>54</v>
      </c>
      <c r="AX611">
        <v>50.023420000000002</v>
      </c>
      <c r="AY611">
        <v>14.457908</v>
      </c>
      <c r="AZ611">
        <v>2.8</v>
      </c>
      <c r="BA611">
        <v>1848</v>
      </c>
      <c r="BB611">
        <v>660</v>
      </c>
      <c r="BC611">
        <v>1</v>
      </c>
      <c r="BD611" t="s">
        <v>1383</v>
      </c>
      <c r="BE611">
        <v>1771895013</v>
      </c>
      <c r="BF611">
        <v>1772135664</v>
      </c>
      <c r="BG611">
        <v>0.97154300000000005</v>
      </c>
      <c r="BH611" t="s">
        <v>27</v>
      </c>
      <c r="BI611">
        <v>53</v>
      </c>
      <c r="BJ611">
        <v>1771895013</v>
      </c>
      <c r="BK611">
        <v>200</v>
      </c>
      <c r="BL611">
        <v>5</v>
      </c>
      <c r="BM611">
        <v>2</v>
      </c>
      <c r="BN611">
        <v>1</v>
      </c>
      <c r="BO611">
        <v>0</v>
      </c>
      <c r="BP611">
        <v>0</v>
      </c>
      <c r="BQ611">
        <v>0.86270000000000002</v>
      </c>
      <c r="BR611">
        <v>0.86270000000000002</v>
      </c>
    </row>
    <row r="612" spans="49:70">
      <c r="AW612">
        <v>54</v>
      </c>
      <c r="AX612">
        <v>50.023412</v>
      </c>
      <c r="AY612">
        <v>14.458323</v>
      </c>
      <c r="AZ612">
        <v>2.8</v>
      </c>
      <c r="BA612">
        <v>1755.6</v>
      </c>
      <c r="BB612">
        <v>627</v>
      </c>
      <c r="BC612">
        <v>1</v>
      </c>
      <c r="BD612" t="s">
        <v>1383</v>
      </c>
      <c r="BE612">
        <v>1771895020</v>
      </c>
      <c r="BF612">
        <v>1772135664</v>
      </c>
      <c r="BG612">
        <v>0.97154300000000005</v>
      </c>
      <c r="BH612" t="s">
        <v>27</v>
      </c>
      <c r="BI612">
        <v>53</v>
      </c>
      <c r="BJ612">
        <v>1771895020</v>
      </c>
      <c r="BK612">
        <v>200</v>
      </c>
      <c r="BL612">
        <v>5</v>
      </c>
      <c r="BM612">
        <v>2</v>
      </c>
      <c r="BN612">
        <v>1</v>
      </c>
      <c r="BO612">
        <v>0</v>
      </c>
      <c r="BP612">
        <v>0</v>
      </c>
      <c r="BQ612">
        <v>0.8196</v>
      </c>
      <c r="BR612">
        <v>0.8196</v>
      </c>
    </row>
    <row r="613" spans="49:70">
      <c r="AW613">
        <v>54</v>
      </c>
      <c r="AX613">
        <v>50.092885000000003</v>
      </c>
      <c r="AY613">
        <v>14.386365</v>
      </c>
      <c r="AZ613">
        <v>1</v>
      </c>
      <c r="BA613">
        <v>717</v>
      </c>
      <c r="BB613">
        <v>717</v>
      </c>
      <c r="BC613">
        <v>1</v>
      </c>
      <c r="BD613" t="s">
        <v>1383</v>
      </c>
      <c r="BE613">
        <v>1771970748</v>
      </c>
      <c r="BF613">
        <v>1772135664</v>
      </c>
      <c r="BG613">
        <v>0.97154300000000005</v>
      </c>
      <c r="BH613" t="s">
        <v>27</v>
      </c>
      <c r="BI613">
        <v>53</v>
      </c>
      <c r="BJ613">
        <v>1771970748</v>
      </c>
      <c r="BK613">
        <v>200</v>
      </c>
      <c r="BL613">
        <v>5</v>
      </c>
      <c r="BM613">
        <v>2</v>
      </c>
      <c r="BN613">
        <v>1</v>
      </c>
      <c r="BO613">
        <v>0</v>
      </c>
      <c r="BP613">
        <v>0</v>
      </c>
      <c r="BQ613">
        <v>0.93730000000000002</v>
      </c>
      <c r="BR613">
        <v>0.93730000000000002</v>
      </c>
    </row>
    <row r="614" spans="49:70">
      <c r="AW614">
        <v>89</v>
      </c>
      <c r="AX614">
        <v>50.032615</v>
      </c>
      <c r="AY614">
        <v>14.454693000000001</v>
      </c>
      <c r="AZ614">
        <v>1</v>
      </c>
      <c r="BA614">
        <v>1792</v>
      </c>
      <c r="BB614">
        <v>1792</v>
      </c>
      <c r="BC614">
        <v>1</v>
      </c>
      <c r="BD614" t="s">
        <v>1414</v>
      </c>
      <c r="BE614">
        <v>1771868743</v>
      </c>
      <c r="BF614">
        <v>1772135664</v>
      </c>
      <c r="BG614">
        <v>0.97154300000000005</v>
      </c>
      <c r="BH614" t="s">
        <v>30</v>
      </c>
      <c r="BI614">
        <v>90</v>
      </c>
      <c r="BJ614">
        <v>1771868743</v>
      </c>
      <c r="BK614">
        <v>200</v>
      </c>
      <c r="BL614">
        <v>5</v>
      </c>
      <c r="BM614">
        <v>2</v>
      </c>
      <c r="BN614">
        <v>1</v>
      </c>
      <c r="BO614">
        <v>0</v>
      </c>
      <c r="BP614">
        <v>0</v>
      </c>
      <c r="BQ614">
        <v>0.87839999999999996</v>
      </c>
      <c r="BR614">
        <v>0.87839999999999996</v>
      </c>
    </row>
    <row r="615" spans="49:70">
      <c r="AW615">
        <v>89</v>
      </c>
      <c r="AX615">
        <v>50.082211999999998</v>
      </c>
      <c r="AY615">
        <v>14.435547</v>
      </c>
      <c r="AZ615">
        <v>1</v>
      </c>
      <c r="BA615">
        <v>1576</v>
      </c>
      <c r="BB615">
        <v>1576</v>
      </c>
      <c r="BC615">
        <v>1</v>
      </c>
      <c r="BD615" t="s">
        <v>1414</v>
      </c>
      <c r="BE615">
        <v>1772020197</v>
      </c>
      <c r="BF615">
        <v>1772135664</v>
      </c>
      <c r="BG615">
        <v>0.97154300000000005</v>
      </c>
      <c r="BH615" t="s">
        <v>30</v>
      </c>
      <c r="BI615">
        <v>90</v>
      </c>
      <c r="BJ615">
        <v>1772020197</v>
      </c>
      <c r="BK615">
        <v>200</v>
      </c>
      <c r="BL615">
        <v>5</v>
      </c>
      <c r="BM615">
        <v>2</v>
      </c>
      <c r="BN615">
        <v>1</v>
      </c>
      <c r="BO615">
        <v>0</v>
      </c>
      <c r="BP615">
        <v>0</v>
      </c>
      <c r="BQ615">
        <v>0.77249999999999996</v>
      </c>
      <c r="BR615">
        <v>0.77249999999999996</v>
      </c>
    </row>
  </sheetData>
  <hyperlinks>
    <hyperlink ref="Q2" r:id="rId1" xr:uid="{D0149C54-23CF-42FF-A4A1-2AC05958F79E}"/>
    <hyperlink ref="AG8" r:id="rId2" xr:uid="{92F55FD0-1A1C-491A-BC4D-811D56671121}"/>
  </hyperlinks>
  <pageMargins left="0.7" right="0.7" top="0.78740157499999996" bottom="0.78740157499999996" header="0.3" footer="0.3"/>
  <tableParts count="8">
    <tablePart r:id="rId3"/>
    <tablePart r:id="rId4"/>
    <tablePart r:id="rId5"/>
    <tablePart r:id="rId6"/>
    <tablePart r:id="rId7"/>
    <tablePart r:id="rId8"/>
    <tablePart r:id="rId9"/>
    <tablePart r:id="rId1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C4E56-452D-4D8D-877B-C4A2D646DB73}">
  <dimension ref="B1:M34"/>
  <sheetViews>
    <sheetView workbookViewId="0">
      <selection activeCell="B34" sqref="B34"/>
    </sheetView>
  </sheetViews>
  <sheetFormatPr defaultRowHeight="13.2"/>
  <cols>
    <col min="4" max="4" width="18.5546875" customWidth="1"/>
    <col min="5" max="5" width="13" customWidth="1"/>
    <col min="6" max="6" width="13.21875" customWidth="1"/>
    <col min="7" max="7" width="16.44140625" customWidth="1"/>
    <col min="10" max="10" width="19.77734375" customWidth="1"/>
    <col min="11" max="11" width="14.6640625" customWidth="1"/>
    <col min="12" max="12" width="14.77734375" customWidth="1"/>
    <col min="13" max="13" width="10.44140625" customWidth="1"/>
  </cols>
  <sheetData>
    <row r="1" spans="2:13">
      <c r="B1" s="168" t="s">
        <v>11</v>
      </c>
      <c r="C1" s="168" t="s">
        <v>100</v>
      </c>
      <c r="D1" s="168" t="s">
        <v>1542</v>
      </c>
      <c r="E1" s="168" t="s">
        <v>1543</v>
      </c>
      <c r="F1" s="168" t="s">
        <v>1544</v>
      </c>
      <c r="G1" s="168" t="s">
        <v>1546</v>
      </c>
      <c r="K1" s="168" t="s">
        <v>1552</v>
      </c>
      <c r="L1" s="168" t="s">
        <v>1553</v>
      </c>
      <c r="M1" s="168" t="s">
        <v>1554</v>
      </c>
    </row>
    <row r="2" spans="2:13">
      <c r="B2" t="s">
        <v>1528</v>
      </c>
      <c r="C2">
        <v>2</v>
      </c>
      <c r="D2">
        <v>96</v>
      </c>
      <c r="E2">
        <v>510</v>
      </c>
      <c r="F2">
        <v>253470</v>
      </c>
      <c r="G2" s="163">
        <v>1000000</v>
      </c>
      <c r="J2" s="168"/>
      <c r="K2">
        <v>1</v>
      </c>
      <c r="L2">
        <v>1</v>
      </c>
      <c r="M2">
        <f>1530*L2</f>
        <v>1530</v>
      </c>
    </row>
    <row r="3" spans="2:13">
      <c r="B3" t="s">
        <v>1529</v>
      </c>
      <c r="C3">
        <v>1</v>
      </c>
      <c r="D3">
        <v>95</v>
      </c>
      <c r="E3">
        <v>1530</v>
      </c>
      <c r="F3">
        <v>540090</v>
      </c>
      <c r="G3" s="163">
        <v>2500000</v>
      </c>
      <c r="K3">
        <f>K2+1</f>
        <v>2</v>
      </c>
      <c r="L3">
        <f>L2-(0.04/24)*L2</f>
        <v>0.99833333333333329</v>
      </c>
      <c r="M3">
        <f t="shared" ref="M3:M25" si="0">1530*L3</f>
        <v>1527.45</v>
      </c>
    </row>
    <row r="4" spans="2:13">
      <c r="B4" t="s">
        <v>1530</v>
      </c>
      <c r="C4">
        <v>1</v>
      </c>
      <c r="D4">
        <v>95</v>
      </c>
      <c r="E4">
        <v>542</v>
      </c>
      <c r="F4">
        <v>256908</v>
      </c>
      <c r="G4" s="163">
        <v>5000000</v>
      </c>
      <c r="K4">
        <f t="shared" ref="K4:K25" si="1">K3+1</f>
        <v>3</v>
      </c>
      <c r="L4">
        <f t="shared" ref="L4:L25" si="2">L3-(0.04/24)*L3</f>
        <v>0.99666944444444439</v>
      </c>
      <c r="M4">
        <f t="shared" si="0"/>
        <v>1524.9042499999998</v>
      </c>
    </row>
    <row r="5" spans="2:13">
      <c r="B5" t="s">
        <v>1531</v>
      </c>
      <c r="C5">
        <v>4</v>
      </c>
      <c r="D5">
        <v>52</v>
      </c>
      <c r="E5">
        <v>510</v>
      </c>
      <c r="F5">
        <v>1250520</v>
      </c>
      <c r="G5" s="163">
        <v>50000000</v>
      </c>
      <c r="K5">
        <f t="shared" si="1"/>
        <v>4</v>
      </c>
      <c r="L5">
        <f t="shared" si="2"/>
        <v>0.99500832870370359</v>
      </c>
      <c r="M5">
        <f t="shared" si="0"/>
        <v>1522.3627429166665</v>
      </c>
    </row>
    <row r="6" spans="2:13">
      <c r="B6" t="s">
        <v>1532</v>
      </c>
      <c r="C6">
        <v>4</v>
      </c>
      <c r="D6">
        <v>48</v>
      </c>
      <c r="E6">
        <v>382.5</v>
      </c>
      <c r="F6">
        <v>556956</v>
      </c>
      <c r="G6" s="163">
        <v>10000000</v>
      </c>
      <c r="K6">
        <f t="shared" si="1"/>
        <v>5</v>
      </c>
      <c r="L6">
        <f t="shared" si="2"/>
        <v>0.9933499814891974</v>
      </c>
      <c r="M6">
        <f t="shared" si="0"/>
        <v>1519.825471678472</v>
      </c>
    </row>
    <row r="7" spans="2:13">
      <c r="B7" t="s">
        <v>1533</v>
      </c>
      <c r="C7">
        <v>11</v>
      </c>
      <c r="D7">
        <v>43</v>
      </c>
      <c r="E7">
        <v>306</v>
      </c>
      <c r="F7">
        <v>673506</v>
      </c>
      <c r="G7" s="163">
        <v>100000000</v>
      </c>
      <c r="K7">
        <f t="shared" si="1"/>
        <v>6</v>
      </c>
      <c r="L7">
        <f t="shared" si="2"/>
        <v>0.99169439818671545</v>
      </c>
      <c r="M7">
        <f t="shared" si="0"/>
        <v>1517.2924292256746</v>
      </c>
    </row>
    <row r="8" spans="2:13">
      <c r="B8" t="s">
        <v>1534</v>
      </c>
      <c r="C8">
        <v>20</v>
      </c>
      <c r="D8">
        <v>42</v>
      </c>
      <c r="E8">
        <v>280.5</v>
      </c>
      <c r="F8">
        <v>86520</v>
      </c>
      <c r="G8" s="163">
        <v>200000000</v>
      </c>
      <c r="K8">
        <f t="shared" si="1"/>
        <v>7</v>
      </c>
      <c r="L8">
        <f t="shared" si="2"/>
        <v>0.99004157418973759</v>
      </c>
      <c r="M8">
        <f t="shared" si="0"/>
        <v>1514.7636085102986</v>
      </c>
    </row>
    <row r="9" spans="2:13">
      <c r="B9" t="s">
        <v>1535</v>
      </c>
      <c r="C9">
        <v>9</v>
      </c>
      <c r="D9">
        <v>39</v>
      </c>
      <c r="E9">
        <v>408</v>
      </c>
      <c r="F9">
        <v>552432</v>
      </c>
      <c r="G9" s="163">
        <v>400000000</v>
      </c>
      <c r="K9">
        <f t="shared" si="1"/>
        <v>8</v>
      </c>
      <c r="L9">
        <f t="shared" si="2"/>
        <v>0.9883915048994214</v>
      </c>
      <c r="M9">
        <f t="shared" si="0"/>
        <v>1512.2390024961148</v>
      </c>
    </row>
    <row r="10" spans="2:13">
      <c r="B10" t="s">
        <v>1536</v>
      </c>
      <c r="C10">
        <v>7</v>
      </c>
      <c r="D10">
        <v>35</v>
      </c>
      <c r="E10">
        <v>765</v>
      </c>
      <c r="F10">
        <v>276165</v>
      </c>
      <c r="G10" s="163">
        <v>600000000</v>
      </c>
      <c r="K10">
        <f t="shared" si="1"/>
        <v>9</v>
      </c>
      <c r="L10">
        <f t="shared" si="2"/>
        <v>0.986744185724589</v>
      </c>
      <c r="M10">
        <f t="shared" si="0"/>
        <v>1509.7186041586212</v>
      </c>
    </row>
    <row r="11" spans="2:13">
      <c r="B11" t="s">
        <v>1537</v>
      </c>
      <c r="C11">
        <v>15</v>
      </c>
      <c r="D11">
        <v>30</v>
      </c>
      <c r="E11">
        <v>2040</v>
      </c>
      <c r="F11">
        <v>1026120</v>
      </c>
      <c r="G11" s="163">
        <v>800000000</v>
      </c>
      <c r="K11">
        <f t="shared" si="1"/>
        <v>10</v>
      </c>
      <c r="L11">
        <f t="shared" si="2"/>
        <v>0.9850996120817147</v>
      </c>
      <c r="M11">
        <f t="shared" si="0"/>
        <v>1507.2024064850234</v>
      </c>
    </row>
    <row r="12" spans="2:13">
      <c r="B12" t="s">
        <v>1538</v>
      </c>
      <c r="C12">
        <v>5</v>
      </c>
      <c r="D12">
        <v>22</v>
      </c>
      <c r="E12">
        <v>306</v>
      </c>
      <c r="F12">
        <v>773874</v>
      </c>
      <c r="G12" s="163">
        <v>1000000000</v>
      </c>
      <c r="K12">
        <f t="shared" si="1"/>
        <v>11</v>
      </c>
      <c r="L12">
        <f t="shared" si="2"/>
        <v>0.98345777939491186</v>
      </c>
      <c r="M12">
        <f t="shared" si="0"/>
        <v>1504.690402474215</v>
      </c>
    </row>
    <row r="13" spans="2:13">
      <c r="B13" t="s">
        <v>1539</v>
      </c>
      <c r="C13">
        <v>33</v>
      </c>
      <c r="D13">
        <v>17</v>
      </c>
      <c r="E13">
        <v>637.5</v>
      </c>
      <c r="F13">
        <v>914732</v>
      </c>
      <c r="G13" s="163">
        <v>1250000000</v>
      </c>
      <c r="K13">
        <f t="shared" si="1"/>
        <v>12</v>
      </c>
      <c r="L13">
        <f t="shared" si="2"/>
        <v>0.98181868309592035</v>
      </c>
      <c r="M13">
        <f t="shared" si="0"/>
        <v>1502.1825851367582</v>
      </c>
    </row>
    <row r="14" spans="2:13">
      <c r="B14" t="s">
        <v>1540</v>
      </c>
      <c r="C14">
        <v>38</v>
      </c>
      <c r="D14">
        <v>5</v>
      </c>
      <c r="E14">
        <v>2040</v>
      </c>
      <c r="F14">
        <v>1970640</v>
      </c>
      <c r="G14" s="163">
        <v>1500000000</v>
      </c>
      <c r="K14">
        <f>K13+1</f>
        <v>13</v>
      </c>
      <c r="L14">
        <f t="shared" si="2"/>
        <v>0.98018231862409377</v>
      </c>
      <c r="M14">
        <f t="shared" si="0"/>
        <v>1499.6789474948635</v>
      </c>
    </row>
    <row r="15" spans="2:13">
      <c r="B15" t="s">
        <v>1541</v>
      </c>
      <c r="C15">
        <v>48</v>
      </c>
      <c r="D15">
        <v>3</v>
      </c>
      <c r="E15">
        <v>1275</v>
      </c>
      <c r="F15">
        <v>4300575</v>
      </c>
      <c r="G15" s="163">
        <v>2000000000</v>
      </c>
      <c r="K15">
        <f t="shared" si="1"/>
        <v>14</v>
      </c>
      <c r="L15">
        <f t="shared" si="2"/>
        <v>0.97854868142638696</v>
      </c>
      <c r="M15">
        <f t="shared" si="0"/>
        <v>1497.179482582372</v>
      </c>
    </row>
    <row r="16" spans="2:13">
      <c r="K16">
        <f t="shared" si="1"/>
        <v>15</v>
      </c>
      <c r="L16">
        <f t="shared" si="2"/>
        <v>0.976917766957343</v>
      </c>
      <c r="M16">
        <f t="shared" si="0"/>
        <v>1494.6841834447348</v>
      </c>
    </row>
    <row r="17" spans="2:13">
      <c r="K17">
        <f t="shared" si="1"/>
        <v>16</v>
      </c>
      <c r="L17">
        <f t="shared" si="2"/>
        <v>0.97528957067908073</v>
      </c>
      <c r="M17">
        <f t="shared" si="0"/>
        <v>1492.1930431389935</v>
      </c>
    </row>
    <row r="18" spans="2:13">
      <c r="B18" s="168" t="s">
        <v>1545</v>
      </c>
      <c r="K18">
        <f t="shared" si="1"/>
        <v>17</v>
      </c>
      <c r="L18">
        <f t="shared" si="2"/>
        <v>0.97366408806128224</v>
      </c>
      <c r="M18">
        <f t="shared" si="0"/>
        <v>1489.7060547337619</v>
      </c>
    </row>
    <row r="19" spans="2:13">
      <c r="K19">
        <f t="shared" si="1"/>
        <v>18</v>
      </c>
      <c r="L19">
        <f t="shared" si="2"/>
        <v>0.97204131458118015</v>
      </c>
      <c r="M19">
        <f t="shared" si="0"/>
        <v>1487.2232113092057</v>
      </c>
    </row>
    <row r="20" spans="2:13">
      <c r="B20" s="168" t="s">
        <v>1547</v>
      </c>
      <c r="K20">
        <f t="shared" si="1"/>
        <v>19</v>
      </c>
      <c r="L20">
        <f t="shared" si="2"/>
        <v>0.97042124572354482</v>
      </c>
      <c r="M20">
        <f t="shared" si="0"/>
        <v>1484.7445059570236</v>
      </c>
    </row>
    <row r="21" spans="2:13">
      <c r="K21">
        <f t="shared" si="1"/>
        <v>20</v>
      </c>
      <c r="L21">
        <f t="shared" si="2"/>
        <v>0.96880387698067227</v>
      </c>
      <c r="M21">
        <f t="shared" si="0"/>
        <v>1482.2699317804286</v>
      </c>
    </row>
    <row r="22" spans="2:13">
      <c r="B22" s="168" t="s">
        <v>1548</v>
      </c>
      <c r="K22">
        <f t="shared" si="1"/>
        <v>21</v>
      </c>
      <c r="L22">
        <f t="shared" si="2"/>
        <v>0.96718920385237117</v>
      </c>
      <c r="M22">
        <f t="shared" si="0"/>
        <v>1479.7994818941279</v>
      </c>
    </row>
    <row r="23" spans="2:13">
      <c r="K23">
        <f t="shared" si="1"/>
        <v>22</v>
      </c>
      <c r="L23">
        <f t="shared" si="2"/>
        <v>0.96557722184595052</v>
      </c>
      <c r="M23">
        <f t="shared" si="0"/>
        <v>1477.3331494243043</v>
      </c>
    </row>
    <row r="24" spans="2:13">
      <c r="B24" s="168" t="s">
        <v>1549</v>
      </c>
      <c r="K24">
        <f>K23+1</f>
        <v>23</v>
      </c>
      <c r="L24">
        <f t="shared" si="2"/>
        <v>0.96396792647620722</v>
      </c>
      <c r="M24">
        <f t="shared" si="0"/>
        <v>1474.8709275085971</v>
      </c>
    </row>
    <row r="25" spans="2:13">
      <c r="K25">
        <f t="shared" si="1"/>
        <v>24</v>
      </c>
      <c r="L25">
        <f t="shared" si="2"/>
        <v>0.96236131326541352</v>
      </c>
      <c r="M25">
        <f t="shared" si="0"/>
        <v>1472.4128092960827</v>
      </c>
    </row>
    <row r="26" spans="2:13">
      <c r="B26" s="170" t="s">
        <v>1550</v>
      </c>
    </row>
    <row r="27" spans="2:13">
      <c r="K27" s="168" t="s">
        <v>1555</v>
      </c>
    </row>
    <row r="28" spans="2:13">
      <c r="B28" s="168" t="s">
        <v>1551</v>
      </c>
    </row>
    <row r="29" spans="2:13">
      <c r="K29" s="168" t="s">
        <v>1556</v>
      </c>
    </row>
    <row r="32" spans="2:13">
      <c r="B32" t="s">
        <v>1581</v>
      </c>
    </row>
    <row r="33" spans="2:2">
      <c r="B33" t="s">
        <v>1582</v>
      </c>
    </row>
    <row r="34" spans="2:2">
      <c r="B34" t="s">
        <v>1583</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00"/>
    <outlinePr summaryBelow="0" summaryRight="0"/>
  </sheetPr>
  <dimension ref="A1:K1019"/>
  <sheetViews>
    <sheetView topLeftCell="A52" workbookViewId="0"/>
  </sheetViews>
  <sheetFormatPr defaultColWidth="15.109375" defaultRowHeight="15" customHeight="1"/>
  <cols>
    <col min="1" max="1" width="3.33203125" customWidth="1"/>
    <col min="2" max="2" width="6.44140625" customWidth="1"/>
    <col min="3" max="3" width="10.44140625" customWidth="1"/>
    <col min="4" max="26" width="12.6640625" customWidth="1"/>
  </cols>
  <sheetData>
    <row r="1" spans="2:3" ht="15.75" customHeight="1"/>
    <row r="2" spans="2:3" ht="15.75" customHeight="1">
      <c r="B2" s="37" t="s">
        <v>178</v>
      </c>
    </row>
    <row r="3" spans="2:3" ht="15.75" customHeight="1">
      <c r="B3" s="37" t="s">
        <v>179</v>
      </c>
    </row>
    <row r="4" spans="2:3" ht="15.75" customHeight="1">
      <c r="B4" s="37" t="s">
        <v>180</v>
      </c>
    </row>
    <row r="5" spans="2:3" ht="15.75" customHeight="1">
      <c r="B5" s="37" t="s">
        <v>181</v>
      </c>
    </row>
    <row r="6" spans="2:3" ht="15.75" customHeight="1">
      <c r="B6" s="37" t="s">
        <v>182</v>
      </c>
    </row>
    <row r="7" spans="2:3" ht="15.75" customHeight="1">
      <c r="B7" s="3"/>
    </row>
    <row r="8" spans="2:3" ht="15.75" customHeight="1">
      <c r="B8" s="3" t="s">
        <v>183</v>
      </c>
    </row>
    <row r="9" spans="2:3" ht="15.75" customHeight="1">
      <c r="B9" s="3"/>
      <c r="C9" s="3" t="s">
        <v>184</v>
      </c>
    </row>
    <row r="10" spans="2:3" ht="15.75" customHeight="1">
      <c r="B10" s="3"/>
    </row>
    <row r="11" spans="2:3" ht="15.75" customHeight="1">
      <c r="B11" s="3" t="s">
        <v>185</v>
      </c>
    </row>
    <row r="12" spans="2:3" ht="15.75" customHeight="1">
      <c r="B12" s="3"/>
      <c r="C12" s="3" t="s">
        <v>186</v>
      </c>
    </row>
    <row r="13" spans="2:3" ht="15.75" customHeight="1">
      <c r="B13" s="3"/>
      <c r="C13" s="3" t="s">
        <v>187</v>
      </c>
    </row>
    <row r="14" spans="2:3" ht="15.75" customHeight="1">
      <c r="B14" s="3"/>
      <c r="C14" s="3" t="s">
        <v>188</v>
      </c>
    </row>
    <row r="15" spans="2:3" ht="15.75" customHeight="1">
      <c r="B15" s="3"/>
    </row>
    <row r="16" spans="2:3" ht="15.75" customHeight="1">
      <c r="B16" s="3" t="s">
        <v>189</v>
      </c>
    </row>
    <row r="17" spans="2:3" ht="15.75" customHeight="1"/>
    <row r="18" spans="2:3" ht="15.75" customHeight="1">
      <c r="B18" s="3" t="s">
        <v>190</v>
      </c>
    </row>
    <row r="19" spans="2:3" ht="15.75" customHeight="1">
      <c r="B19" s="3" t="s">
        <v>191</v>
      </c>
    </row>
    <row r="20" spans="2:3" ht="15.75" customHeight="1">
      <c r="B20" s="3" t="s">
        <v>192</v>
      </c>
    </row>
    <row r="21" spans="2:3" ht="15.75" customHeight="1"/>
    <row r="22" spans="2:3" ht="15.75" customHeight="1">
      <c r="B22" s="38" t="s">
        <v>193</v>
      </c>
    </row>
    <row r="23" spans="2:3" ht="15.75" customHeight="1">
      <c r="C23" s="3" t="s">
        <v>194</v>
      </c>
    </row>
    <row r="24" spans="2:3" ht="15.75" customHeight="1">
      <c r="C24" s="3" t="s">
        <v>195</v>
      </c>
    </row>
    <row r="25" spans="2:3" ht="15.75" customHeight="1">
      <c r="C25" s="3" t="s">
        <v>196</v>
      </c>
    </row>
    <row r="26" spans="2:3" ht="15.75" customHeight="1">
      <c r="C26" s="3" t="s">
        <v>197</v>
      </c>
    </row>
    <row r="27" spans="2:3" ht="15.75" customHeight="1">
      <c r="C27" s="3" t="s">
        <v>198</v>
      </c>
    </row>
    <row r="28" spans="2:3" ht="15.75" customHeight="1">
      <c r="C28" s="3" t="s">
        <v>199</v>
      </c>
    </row>
    <row r="29" spans="2:3" ht="15.75" customHeight="1">
      <c r="C29" s="3" t="s">
        <v>200</v>
      </c>
    </row>
    <row r="30" spans="2:3" ht="15.75" customHeight="1">
      <c r="C30" s="3" t="s">
        <v>201</v>
      </c>
    </row>
    <row r="31" spans="2:3" ht="15.75" customHeight="1">
      <c r="C31" s="3" t="s">
        <v>202</v>
      </c>
    </row>
    <row r="32" spans="2:3" ht="15.75" customHeight="1">
      <c r="C32" s="3" t="s">
        <v>203</v>
      </c>
    </row>
    <row r="33" spans="2:3" ht="15.75" customHeight="1">
      <c r="C33" s="3" t="s">
        <v>204</v>
      </c>
    </row>
    <row r="34" spans="2:3" ht="15.75" customHeight="1">
      <c r="C34" s="3" t="s">
        <v>205</v>
      </c>
    </row>
    <row r="35" spans="2:3" ht="15.75" customHeight="1">
      <c r="C35" s="3" t="s">
        <v>206</v>
      </c>
    </row>
    <row r="36" spans="2:3" ht="15.75" customHeight="1">
      <c r="C36" s="3" t="s">
        <v>207</v>
      </c>
    </row>
    <row r="37" spans="2:3" ht="15.75" customHeight="1">
      <c r="C37" s="3" t="s">
        <v>208</v>
      </c>
    </row>
    <row r="38" spans="2:3" ht="15.75" customHeight="1">
      <c r="C38" s="3" t="s">
        <v>209</v>
      </c>
    </row>
    <row r="39" spans="2:3" ht="15.75" customHeight="1">
      <c r="C39" s="3" t="s">
        <v>210</v>
      </c>
    </row>
    <row r="40" spans="2:3" ht="15.75" customHeight="1"/>
    <row r="41" spans="2:3" ht="15.75" customHeight="1">
      <c r="B41" s="38" t="s">
        <v>211</v>
      </c>
    </row>
    <row r="42" spans="2:3" ht="15.75" customHeight="1">
      <c r="B42" s="3"/>
      <c r="C42" s="3" t="s">
        <v>212</v>
      </c>
    </row>
    <row r="43" spans="2:3" ht="15.75" customHeight="1">
      <c r="B43" s="3"/>
      <c r="C43" s="3" t="s">
        <v>213</v>
      </c>
    </row>
    <row r="44" spans="2:3" ht="15.75" customHeight="1"/>
    <row r="45" spans="2:3" ht="15.75" customHeight="1">
      <c r="B45" s="38" t="s">
        <v>214</v>
      </c>
    </row>
    <row r="46" spans="2:3" ht="15.75" customHeight="1">
      <c r="B46" s="3" t="s">
        <v>215</v>
      </c>
    </row>
    <row r="47" spans="2:3" ht="15.75" customHeight="1">
      <c r="B47" s="39"/>
      <c r="C47" s="39" t="s">
        <v>216</v>
      </c>
    </row>
    <row r="48" spans="2:3" ht="15.75" customHeight="1">
      <c r="B48" s="39"/>
      <c r="C48" s="39" t="s">
        <v>217</v>
      </c>
    </row>
    <row r="49" spans="1:11" ht="15.75" customHeight="1">
      <c r="B49" s="39"/>
      <c r="C49" s="39" t="s">
        <v>218</v>
      </c>
    </row>
    <row r="50" spans="1:11" ht="15.75" customHeight="1">
      <c r="B50" s="39"/>
      <c r="C50" s="39" t="s">
        <v>219</v>
      </c>
    </row>
    <row r="51" spans="1:11" ht="15.75" customHeight="1">
      <c r="B51" s="40"/>
      <c r="C51" s="40" t="s">
        <v>220</v>
      </c>
    </row>
    <row r="52" spans="1:11" ht="15.75" customHeight="1">
      <c r="B52" s="40"/>
      <c r="C52" s="3" t="s">
        <v>221</v>
      </c>
    </row>
    <row r="53" spans="1:11" ht="15.75" customHeight="1">
      <c r="B53" s="40"/>
      <c r="C53" s="40"/>
      <c r="D53" s="3"/>
    </row>
    <row r="54" spans="1:11" ht="15.75" customHeight="1">
      <c r="A54" s="38"/>
      <c r="B54" s="41" t="s">
        <v>222</v>
      </c>
      <c r="C54" s="41"/>
      <c r="D54" s="38"/>
      <c r="E54" s="38"/>
      <c r="F54" s="38"/>
      <c r="G54" s="38"/>
      <c r="H54" s="38"/>
      <c r="I54" s="38"/>
      <c r="J54" s="38"/>
      <c r="K54" s="38"/>
    </row>
    <row r="55" spans="1:11" ht="15.75" customHeight="1">
      <c r="B55" s="40" t="s">
        <v>223</v>
      </c>
      <c r="C55" s="40"/>
      <c r="D55" s="3"/>
    </row>
    <row r="56" spans="1:11" ht="15.75" customHeight="1">
      <c r="B56" s="40"/>
      <c r="C56" s="40" t="s">
        <v>224</v>
      </c>
      <c r="D56" s="3"/>
    </row>
    <row r="57" spans="1:11" ht="15.75" customHeight="1">
      <c r="B57" s="40"/>
      <c r="C57" s="40" t="s">
        <v>225</v>
      </c>
      <c r="D57" s="3"/>
    </row>
    <row r="58" spans="1:11" ht="15.75" customHeight="1">
      <c r="B58" s="40"/>
      <c r="C58" s="40" t="s">
        <v>226</v>
      </c>
      <c r="D58" s="3"/>
    </row>
    <row r="59" spans="1:11" ht="15.75" customHeight="1">
      <c r="B59" s="40"/>
      <c r="C59" s="40" t="s">
        <v>227</v>
      </c>
      <c r="D59" s="3"/>
    </row>
    <row r="60" spans="1:11" ht="15.75" customHeight="1">
      <c r="B60" s="40"/>
      <c r="C60" s="40" t="s">
        <v>228</v>
      </c>
      <c r="D60" s="3"/>
      <c r="J60" s="3" t="s">
        <v>229</v>
      </c>
    </row>
    <row r="61" spans="1:11" ht="15.75" customHeight="1">
      <c r="B61" s="40"/>
      <c r="C61" s="40" t="s">
        <v>230</v>
      </c>
      <c r="D61" s="3"/>
    </row>
    <row r="62" spans="1:11" ht="15.75" customHeight="1">
      <c r="B62" s="40"/>
      <c r="C62" s="40" t="s">
        <v>231</v>
      </c>
      <c r="D62" s="3"/>
    </row>
    <row r="63" spans="1:11" ht="15.75" customHeight="1">
      <c r="B63" s="40"/>
      <c r="C63" s="40" t="s">
        <v>232</v>
      </c>
      <c r="D63" s="3"/>
    </row>
    <row r="64" spans="1:11" ht="15.75" customHeight="1">
      <c r="B64" s="40"/>
      <c r="C64" s="40"/>
    </row>
    <row r="65" spans="2:4" ht="15.75" customHeight="1">
      <c r="B65" s="41" t="s">
        <v>233</v>
      </c>
      <c r="C65" s="40"/>
    </row>
    <row r="66" spans="2:4" ht="15.75" customHeight="1">
      <c r="B66" s="40"/>
      <c r="C66" s="40" t="s">
        <v>234</v>
      </c>
    </row>
    <row r="67" spans="2:4" ht="15.75" customHeight="1">
      <c r="B67" s="40"/>
      <c r="D67" s="40" t="s">
        <v>235</v>
      </c>
    </row>
    <row r="68" spans="2:4" ht="15.75" customHeight="1">
      <c r="B68" s="40"/>
      <c r="C68" s="40" t="s">
        <v>236</v>
      </c>
    </row>
    <row r="69" spans="2:4" ht="15.75" customHeight="1">
      <c r="B69" s="40"/>
      <c r="C69" s="40" t="s">
        <v>237</v>
      </c>
    </row>
    <row r="70" spans="2:4" ht="15.75" customHeight="1">
      <c r="B70" s="40"/>
      <c r="C70" s="40" t="s">
        <v>238</v>
      </c>
    </row>
    <row r="71" spans="2:4" ht="15.75" customHeight="1">
      <c r="B71" s="40"/>
      <c r="C71" s="40"/>
      <c r="D71" s="3" t="s">
        <v>239</v>
      </c>
    </row>
    <row r="72" spans="2:4" ht="15.75" customHeight="1">
      <c r="B72" s="40"/>
      <c r="C72" s="40"/>
      <c r="D72" s="3" t="s">
        <v>240</v>
      </c>
    </row>
    <row r="73" spans="2:4" ht="15.75" customHeight="1">
      <c r="B73" s="40"/>
      <c r="C73" s="40"/>
      <c r="D73" s="3" t="s">
        <v>241</v>
      </c>
    </row>
    <row r="74" spans="2:4" ht="15.75" customHeight="1">
      <c r="B74" s="40"/>
      <c r="C74" s="40"/>
      <c r="D74" s="3" t="s">
        <v>242</v>
      </c>
    </row>
    <row r="75" spans="2:4" ht="15.75" customHeight="1">
      <c r="B75" s="40"/>
      <c r="C75" s="40"/>
    </row>
    <row r="76" spans="2:4" ht="18.75" customHeight="1">
      <c r="B76" s="41" t="s">
        <v>243</v>
      </c>
      <c r="C76" s="40"/>
    </row>
    <row r="77" spans="2:4" ht="15.75" customHeight="1">
      <c r="B77" s="40"/>
      <c r="C77" s="39" t="s">
        <v>244</v>
      </c>
    </row>
    <row r="78" spans="2:4" ht="15.75" customHeight="1">
      <c r="B78" s="40"/>
      <c r="C78" s="40" t="s">
        <v>245</v>
      </c>
    </row>
    <row r="79" spans="2:4" ht="15.75" customHeight="1">
      <c r="B79" s="40"/>
      <c r="C79" s="40"/>
    </row>
    <row r="80" spans="2:4" ht="15.75" customHeight="1">
      <c r="B80" s="41" t="s">
        <v>246</v>
      </c>
      <c r="C80" s="40"/>
    </row>
    <row r="81" spans="2:4" ht="15.75" customHeight="1">
      <c r="B81" s="40"/>
      <c r="C81" s="40" t="s">
        <v>247</v>
      </c>
    </row>
    <row r="82" spans="2:4" ht="15.75" customHeight="1">
      <c r="B82" s="40"/>
      <c r="C82" s="40" t="s">
        <v>248</v>
      </c>
    </row>
    <row r="83" spans="2:4" ht="15.75" customHeight="1">
      <c r="B83" s="40"/>
      <c r="C83" s="40" t="s">
        <v>249</v>
      </c>
    </row>
    <row r="84" spans="2:4" ht="15.75" customHeight="1">
      <c r="B84" s="40"/>
      <c r="C84" s="40"/>
    </row>
    <row r="85" spans="2:4" ht="15.75" customHeight="1">
      <c r="B85" s="40" t="s">
        <v>250</v>
      </c>
      <c r="C85" s="40"/>
    </row>
    <row r="86" spans="2:4" ht="15.75" customHeight="1">
      <c r="B86" s="40" t="s">
        <v>251</v>
      </c>
      <c r="C86" s="40"/>
    </row>
    <row r="87" spans="2:4" ht="15.75" customHeight="1">
      <c r="B87" s="40" t="s">
        <v>252</v>
      </c>
      <c r="C87" s="40"/>
    </row>
    <row r="88" spans="2:4" ht="15.75" customHeight="1">
      <c r="B88" s="40"/>
      <c r="C88" s="40"/>
    </row>
    <row r="89" spans="2:4" ht="15.75" customHeight="1">
      <c r="B89" s="41" t="s">
        <v>253</v>
      </c>
      <c r="C89" s="40"/>
    </row>
    <row r="90" spans="2:4" ht="15.75" customHeight="1">
      <c r="C90" s="40" t="s">
        <v>254</v>
      </c>
      <c r="D90" s="40"/>
    </row>
    <row r="91" spans="2:4" ht="13.2">
      <c r="C91" s="40" t="s">
        <v>255</v>
      </c>
      <c r="D91" s="42" t="s">
        <v>256</v>
      </c>
    </row>
    <row r="92" spans="2:4" ht="13.2">
      <c r="C92" s="40" t="s">
        <v>257</v>
      </c>
      <c r="D92" s="43" t="str">
        <f>HYPERLINK("https://www.instagram.com/ghukekminiatures/")</f>
        <v>https://www.instagram.com/ghukekminiatures/</v>
      </c>
    </row>
    <row r="93" spans="2:4" ht="15.75" customHeight="1">
      <c r="C93" s="40" t="s">
        <v>258</v>
      </c>
      <c r="D93" s="44" t="str">
        <f>HYPERLINK("https://www.facebook.com/GhukekMiniatures/")</f>
        <v>https://www.facebook.com/GhukekMiniatures/</v>
      </c>
    </row>
    <row r="94" spans="2:4" ht="15.75" customHeight="1">
      <c r="C94" s="40" t="s">
        <v>259</v>
      </c>
      <c r="D94" s="44" t="str">
        <f>HYPERLINK("https://www.cgtrader.com/ghukek")</f>
        <v>https://www.cgtrader.com/ghukek</v>
      </c>
    </row>
    <row r="95" spans="2:4" ht="15.75" customHeight="1">
      <c r="C95" s="40" t="s">
        <v>260</v>
      </c>
      <c r="D95" s="44" t="str">
        <f>HYPERLINK("https://www.shapeways.com/shops/ghukek-s-miniatures")</f>
        <v>https://www.shapeways.com/shops/ghukek-s-miniatures</v>
      </c>
    </row>
    <row r="96" spans="2:4" ht="15.75" customHeight="1"/>
    <row r="97" spans="2:11" ht="15.75" customHeight="1">
      <c r="B97" s="3" t="s">
        <v>261</v>
      </c>
    </row>
    <row r="98" spans="2:11" ht="15.75" customHeight="1">
      <c r="B98" s="45" t="str">
        <f>HYPERLINK("http://appweb.resources-game.ch/stats/getBoxesStat_hp.php","http://appweb.resources-game.ch/stats/getBoxesStat_hp.php")</f>
        <v>http://appweb.resources-game.ch/stats/getBoxesStat_hp.php</v>
      </c>
      <c r="K98" s="46"/>
    </row>
    <row r="99" spans="2:11" ht="15.75" customHeight="1">
      <c r="B99" s="3"/>
      <c r="K99" s="46"/>
    </row>
    <row r="100" spans="2:11" ht="15.75" customHeight="1">
      <c r="B100" s="3" t="s">
        <v>262</v>
      </c>
      <c r="K100" s="46"/>
    </row>
    <row r="101" spans="2:11" ht="15.75" customHeight="1">
      <c r="B101" s="45" t="str">
        <f>HYPERLINK("http://appweb.resources-game.ch/stats/masterminer_hp.php","http://appweb.resources-game.ch/stats/masterminer_hp.php")</f>
        <v>http://appweb.resources-game.ch/stats/masterminer_hp.php</v>
      </c>
      <c r="K101" s="46"/>
    </row>
    <row r="102" spans="2:11" ht="15.75" customHeight="1">
      <c r="K102" s="40"/>
    </row>
    <row r="103" spans="2:11" ht="15.75" customHeight="1">
      <c r="B103" s="3" t="s">
        <v>263</v>
      </c>
      <c r="K103" s="46"/>
    </row>
    <row r="104" spans="2:11" ht="15.75" customHeight="1">
      <c r="B104" s="45" t="str">
        <f>HYPERLINK("http://ssl.resources-game.ch/","http://ssl.resources-game.ch/")</f>
        <v>http://ssl.resources-game.ch/</v>
      </c>
      <c r="K104" s="46"/>
    </row>
    <row r="105" spans="2:11" ht="15.75" customHeight="1">
      <c r="K105" s="40"/>
    </row>
    <row r="106" spans="2:11" ht="15.75" customHeight="1">
      <c r="B106" s="3" t="s">
        <v>264</v>
      </c>
      <c r="K106" s="46"/>
    </row>
    <row r="107" spans="2:11" ht="15.75" customHeight="1">
      <c r="B107" s="47" t="str">
        <f>HYPERLINK("http://tinyurl.com/npa82ky","http://tinyurl.com/npa82ky")</f>
        <v>http://tinyurl.com/npa82ky</v>
      </c>
      <c r="K107" s="46"/>
    </row>
    <row r="108" spans="2:11" ht="15.75" customHeight="1">
      <c r="K108" s="46"/>
    </row>
    <row r="109" spans="2:11" ht="15.75" customHeight="1">
      <c r="B109" s="3" t="s">
        <v>265</v>
      </c>
      <c r="K109" s="46"/>
    </row>
    <row r="110" spans="2:11" ht="15.75" customHeight="1">
      <c r="B110" s="45" t="str">
        <f>HYPERLINK("http://tinyurl.com/usabanking","http://tinyurl.com/usabanking")</f>
        <v>http://tinyurl.com/usabanking</v>
      </c>
      <c r="K110" s="46"/>
    </row>
    <row r="111" spans="2:11" ht="15.75" customHeight="1">
      <c r="B111" s="3"/>
      <c r="K111" s="46"/>
    </row>
    <row r="112" spans="2:11" ht="15.75" customHeight="1">
      <c r="B112" s="3" t="s">
        <v>266</v>
      </c>
      <c r="K112" s="46"/>
    </row>
    <row r="113" spans="2:11" ht="15.75" customHeight="1">
      <c r="B113" s="45" t="str">
        <f>HYPERLINK("https://docs.google.com/spreadsheets/d/1Lsno9_Jpwv4JTD14339H-yFaoUV7Kaev_FImGg6XpCM/edit?ts=566f2a7a#gid=0","https://docs.google.com/spreadsheets/d/1Lsno9_Jpwv4JTD14339H-yFaoUV7Kaev_FImGg6XpCM/edit?ts=566f2a7a#gid=0")</f>
        <v>https://docs.google.com/spreadsheets/d/1Lsno9_Jpwv4JTD14339H-yFaoUV7Kaev_FImGg6XpCM/edit?ts=566f2a7a#gid=0</v>
      </c>
      <c r="K113" s="46"/>
    </row>
    <row r="114" spans="2:11" ht="15.75" customHeight="1">
      <c r="K114" s="40"/>
    </row>
    <row r="115" spans="2:11" ht="15.75" customHeight="1">
      <c r="B115" s="38" t="s">
        <v>267</v>
      </c>
      <c r="K115" s="46"/>
    </row>
    <row r="116" spans="2:11" ht="15.75" customHeight="1">
      <c r="B116" s="3"/>
      <c r="C116" s="3" t="s">
        <v>268</v>
      </c>
      <c r="D116" s="3" t="s">
        <v>269</v>
      </c>
    </row>
    <row r="117" spans="2:11" ht="15.75" customHeight="1">
      <c r="B117" s="3"/>
      <c r="C117" s="3"/>
      <c r="D117" s="3" t="s">
        <v>270</v>
      </c>
    </row>
    <row r="118" spans="2:11" ht="15.75" customHeight="1">
      <c r="B118" s="3"/>
      <c r="C118" s="3"/>
      <c r="D118" s="3" t="s">
        <v>271</v>
      </c>
    </row>
    <row r="119" spans="2:11" ht="15.75" customHeight="1">
      <c r="C119" s="3" t="s">
        <v>272</v>
      </c>
      <c r="D119" s="3" t="s">
        <v>273</v>
      </c>
    </row>
    <row r="120" spans="2:11" ht="15.75" customHeight="1">
      <c r="D120" s="3" t="s">
        <v>274</v>
      </c>
    </row>
    <row r="121" spans="2:11" ht="15.75" customHeight="1">
      <c r="D121" s="3" t="s">
        <v>275</v>
      </c>
    </row>
    <row r="122" spans="2:11" ht="15.75" customHeight="1">
      <c r="D122" s="3" t="s">
        <v>276</v>
      </c>
    </row>
    <row r="123" spans="2:11" ht="15.75" customHeight="1">
      <c r="D123" s="3" t="s">
        <v>277</v>
      </c>
    </row>
    <row r="124" spans="2:11" ht="15.75" customHeight="1">
      <c r="C124" s="3" t="s">
        <v>278</v>
      </c>
      <c r="D124" s="3" t="s">
        <v>279</v>
      </c>
    </row>
    <row r="125" spans="2:11" ht="15.75" customHeight="1">
      <c r="D125" s="3" t="s">
        <v>280</v>
      </c>
    </row>
    <row r="126" spans="2:11" ht="15.75" customHeight="1">
      <c r="D126" s="3" t="s">
        <v>281</v>
      </c>
    </row>
    <row r="127" spans="2:11" ht="15.75" customHeight="1">
      <c r="D127" s="3" t="s">
        <v>282</v>
      </c>
    </row>
    <row r="128" spans="2:11" ht="15.75" customHeight="1">
      <c r="D128" s="3" t="s">
        <v>283</v>
      </c>
    </row>
    <row r="129" spans="3:10" ht="15.75" customHeight="1">
      <c r="D129" s="3" t="s">
        <v>284</v>
      </c>
    </row>
    <row r="130" spans="3:10" ht="15.75" customHeight="1">
      <c r="C130" s="3" t="s">
        <v>285</v>
      </c>
      <c r="D130" s="3" t="s">
        <v>286</v>
      </c>
    </row>
    <row r="131" spans="3:10" ht="15.75" customHeight="1">
      <c r="C131" s="3"/>
      <c r="D131" s="3" t="s">
        <v>287</v>
      </c>
      <c r="E131" s="3"/>
      <c r="F131" s="3"/>
      <c r="G131" s="3"/>
      <c r="H131" s="3"/>
      <c r="I131" s="3"/>
      <c r="J131" s="3"/>
    </row>
    <row r="132" spans="3:10" ht="15.75" customHeight="1">
      <c r="D132" s="3" t="s">
        <v>288</v>
      </c>
    </row>
    <row r="133" spans="3:10" ht="15.75" customHeight="1">
      <c r="D133" s="3" t="s">
        <v>289</v>
      </c>
    </row>
    <row r="134" spans="3:10" ht="15.75" customHeight="1">
      <c r="D134" s="3" t="s">
        <v>290</v>
      </c>
    </row>
    <row r="135" spans="3:10" ht="15.75" customHeight="1">
      <c r="D135" s="3" t="s">
        <v>291</v>
      </c>
    </row>
    <row r="136" spans="3:10" ht="15.75" customHeight="1">
      <c r="C136" s="3" t="s">
        <v>292</v>
      </c>
      <c r="D136" s="3" t="s">
        <v>293</v>
      </c>
    </row>
    <row r="137" spans="3:10" ht="15.75" customHeight="1">
      <c r="D137" s="3" t="s">
        <v>294</v>
      </c>
    </row>
    <row r="138" spans="3:10" ht="15.75" customHeight="1">
      <c r="D138" s="3" t="s">
        <v>295</v>
      </c>
    </row>
    <row r="139" spans="3:10" ht="15.75" customHeight="1">
      <c r="C139" s="3" t="s">
        <v>296</v>
      </c>
      <c r="D139" s="3" t="s">
        <v>297</v>
      </c>
    </row>
    <row r="140" spans="3:10" ht="15.75" customHeight="1">
      <c r="D140" s="3" t="s">
        <v>298</v>
      </c>
    </row>
    <row r="141" spans="3:10" ht="15.75" customHeight="1">
      <c r="D141" s="3" t="s">
        <v>299</v>
      </c>
    </row>
    <row r="142" spans="3:10" ht="15.75" customHeight="1">
      <c r="D142" s="3" t="s">
        <v>300</v>
      </c>
    </row>
    <row r="143" spans="3:10" ht="15.75" customHeight="1">
      <c r="C143" s="3" t="s">
        <v>301</v>
      </c>
      <c r="D143" s="3" t="s">
        <v>302</v>
      </c>
    </row>
    <row r="144" spans="3:10" ht="15.75" customHeight="1">
      <c r="D144" s="3" t="s">
        <v>303</v>
      </c>
    </row>
    <row r="145" spans="3:4" ht="15.75" customHeight="1">
      <c r="C145" s="3" t="s">
        <v>304</v>
      </c>
      <c r="D145" s="3" t="s">
        <v>305</v>
      </c>
    </row>
    <row r="146" spans="3:4" ht="15.75" customHeight="1">
      <c r="D146" s="3" t="s">
        <v>306</v>
      </c>
    </row>
    <row r="147" spans="3:4" ht="15.75" customHeight="1">
      <c r="D147" s="3" t="s">
        <v>307</v>
      </c>
    </row>
    <row r="148" spans="3:4" ht="15.75" customHeight="1">
      <c r="D148" s="3" t="s">
        <v>308</v>
      </c>
    </row>
    <row r="149" spans="3:4" ht="15.75" customHeight="1">
      <c r="D149" s="3" t="s">
        <v>309</v>
      </c>
    </row>
    <row r="150" spans="3:4" ht="15.75" customHeight="1">
      <c r="D150" s="3" t="s">
        <v>310</v>
      </c>
    </row>
    <row r="151" spans="3:4" ht="15.75" customHeight="1">
      <c r="D151" s="3" t="s">
        <v>311</v>
      </c>
    </row>
    <row r="152" spans="3:4" ht="15.75" customHeight="1">
      <c r="D152" s="3" t="s">
        <v>312</v>
      </c>
    </row>
    <row r="153" spans="3:4" ht="15.75" customHeight="1">
      <c r="C153" s="3" t="s">
        <v>313</v>
      </c>
      <c r="D153" s="3" t="s">
        <v>314</v>
      </c>
    </row>
    <row r="154" spans="3:4" ht="15.75" customHeight="1">
      <c r="C154" s="3"/>
      <c r="D154" s="3" t="s">
        <v>315</v>
      </c>
    </row>
    <row r="155" spans="3:4" ht="15.75" customHeight="1">
      <c r="C155" s="3"/>
      <c r="D155" s="3" t="s">
        <v>316</v>
      </c>
    </row>
    <row r="156" spans="3:4" ht="15.75" customHeight="1">
      <c r="C156" s="3"/>
      <c r="D156" s="3" t="s">
        <v>317</v>
      </c>
    </row>
    <row r="157" spans="3:4" ht="15.75" customHeight="1">
      <c r="C157" s="3"/>
      <c r="D157" s="3" t="s">
        <v>318</v>
      </c>
    </row>
    <row r="158" spans="3:4" ht="15.75" customHeight="1">
      <c r="C158" s="3"/>
      <c r="D158" s="3" t="s">
        <v>319</v>
      </c>
    </row>
    <row r="159" spans="3:4" ht="15.75" customHeight="1">
      <c r="C159" s="3"/>
      <c r="D159" s="3" t="s">
        <v>320</v>
      </c>
    </row>
    <row r="160" spans="3:4" ht="15.75" customHeight="1">
      <c r="C160" s="3" t="s">
        <v>321</v>
      </c>
      <c r="D160" s="3" t="s">
        <v>322</v>
      </c>
    </row>
    <row r="161" spans="2:11" ht="15.75" customHeight="1">
      <c r="C161" s="3" t="s">
        <v>323</v>
      </c>
      <c r="D161" s="3" t="s">
        <v>324</v>
      </c>
    </row>
    <row r="162" spans="2:11" ht="15.75" customHeight="1">
      <c r="C162" s="3" t="s">
        <v>325</v>
      </c>
      <c r="D162" s="3" t="s">
        <v>326</v>
      </c>
      <c r="E162" s="3"/>
      <c r="F162" s="3"/>
      <c r="G162" s="3"/>
      <c r="H162" s="3"/>
      <c r="I162" s="3"/>
      <c r="J162" s="3"/>
      <c r="K162" s="3"/>
    </row>
    <row r="163" spans="2:11" ht="15.75" customHeight="1">
      <c r="C163" s="3" t="s">
        <v>327</v>
      </c>
      <c r="D163" s="3" t="s">
        <v>328</v>
      </c>
    </row>
    <row r="164" spans="2:11" ht="15.75" customHeight="1">
      <c r="D164" s="48" t="s">
        <v>329</v>
      </c>
    </row>
    <row r="165" spans="2:11" ht="15.75" customHeight="1">
      <c r="D165" s="3" t="s">
        <v>330</v>
      </c>
    </row>
    <row r="166" spans="2:11" ht="15.75" customHeight="1"/>
    <row r="167" spans="2:11" ht="15.75" customHeight="1"/>
    <row r="168" spans="2:11" ht="15.75" customHeight="1">
      <c r="B168" s="38" t="s">
        <v>331</v>
      </c>
    </row>
    <row r="169" spans="2:11" ht="15.75" customHeight="1">
      <c r="B169" s="49"/>
      <c r="C169" s="49"/>
      <c r="D169" s="49"/>
    </row>
    <row r="170" spans="2:11" ht="15.75" customHeight="1">
      <c r="B170" s="50" t="s">
        <v>332</v>
      </c>
      <c r="C170" s="50" t="s">
        <v>333</v>
      </c>
      <c r="D170" s="50" t="s">
        <v>334</v>
      </c>
    </row>
    <row r="171" spans="2:11" ht="15.75" customHeight="1">
      <c r="B171" s="49" t="s">
        <v>335</v>
      </c>
      <c r="C171" s="49" t="s">
        <v>336</v>
      </c>
      <c r="D171" s="49" t="s">
        <v>337</v>
      </c>
    </row>
    <row r="172" spans="2:11" ht="15.75" customHeight="1">
      <c r="B172" s="49"/>
      <c r="C172" s="49"/>
      <c r="D172" s="49" t="s">
        <v>338</v>
      </c>
    </row>
    <row r="173" spans="2:11" ht="15.75" customHeight="1">
      <c r="B173" s="49"/>
      <c r="C173" s="49"/>
      <c r="D173" s="49" t="s">
        <v>339</v>
      </c>
    </row>
    <row r="174" spans="2:11" ht="15.75" customHeight="1">
      <c r="B174" s="49"/>
      <c r="C174" s="49"/>
      <c r="D174" s="49"/>
    </row>
    <row r="175" spans="2:11" ht="15.75" customHeight="1">
      <c r="B175" s="49" t="s">
        <v>340</v>
      </c>
      <c r="C175" s="3" t="s">
        <v>341</v>
      </c>
      <c r="D175" s="3" t="s">
        <v>342</v>
      </c>
    </row>
    <row r="176" spans="2:11" ht="15.75" customHeight="1">
      <c r="B176" s="49"/>
      <c r="C176" s="3"/>
      <c r="D176" s="3"/>
    </row>
    <row r="177" spans="2:4" ht="15.75" customHeight="1">
      <c r="B177" s="49" t="s">
        <v>343</v>
      </c>
      <c r="C177" s="3" t="s">
        <v>344</v>
      </c>
      <c r="D177" s="3" t="s">
        <v>345</v>
      </c>
    </row>
    <row r="178" spans="2:4" ht="15.75" customHeight="1">
      <c r="B178" s="49"/>
      <c r="C178" s="3"/>
      <c r="D178" s="3"/>
    </row>
    <row r="179" spans="2:4" ht="15.75" customHeight="1">
      <c r="B179" s="49" t="s">
        <v>346</v>
      </c>
      <c r="C179" s="3" t="s">
        <v>347</v>
      </c>
      <c r="D179" s="3" t="s">
        <v>348</v>
      </c>
    </row>
    <row r="180" spans="2:4" ht="15.75" customHeight="1">
      <c r="B180" s="49"/>
      <c r="C180" s="3"/>
      <c r="D180" s="3"/>
    </row>
    <row r="181" spans="2:4" ht="15.75" customHeight="1">
      <c r="B181" s="49" t="s">
        <v>349</v>
      </c>
      <c r="C181" s="3" t="s">
        <v>350</v>
      </c>
      <c r="D181" s="3" t="s">
        <v>351</v>
      </c>
    </row>
    <row r="182" spans="2:4" ht="15.75" customHeight="1">
      <c r="B182" s="49"/>
      <c r="C182" s="3"/>
      <c r="D182" s="3" t="s">
        <v>352</v>
      </c>
    </row>
    <row r="183" spans="2:4" ht="15.75" customHeight="1">
      <c r="B183" s="49"/>
      <c r="C183" s="3"/>
      <c r="D183" s="3" t="s">
        <v>353</v>
      </c>
    </row>
    <row r="184" spans="2:4" ht="15.75" customHeight="1">
      <c r="B184" s="49"/>
      <c r="C184" s="3"/>
      <c r="D184" s="3" t="s">
        <v>354</v>
      </c>
    </row>
    <row r="185" spans="2:4" ht="15.75" customHeight="1">
      <c r="B185" s="49"/>
      <c r="C185" s="3"/>
      <c r="D185" s="3"/>
    </row>
    <row r="186" spans="2:4" ht="15.75" customHeight="1">
      <c r="B186" s="49" t="s">
        <v>355</v>
      </c>
      <c r="C186" s="3" t="s">
        <v>356</v>
      </c>
      <c r="D186" s="3" t="s">
        <v>342</v>
      </c>
    </row>
    <row r="187" spans="2:4" ht="15.75" customHeight="1">
      <c r="B187" s="49"/>
      <c r="C187" s="3"/>
      <c r="D187" s="3"/>
    </row>
    <row r="188" spans="2:4" ht="15.75" customHeight="1">
      <c r="B188" s="49" t="s">
        <v>357</v>
      </c>
      <c r="C188" s="3" t="s">
        <v>358</v>
      </c>
      <c r="D188" s="3" t="s">
        <v>359</v>
      </c>
    </row>
    <row r="189" spans="2:4" ht="15.75" customHeight="1">
      <c r="B189" s="49"/>
      <c r="C189" s="3"/>
      <c r="D189" s="3" t="s">
        <v>360</v>
      </c>
    </row>
    <row r="190" spans="2:4" ht="15.75" customHeight="1">
      <c r="B190" s="49"/>
      <c r="C190" s="3"/>
      <c r="D190" s="3"/>
    </row>
    <row r="191" spans="2:4" ht="15.75" customHeight="1">
      <c r="B191" s="49" t="s">
        <v>361</v>
      </c>
      <c r="C191" s="3" t="s">
        <v>362</v>
      </c>
      <c r="D191" s="3" t="s">
        <v>363</v>
      </c>
    </row>
    <row r="192" spans="2:4" ht="15.75" customHeight="1">
      <c r="B192" s="49"/>
      <c r="C192" s="3"/>
      <c r="D192" s="3"/>
    </row>
    <row r="193" spans="2:4" ht="15.75" customHeight="1">
      <c r="B193" s="49" t="s">
        <v>364</v>
      </c>
      <c r="C193" s="3" t="s">
        <v>365</v>
      </c>
      <c r="D193" s="3" t="s">
        <v>366</v>
      </c>
    </row>
    <row r="194" spans="2:4" ht="15.75" customHeight="1">
      <c r="B194" s="49"/>
      <c r="C194" s="3"/>
      <c r="D194" s="3"/>
    </row>
    <row r="195" spans="2:4" ht="15.75" customHeight="1">
      <c r="B195" s="49" t="s">
        <v>367</v>
      </c>
      <c r="C195" s="3" t="s">
        <v>368</v>
      </c>
      <c r="D195" s="3" t="s">
        <v>369</v>
      </c>
    </row>
    <row r="196" spans="2:4" ht="15.75" customHeight="1">
      <c r="B196" s="49"/>
      <c r="C196" s="3"/>
      <c r="D196" s="3" t="s">
        <v>370</v>
      </c>
    </row>
    <row r="197" spans="2:4" ht="15.75" customHeight="1">
      <c r="B197" s="49"/>
      <c r="C197" s="3"/>
      <c r="D197" s="3" t="s">
        <v>371</v>
      </c>
    </row>
    <row r="198" spans="2:4" ht="15.75" customHeight="1">
      <c r="B198" s="49"/>
      <c r="C198" s="3"/>
      <c r="D198" s="3" t="s">
        <v>372</v>
      </c>
    </row>
    <row r="199" spans="2:4" ht="15.75" customHeight="1">
      <c r="B199" s="49"/>
      <c r="C199" s="3"/>
      <c r="D199" s="3" t="s">
        <v>373</v>
      </c>
    </row>
    <row r="200" spans="2:4" ht="15.75" customHeight="1">
      <c r="B200" s="49"/>
      <c r="C200" s="3"/>
      <c r="D200" s="3" t="s">
        <v>374</v>
      </c>
    </row>
    <row r="201" spans="2:4" ht="15.75" customHeight="1">
      <c r="B201" s="49"/>
      <c r="C201" s="3"/>
      <c r="D201" s="3" t="s">
        <v>375</v>
      </c>
    </row>
    <row r="202" spans="2:4" ht="15.75" customHeight="1">
      <c r="B202" s="49"/>
      <c r="C202" s="3"/>
      <c r="D202" s="3"/>
    </row>
    <row r="203" spans="2:4" ht="15.75" customHeight="1">
      <c r="B203" s="49" t="s">
        <v>376</v>
      </c>
      <c r="C203" s="3" t="s">
        <v>377</v>
      </c>
      <c r="D203" s="39" t="s">
        <v>378</v>
      </c>
    </row>
    <row r="204" spans="2:4" ht="15.75" customHeight="1">
      <c r="B204" s="49"/>
      <c r="C204" s="3"/>
      <c r="D204" s="3" t="s">
        <v>379</v>
      </c>
    </row>
    <row r="205" spans="2:4" ht="15.75" customHeight="1">
      <c r="B205" s="49"/>
      <c r="C205" s="3"/>
    </row>
    <row r="206" spans="2:4" ht="15.75" customHeight="1">
      <c r="B206" s="49" t="s">
        <v>380</v>
      </c>
      <c r="C206" s="3" t="s">
        <v>381</v>
      </c>
      <c r="D206" s="39" t="s">
        <v>382</v>
      </c>
    </row>
    <row r="207" spans="2:4" ht="15.75" customHeight="1">
      <c r="B207" s="49"/>
      <c r="C207" s="3"/>
      <c r="D207" s="3" t="s">
        <v>186</v>
      </c>
    </row>
    <row r="208" spans="2:4" ht="15.75" customHeight="1">
      <c r="B208" s="49"/>
      <c r="C208" s="3"/>
      <c r="D208" s="3" t="s">
        <v>187</v>
      </c>
    </row>
    <row r="209" spans="2:4" ht="15.75" customHeight="1">
      <c r="B209" s="49"/>
      <c r="C209" s="3"/>
      <c r="D209" s="3" t="s">
        <v>188</v>
      </c>
    </row>
    <row r="210" spans="2:4" ht="15.75" customHeight="1">
      <c r="B210" s="49"/>
      <c r="C210" s="3"/>
      <c r="D210" s="39" t="s">
        <v>383</v>
      </c>
    </row>
    <row r="211" spans="2:4" ht="15.75" customHeight="1">
      <c r="B211" s="49"/>
      <c r="C211" s="3"/>
    </row>
    <row r="212" spans="2:4" ht="15.75" customHeight="1">
      <c r="B212" s="49" t="s">
        <v>384</v>
      </c>
      <c r="C212" s="3" t="s">
        <v>385</v>
      </c>
      <c r="D212" s="39" t="s">
        <v>386</v>
      </c>
    </row>
    <row r="213" spans="2:4" ht="15.75" customHeight="1">
      <c r="B213" s="49"/>
      <c r="C213" s="3"/>
      <c r="D213" s="3" t="s">
        <v>387</v>
      </c>
    </row>
    <row r="214" spans="2:4" ht="15.75" customHeight="1">
      <c r="B214" s="49"/>
      <c r="C214" s="3"/>
      <c r="D214" s="3" t="s">
        <v>388</v>
      </c>
    </row>
    <row r="215" spans="2:4" ht="15.75" customHeight="1">
      <c r="B215" s="49"/>
      <c r="C215" s="3"/>
    </row>
    <row r="216" spans="2:4" ht="15.75" customHeight="1">
      <c r="B216" s="49" t="s">
        <v>389</v>
      </c>
      <c r="C216" s="3" t="s">
        <v>390</v>
      </c>
      <c r="D216" s="39" t="s">
        <v>391</v>
      </c>
    </row>
    <row r="217" spans="2:4" ht="15.75" customHeight="1">
      <c r="B217" s="49"/>
      <c r="C217" s="3"/>
      <c r="D217" s="3" t="s">
        <v>392</v>
      </c>
    </row>
    <row r="218" spans="2:4" ht="15.75" customHeight="1">
      <c r="B218" s="49"/>
      <c r="C218" s="3"/>
      <c r="D218" s="3" t="s">
        <v>393</v>
      </c>
    </row>
    <row r="219" spans="2:4" ht="15.75" customHeight="1">
      <c r="B219" s="50"/>
      <c r="C219" s="3"/>
      <c r="D219" s="3"/>
    </row>
    <row r="220" spans="2:4" ht="15.75" customHeight="1">
      <c r="B220" s="49" t="s">
        <v>394</v>
      </c>
      <c r="C220" s="39" t="s">
        <v>395</v>
      </c>
      <c r="D220" s="39" t="s">
        <v>396</v>
      </c>
    </row>
    <row r="221" spans="2:4" ht="15.75" customHeight="1">
      <c r="B221" s="49"/>
      <c r="C221" s="49"/>
      <c r="D221" s="49" t="s">
        <v>397</v>
      </c>
    </row>
    <row r="222" spans="2:4" ht="15.75" customHeight="1">
      <c r="B222" s="49"/>
      <c r="C222" s="49"/>
      <c r="D222" s="49" t="s">
        <v>398</v>
      </c>
    </row>
    <row r="223" spans="2:4" ht="15.75" customHeight="1">
      <c r="B223" s="49"/>
      <c r="C223" s="49"/>
      <c r="D223" s="49" t="s">
        <v>399</v>
      </c>
    </row>
    <row r="224" spans="2:4" ht="15.75" customHeight="1">
      <c r="B224" s="49"/>
      <c r="C224" s="49"/>
      <c r="D224" s="49" t="s">
        <v>400</v>
      </c>
    </row>
    <row r="225" spans="2:4" ht="15.75" customHeight="1">
      <c r="B225" s="49"/>
      <c r="C225" s="49"/>
      <c r="D225" s="49" t="s">
        <v>401</v>
      </c>
    </row>
    <row r="226" spans="2:4" ht="15.75" customHeight="1">
      <c r="B226" s="49"/>
      <c r="C226" s="51"/>
      <c r="D226" s="51"/>
    </row>
    <row r="227" spans="2:4" ht="15.75" customHeight="1">
      <c r="B227" s="49" t="s">
        <v>402</v>
      </c>
      <c r="C227" s="39" t="s">
        <v>403</v>
      </c>
      <c r="D227" s="39" t="s">
        <v>404</v>
      </c>
    </row>
    <row r="228" spans="2:4" ht="15.75" customHeight="1">
      <c r="B228" s="49"/>
      <c r="C228" s="49"/>
      <c r="D228" s="49" t="s">
        <v>405</v>
      </c>
    </row>
    <row r="229" spans="2:4" ht="15.75" customHeight="1">
      <c r="B229" s="49"/>
      <c r="C229" s="49"/>
      <c r="D229" s="49" t="s">
        <v>406</v>
      </c>
    </row>
    <row r="230" spans="2:4" ht="15.75" customHeight="1">
      <c r="B230" s="49"/>
      <c r="C230" s="49"/>
      <c r="D230" s="49"/>
    </row>
    <row r="231" spans="2:4" ht="15.75" customHeight="1">
      <c r="B231" s="49" t="s">
        <v>407</v>
      </c>
      <c r="C231" s="39" t="s">
        <v>408</v>
      </c>
      <c r="D231" s="39" t="s">
        <v>409</v>
      </c>
    </row>
    <row r="232" spans="2:4" ht="15.75" customHeight="1">
      <c r="B232" s="49"/>
      <c r="C232" s="49"/>
      <c r="D232" s="49" t="s">
        <v>410</v>
      </c>
    </row>
    <row r="233" spans="2:4" ht="15.75" customHeight="1">
      <c r="B233" s="49"/>
      <c r="C233" s="49"/>
      <c r="D233" s="49" t="s">
        <v>411</v>
      </c>
    </row>
    <row r="234" spans="2:4" ht="15.75" customHeight="1">
      <c r="B234" s="49"/>
      <c r="C234" s="49"/>
      <c r="D234" s="49"/>
    </row>
    <row r="235" spans="2:4" ht="15.75" customHeight="1">
      <c r="B235" s="49" t="s">
        <v>412</v>
      </c>
      <c r="C235" s="39" t="s">
        <v>413</v>
      </c>
      <c r="D235" s="39" t="s">
        <v>414</v>
      </c>
    </row>
    <row r="236" spans="2:4" ht="15.75" customHeight="1">
      <c r="B236" s="49"/>
      <c r="C236" s="49"/>
      <c r="D236" s="49" t="s">
        <v>415</v>
      </c>
    </row>
    <row r="237" spans="2:4" ht="15.75" customHeight="1">
      <c r="B237" s="49"/>
      <c r="C237" s="49"/>
      <c r="D237" s="49" t="s">
        <v>416</v>
      </c>
    </row>
    <row r="238" spans="2:4" ht="15.75" customHeight="1">
      <c r="B238" s="49"/>
      <c r="C238" s="49"/>
      <c r="D238" s="49" t="s">
        <v>417</v>
      </c>
    </row>
    <row r="239" spans="2:4" ht="15.75" customHeight="1">
      <c r="B239" s="49"/>
      <c r="C239" s="49"/>
      <c r="D239" s="49"/>
    </row>
    <row r="240" spans="2:4" ht="15.75" customHeight="1">
      <c r="B240" s="49" t="s">
        <v>418</v>
      </c>
      <c r="C240" s="39" t="s">
        <v>419</v>
      </c>
      <c r="D240" s="39" t="s">
        <v>420</v>
      </c>
    </row>
    <row r="241" spans="2:4" ht="15.75" customHeight="1">
      <c r="B241" s="49"/>
      <c r="C241" s="49"/>
      <c r="D241" s="49" t="s">
        <v>421</v>
      </c>
    </row>
    <row r="242" spans="2:4" ht="15.75" customHeight="1">
      <c r="B242" s="49"/>
      <c r="C242" s="49"/>
      <c r="D242" s="49"/>
    </row>
    <row r="243" spans="2:4" ht="15.75" customHeight="1">
      <c r="B243" s="49" t="s">
        <v>422</v>
      </c>
      <c r="C243" s="39" t="s">
        <v>423</v>
      </c>
      <c r="D243" s="39" t="s">
        <v>424</v>
      </c>
    </row>
    <row r="244" spans="2:4" ht="15.75" customHeight="1">
      <c r="B244" s="49"/>
      <c r="C244" s="49"/>
      <c r="D244" s="49" t="s">
        <v>425</v>
      </c>
    </row>
    <row r="245" spans="2:4" ht="15.75" customHeight="1">
      <c r="B245" s="49"/>
      <c r="C245" s="49"/>
      <c r="D245" s="49" t="s">
        <v>426</v>
      </c>
    </row>
    <row r="246" spans="2:4" ht="15.75" customHeight="1">
      <c r="B246" s="49"/>
      <c r="C246" s="49"/>
      <c r="D246" s="49" t="s">
        <v>427</v>
      </c>
    </row>
    <row r="247" spans="2:4" ht="15.75" customHeight="1">
      <c r="B247" s="49"/>
      <c r="C247" s="49"/>
      <c r="D247" s="49" t="s">
        <v>421</v>
      </c>
    </row>
    <row r="248" spans="2:4" ht="15.75" customHeight="1">
      <c r="B248" s="49"/>
      <c r="C248" s="49"/>
      <c r="D248" s="49"/>
    </row>
    <row r="249" spans="2:4" ht="15.75" customHeight="1">
      <c r="B249" s="49" t="s">
        <v>428</v>
      </c>
      <c r="C249" s="39" t="s">
        <v>429</v>
      </c>
      <c r="D249" s="39" t="s">
        <v>430</v>
      </c>
    </row>
    <row r="250" spans="2:4" ht="15.75" customHeight="1">
      <c r="B250" s="49"/>
      <c r="C250" s="49"/>
      <c r="D250" s="49" t="s">
        <v>431</v>
      </c>
    </row>
    <row r="251" spans="2:4" ht="15.75" customHeight="1">
      <c r="B251" s="49"/>
      <c r="C251" s="49"/>
      <c r="D251" s="49" t="s">
        <v>432</v>
      </c>
    </row>
    <row r="252" spans="2:4" ht="15.75" customHeight="1">
      <c r="B252" s="49"/>
      <c r="C252" s="49"/>
      <c r="D252" s="49" t="s">
        <v>433</v>
      </c>
    </row>
    <row r="253" spans="2:4" ht="15.75" customHeight="1">
      <c r="B253" s="49"/>
      <c r="C253" s="49"/>
      <c r="D253" s="49" t="s">
        <v>434</v>
      </c>
    </row>
    <row r="254" spans="2:4" ht="15.75" customHeight="1">
      <c r="B254" s="49"/>
      <c r="C254" s="49"/>
      <c r="D254" s="49" t="s">
        <v>435</v>
      </c>
    </row>
    <row r="255" spans="2:4" ht="15.75" customHeight="1">
      <c r="B255" s="49"/>
      <c r="C255" s="49"/>
      <c r="D255" s="49" t="s">
        <v>436</v>
      </c>
    </row>
    <row r="256" spans="2:4" ht="15.75" customHeight="1">
      <c r="B256" s="49"/>
      <c r="C256" s="49"/>
      <c r="D256" s="49" t="s">
        <v>437</v>
      </c>
    </row>
    <row r="257" spans="2:4" ht="15.75" customHeight="1">
      <c r="B257" s="49"/>
      <c r="C257" s="49"/>
      <c r="D257" s="49" t="s">
        <v>438</v>
      </c>
    </row>
    <row r="258" spans="2:4" ht="15.75" customHeight="1">
      <c r="B258" s="49"/>
      <c r="C258" s="49"/>
      <c r="D258" s="49" t="s">
        <v>439</v>
      </c>
    </row>
    <row r="259" spans="2:4" ht="15.75" customHeight="1">
      <c r="B259" s="49"/>
      <c r="C259" s="49"/>
      <c r="D259" s="49" t="s">
        <v>440</v>
      </c>
    </row>
    <row r="260" spans="2:4" ht="15.75" customHeight="1">
      <c r="B260" s="49"/>
      <c r="C260" s="49"/>
      <c r="D260" s="49" t="s">
        <v>441</v>
      </c>
    </row>
    <row r="261" spans="2:4" ht="15.75" customHeight="1">
      <c r="B261" s="49"/>
      <c r="C261" s="49"/>
      <c r="D261" s="49" t="s">
        <v>442</v>
      </c>
    </row>
    <row r="262" spans="2:4" ht="15.75" customHeight="1">
      <c r="B262" s="49"/>
      <c r="C262" s="49"/>
      <c r="D262" s="49"/>
    </row>
    <row r="263" spans="2:4" ht="15.75" customHeight="1">
      <c r="B263" s="49" t="s">
        <v>443</v>
      </c>
      <c r="C263" s="39" t="s">
        <v>444</v>
      </c>
      <c r="D263" s="39" t="s">
        <v>445</v>
      </c>
    </row>
    <row r="264" spans="2:4" ht="15.75" customHeight="1">
      <c r="B264" s="49"/>
      <c r="C264" s="49"/>
      <c r="D264" s="49" t="s">
        <v>446</v>
      </c>
    </row>
    <row r="265" spans="2:4" ht="15.75" customHeight="1">
      <c r="B265" s="49"/>
      <c r="C265" s="49"/>
      <c r="D265" s="49" t="s">
        <v>447</v>
      </c>
    </row>
    <row r="266" spans="2:4" ht="15.75" customHeight="1">
      <c r="B266" s="49"/>
      <c r="C266" s="49"/>
      <c r="D266" s="49"/>
    </row>
    <row r="267" spans="2:4" ht="15.75" customHeight="1">
      <c r="B267" s="49" t="s">
        <v>448</v>
      </c>
      <c r="C267" s="39" t="s">
        <v>449</v>
      </c>
      <c r="D267" s="39" t="s">
        <v>450</v>
      </c>
    </row>
    <row r="268" spans="2:4" ht="15.75" customHeight="1">
      <c r="B268" s="49"/>
      <c r="C268" s="49"/>
      <c r="D268" s="49" t="s">
        <v>451</v>
      </c>
    </row>
    <row r="269" spans="2:4" ht="15.75" customHeight="1">
      <c r="B269" s="49"/>
      <c r="C269" s="49"/>
      <c r="D269" s="49"/>
    </row>
    <row r="270" spans="2:4" ht="15.75" customHeight="1">
      <c r="B270" s="49" t="s">
        <v>452</v>
      </c>
      <c r="C270" s="39" t="s">
        <v>453</v>
      </c>
      <c r="D270" s="39" t="s">
        <v>454</v>
      </c>
    </row>
    <row r="271" spans="2:4" ht="15.75" customHeight="1">
      <c r="B271" s="49"/>
      <c r="C271" s="49"/>
      <c r="D271" s="49" t="s">
        <v>455</v>
      </c>
    </row>
    <row r="272" spans="2:4" ht="15.75" customHeight="1">
      <c r="B272" s="49"/>
      <c r="C272" s="49"/>
      <c r="D272" s="49"/>
    </row>
    <row r="273" spans="2:4" ht="15.75" customHeight="1">
      <c r="B273" s="49" t="s">
        <v>456</v>
      </c>
      <c r="C273" s="49" t="s">
        <v>457</v>
      </c>
      <c r="D273" s="49" t="s">
        <v>458</v>
      </c>
    </row>
    <row r="274" spans="2:4" ht="15.75" customHeight="1">
      <c r="B274" s="49"/>
      <c r="C274" s="49"/>
      <c r="D274" s="49"/>
    </row>
    <row r="275" spans="2:4" ht="15.75" customHeight="1">
      <c r="B275" s="49" t="s">
        <v>459</v>
      </c>
      <c r="C275" s="49" t="s">
        <v>460</v>
      </c>
      <c r="D275" s="49" t="s">
        <v>461</v>
      </c>
    </row>
    <row r="276" spans="2:4" ht="15.75" customHeight="1">
      <c r="B276" s="49"/>
      <c r="C276" s="49"/>
      <c r="D276" s="49" t="s">
        <v>462</v>
      </c>
    </row>
    <row r="277" spans="2:4" ht="15.75" customHeight="1">
      <c r="B277" s="49"/>
      <c r="C277" s="49"/>
      <c r="D277" s="49"/>
    </row>
    <row r="278" spans="2:4" ht="15.75" customHeight="1">
      <c r="B278" s="49" t="s">
        <v>463</v>
      </c>
      <c r="C278" s="49" t="s">
        <v>464</v>
      </c>
      <c r="D278" s="49" t="s">
        <v>465</v>
      </c>
    </row>
    <row r="279" spans="2:4" ht="15.75" customHeight="1">
      <c r="B279" s="49"/>
      <c r="C279" s="49"/>
      <c r="D279" s="49" t="s">
        <v>466</v>
      </c>
    </row>
    <row r="280" spans="2:4" ht="15.75" customHeight="1">
      <c r="B280" s="49"/>
      <c r="C280" s="49"/>
      <c r="D280" s="49"/>
    </row>
    <row r="281" spans="2:4" ht="15.75" customHeight="1">
      <c r="B281" s="49" t="s">
        <v>467</v>
      </c>
      <c r="C281" s="49" t="s">
        <v>468</v>
      </c>
      <c r="D281" s="49" t="s">
        <v>469</v>
      </c>
    </row>
    <row r="282" spans="2:4" ht="15.75" customHeight="1">
      <c r="B282" s="49"/>
      <c r="C282" s="49"/>
      <c r="D282" s="49" t="s">
        <v>470</v>
      </c>
    </row>
    <row r="283" spans="2:4" ht="15.75" customHeight="1">
      <c r="B283" s="49"/>
      <c r="C283" s="49"/>
      <c r="D283" s="49"/>
    </row>
    <row r="284" spans="2:4" ht="15.75" customHeight="1">
      <c r="B284" s="49" t="s">
        <v>471</v>
      </c>
      <c r="C284" s="49" t="s">
        <v>472</v>
      </c>
      <c r="D284" s="49" t="s">
        <v>473</v>
      </c>
    </row>
    <row r="285" spans="2:4" ht="15.75" customHeight="1">
      <c r="B285" s="49"/>
      <c r="C285" s="49"/>
      <c r="D285" s="49" t="s">
        <v>470</v>
      </c>
    </row>
    <row r="286" spans="2:4" ht="15.75" customHeight="1">
      <c r="B286" s="49"/>
      <c r="C286" s="49"/>
      <c r="D286" s="49"/>
    </row>
    <row r="287" spans="2:4" ht="15.75" customHeight="1">
      <c r="B287" s="49" t="s">
        <v>474</v>
      </c>
      <c r="C287" s="49" t="s">
        <v>475</v>
      </c>
      <c r="D287" s="49" t="s">
        <v>476</v>
      </c>
    </row>
    <row r="288" spans="2:4" ht="15.75" customHeight="1">
      <c r="B288" s="49"/>
      <c r="C288" s="49"/>
      <c r="D288" s="49" t="s">
        <v>477</v>
      </c>
    </row>
    <row r="289" spans="2:4" ht="15.75" customHeight="1">
      <c r="B289" s="49"/>
      <c r="C289" s="49"/>
      <c r="D289" s="49" t="s">
        <v>478</v>
      </c>
    </row>
    <row r="290" spans="2:4" ht="15.75" customHeight="1">
      <c r="B290" s="49"/>
      <c r="C290" s="49"/>
      <c r="D290" s="49" t="s">
        <v>479</v>
      </c>
    </row>
    <row r="291" spans="2:4" ht="15.75" customHeight="1">
      <c r="B291" s="49"/>
      <c r="C291" s="49"/>
      <c r="D291" s="49"/>
    </row>
    <row r="292" spans="2:4" ht="15.75" customHeight="1">
      <c r="B292" s="49" t="s">
        <v>480</v>
      </c>
      <c r="C292" s="49" t="s">
        <v>481</v>
      </c>
      <c r="D292" s="49" t="s">
        <v>482</v>
      </c>
    </row>
    <row r="293" spans="2:4" ht="15.75" customHeight="1">
      <c r="B293" s="49"/>
      <c r="C293" s="49"/>
      <c r="D293" s="49"/>
    </row>
    <row r="294" spans="2:4" ht="15.75" customHeight="1">
      <c r="B294" s="49" t="s">
        <v>483</v>
      </c>
      <c r="C294" s="49" t="s">
        <v>484</v>
      </c>
      <c r="D294" s="49" t="s">
        <v>485</v>
      </c>
    </row>
    <row r="295" spans="2:4" ht="15.75" customHeight="1">
      <c r="B295" s="49"/>
      <c r="C295" s="49"/>
      <c r="D295" s="49"/>
    </row>
    <row r="296" spans="2:4" ht="15.75" customHeight="1">
      <c r="B296" s="49" t="s">
        <v>486</v>
      </c>
      <c r="C296" s="49" t="s">
        <v>487</v>
      </c>
      <c r="D296" s="49" t="s">
        <v>488</v>
      </c>
    </row>
    <row r="297" spans="2:4" ht="15.75" customHeight="1">
      <c r="B297" s="49"/>
      <c r="C297" s="49"/>
      <c r="D297" s="49"/>
    </row>
    <row r="298" spans="2:4" ht="15.75" customHeight="1">
      <c r="B298" s="49" t="s">
        <v>489</v>
      </c>
      <c r="C298" s="49" t="s">
        <v>490</v>
      </c>
      <c r="D298" s="49" t="s">
        <v>491</v>
      </c>
    </row>
    <row r="299" spans="2:4" ht="15.75" customHeight="1">
      <c r="B299" s="49"/>
      <c r="C299" s="49"/>
      <c r="D299" s="49" t="s">
        <v>492</v>
      </c>
    </row>
    <row r="300" spans="2:4" ht="15.75" customHeight="1">
      <c r="B300" s="49"/>
      <c r="C300" s="49"/>
      <c r="D300" s="49" t="s">
        <v>493</v>
      </c>
    </row>
    <row r="301" spans="2:4" ht="15.75" customHeight="1">
      <c r="B301" s="49"/>
      <c r="C301" s="49"/>
      <c r="D301" s="49"/>
    </row>
    <row r="302" spans="2:4" ht="15.75" customHeight="1">
      <c r="B302" s="49" t="s">
        <v>494</v>
      </c>
      <c r="C302" s="49" t="s">
        <v>495</v>
      </c>
      <c r="D302" s="49" t="s">
        <v>496</v>
      </c>
    </row>
    <row r="303" spans="2:4" ht="15.75" customHeight="1">
      <c r="B303" s="49"/>
      <c r="C303" s="49"/>
      <c r="D303" s="49"/>
    </row>
    <row r="304" spans="2:4" ht="15.75" customHeight="1">
      <c r="B304" s="49" t="s">
        <v>497</v>
      </c>
      <c r="C304" s="49" t="s">
        <v>498</v>
      </c>
      <c r="D304" s="49" t="s">
        <v>499</v>
      </c>
    </row>
    <row r="305" spans="2:4" ht="15.75" customHeight="1">
      <c r="B305" s="49"/>
      <c r="C305" s="49"/>
      <c r="D305" s="49" t="s">
        <v>500</v>
      </c>
    </row>
    <row r="306" spans="2:4" ht="15.75" customHeight="1">
      <c r="B306" s="49"/>
      <c r="C306" s="49"/>
      <c r="D306" s="49"/>
    </row>
    <row r="307" spans="2:4" ht="15.75" customHeight="1">
      <c r="B307" s="49" t="s">
        <v>501</v>
      </c>
      <c r="C307" s="49" t="s">
        <v>502</v>
      </c>
      <c r="D307" s="49" t="s">
        <v>503</v>
      </c>
    </row>
    <row r="308" spans="2:4" ht="15.75" customHeight="1"/>
    <row r="309" spans="2:4" ht="15.75" customHeight="1"/>
    <row r="310" spans="2:4" ht="15.75" customHeight="1"/>
    <row r="311" spans="2:4" ht="15.75" customHeight="1"/>
    <row r="312" spans="2:4" ht="15.75" customHeight="1"/>
    <row r="313" spans="2:4" ht="15.75" customHeight="1"/>
    <row r="314" spans="2:4" ht="15.75" customHeight="1"/>
    <row r="315" spans="2:4" ht="15.75" customHeight="1"/>
    <row r="316" spans="2:4" ht="15.75" customHeight="1"/>
    <row r="317" spans="2:4" ht="15.75" customHeight="1"/>
    <row r="318" spans="2:4" ht="15.75" customHeight="1"/>
    <row r="319" spans="2:4" ht="15.75" customHeight="1"/>
    <row r="320" spans="2:4"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sheetData>
  <hyperlinks>
    <hyperlink ref="D91" r:id="rId1" xr:uid="{00000000-0004-0000-0200-000000000000}"/>
  </hyperlink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L1000"/>
  <sheetViews>
    <sheetView workbookViewId="0">
      <selection activeCell="C5" sqref="C5"/>
    </sheetView>
  </sheetViews>
  <sheetFormatPr defaultColWidth="15.109375" defaultRowHeight="15" customHeight="1"/>
  <cols>
    <col min="1" max="1" width="3.33203125" customWidth="1"/>
    <col min="2" max="2" width="15" customWidth="1"/>
    <col min="3" max="3" width="19.109375" customWidth="1"/>
    <col min="4" max="26" width="12.6640625" customWidth="1"/>
  </cols>
  <sheetData>
    <row r="1" spans="1:11" ht="15.75" customHeight="1">
      <c r="A1" s="3"/>
      <c r="B1" s="2"/>
      <c r="G1" s="3" t="s">
        <v>504</v>
      </c>
    </row>
    <row r="2" spans="1:11" ht="15.75" customHeight="1">
      <c r="A2" s="3"/>
      <c r="B2" s="3" t="s">
        <v>505</v>
      </c>
      <c r="J2" s="3" t="s">
        <v>506</v>
      </c>
      <c r="K2" s="12">
        <f>ROUND((10000*2.4^UserBuildings!S5)*(1+UserBuildings!D20/1000),-3)</f>
        <v>136127000</v>
      </c>
    </row>
    <row r="3" spans="1:11" ht="15.75" customHeight="1">
      <c r="A3" s="3"/>
      <c r="B3" s="3"/>
      <c r="C3" s="3"/>
      <c r="D3" s="3"/>
      <c r="E3" s="3"/>
      <c r="F3" s="3"/>
      <c r="G3" s="3" t="s">
        <v>507</v>
      </c>
      <c r="H3" s="3" t="s">
        <v>508</v>
      </c>
      <c r="J3" s="3" t="s">
        <v>509</v>
      </c>
    </row>
    <row r="4" spans="1:11" ht="15.75" customHeight="1">
      <c r="A4" s="3"/>
      <c r="B4" s="1" t="s">
        <v>510</v>
      </c>
      <c r="C4" s="169" t="s">
        <v>511</v>
      </c>
      <c r="D4" s="1" t="s">
        <v>512</v>
      </c>
      <c r="E4" s="1" t="s">
        <v>513</v>
      </c>
      <c r="F4" s="1" t="s">
        <v>514</v>
      </c>
      <c r="G4" s="52">
        <v>20</v>
      </c>
      <c r="H4" s="1">
        <f>$G$4</f>
        <v>20</v>
      </c>
    </row>
    <row r="5" spans="1:11" ht="15.75" customHeight="1">
      <c r="A5" s="3"/>
      <c r="B5" s="3" t="s">
        <v>101</v>
      </c>
      <c r="C5" s="12">
        <f ca="1">I5*'Supply Chain'!E33</f>
        <v>535500</v>
      </c>
      <c r="D5" s="17">
        <f t="shared" ref="D5:D18" ca="1" si="0">($J5*(1+$K5/50)+$K$2*4)/($C5*0.5)/24</f>
        <v>88.460628695922821</v>
      </c>
      <c r="E5" s="17">
        <f t="shared" ref="E5:E18" ca="1" si="1">($J5*(1+$K5/50)+$K$2*4)/($C5*0.75)/24</f>
        <v>58.973752463948536</v>
      </c>
      <c r="F5" s="17">
        <f t="shared" ref="F5:F18" ca="1" si="2">($J5*(1+$K5/50)+$K$2*4)/$C5/24</f>
        <v>44.230314347961411</v>
      </c>
      <c r="G5" s="17">
        <f t="shared" ref="G5:G18" ca="1" si="3">(J5*(1+K5/50)+$K$2*4)/(C5*($G$4/100))/24</f>
        <v>221.15157173980705</v>
      </c>
      <c r="H5" s="53">
        <f t="shared" ref="H5:H18" ca="1" si="4">C5*($G$4/100)</f>
        <v>107100</v>
      </c>
      <c r="I5" s="53">
        <f>VLOOKUP(B5,Static!$R$4:$W$17,4,FALSE)</f>
        <v>1530</v>
      </c>
      <c r="J5" s="12">
        <f>VLOOKUP(B5,Static!$R$4:$W$17,6,FALSE)</f>
        <v>1000000</v>
      </c>
      <c r="K5">
        <f>UserBuildings!$D$20</f>
        <v>1147</v>
      </c>
    </row>
    <row r="6" spans="1:11" ht="15.75" customHeight="1">
      <c r="A6" s="3"/>
      <c r="B6" s="3" t="s">
        <v>148</v>
      </c>
      <c r="C6" s="12">
        <f ca="1">I6*'Supply Chain'!E34</f>
        <v>261120</v>
      </c>
      <c r="D6" s="17">
        <f t="shared" ca="1" si="0"/>
        <v>192.87364685457518</v>
      </c>
      <c r="E6" s="17">
        <f t="shared" ca="1" si="1"/>
        <v>128.58243123638343</v>
      </c>
      <c r="F6" s="17">
        <f t="shared" ca="1" si="2"/>
        <v>96.436823427287592</v>
      </c>
      <c r="G6" s="17">
        <f t="shared" ca="1" si="3"/>
        <v>482.18411713643792</v>
      </c>
      <c r="H6" s="53">
        <f t="shared" ca="1" si="4"/>
        <v>52224</v>
      </c>
      <c r="I6" s="53">
        <f>VLOOKUP(B6,Static!$R$4:$W$17,4,FALSE)</f>
        <v>510</v>
      </c>
      <c r="J6" s="12">
        <f>VLOOKUP(B6,Static!$R$4:$W$17,6,FALSE)</f>
        <v>2500000</v>
      </c>
      <c r="K6">
        <f>UserBuildings!$D$20</f>
        <v>1147</v>
      </c>
    </row>
    <row r="7" spans="1:11" ht="15.75" customHeight="1">
      <c r="A7" s="3"/>
      <c r="B7" s="3" t="s">
        <v>115</v>
      </c>
      <c r="C7" s="12">
        <f ca="1">I7*'Supply Chain'!E35</f>
        <v>260160</v>
      </c>
      <c r="D7" s="17">
        <f t="shared" ca="1" si="0"/>
        <v>212.75625256252565</v>
      </c>
      <c r="E7" s="17">
        <f t="shared" ca="1" si="1"/>
        <v>141.8375017083504</v>
      </c>
      <c r="F7" s="17">
        <f t="shared" ca="1" si="2"/>
        <v>106.37812628126282</v>
      </c>
      <c r="G7" s="17">
        <f t="shared" ca="1" si="3"/>
        <v>531.89063140631413</v>
      </c>
      <c r="H7" s="53">
        <f t="shared" ca="1" si="4"/>
        <v>52032</v>
      </c>
      <c r="I7" s="53">
        <f>VLOOKUP(B7,Static!$R$4:$W$17,4,FALSE)</f>
        <v>542</v>
      </c>
      <c r="J7" s="12">
        <f>VLOOKUP(B7,Static!$R$4:$W$17,6,FALSE)</f>
        <v>5000000</v>
      </c>
      <c r="K7">
        <f>UserBuildings!$D$20</f>
        <v>1147</v>
      </c>
    </row>
    <row r="8" spans="1:11" ht="15.75" customHeight="1">
      <c r="A8" s="3"/>
      <c r="B8" s="3" t="s">
        <v>105</v>
      </c>
      <c r="C8" s="12">
        <f ca="1">I8*'Supply Chain'!E36</f>
        <v>1232160</v>
      </c>
      <c r="D8" s="17">
        <f t="shared" ca="1" si="0"/>
        <v>117.7815110591698</v>
      </c>
      <c r="E8" s="17">
        <f t="shared" ca="1" si="1"/>
        <v>78.521007372779863</v>
      </c>
      <c r="F8" s="17">
        <f t="shared" ca="1" si="2"/>
        <v>58.890755529584901</v>
      </c>
      <c r="G8" s="17">
        <f t="shared" ca="1" si="3"/>
        <v>294.45377764792448</v>
      </c>
      <c r="H8" s="53">
        <f t="shared" ca="1" si="4"/>
        <v>246432</v>
      </c>
      <c r="I8" s="53">
        <f>VLOOKUP(B8,Static!$R$4:$W$17,4,FALSE)</f>
        <v>510</v>
      </c>
      <c r="J8" s="12">
        <f>VLOOKUP(B8,Static!$R$4:$W$17,6,FALSE)</f>
        <v>50000000</v>
      </c>
      <c r="K8">
        <f>UserBuildings!$D$20</f>
        <v>1147</v>
      </c>
    </row>
    <row r="9" spans="1:11" ht="15.75" customHeight="1">
      <c r="A9" s="3"/>
      <c r="B9" s="3" t="s">
        <v>124</v>
      </c>
      <c r="C9" s="12">
        <f ca="1">I9*'Supply Chain'!E37</f>
        <v>526320</v>
      </c>
      <c r="D9" s="17">
        <f t="shared" ca="1" si="0"/>
        <v>124.11777372447688</v>
      </c>
      <c r="E9" s="17">
        <f t="shared" ca="1" si="1"/>
        <v>82.745182482984589</v>
      </c>
      <c r="F9" s="17">
        <f t="shared" ca="1" si="2"/>
        <v>62.058886862238438</v>
      </c>
      <c r="G9" s="17">
        <f t="shared" ca="1" si="3"/>
        <v>310.29443431119216</v>
      </c>
      <c r="H9" s="53">
        <f t="shared" ca="1" si="4"/>
        <v>105264</v>
      </c>
      <c r="I9" s="53">
        <f>VLOOKUP(B9,Static!$R$4:$W$17,4,FALSE)</f>
        <v>382.5</v>
      </c>
      <c r="J9" s="12">
        <f>VLOOKUP(B9,Static!$R$4:$W$17,6,FALSE)</f>
        <v>10000000</v>
      </c>
      <c r="K9">
        <f>UserBuildings!$D$20</f>
        <v>1147</v>
      </c>
    </row>
    <row r="10" spans="1:11" ht="15.75" customHeight="1">
      <c r="A10" s="3"/>
      <c r="B10" s="3" t="s">
        <v>515</v>
      </c>
      <c r="C10" s="12">
        <f ca="1">I10*'Supply Chain'!E38</f>
        <v>788868</v>
      </c>
      <c r="D10" s="17">
        <f t="shared" ca="1" si="0"/>
        <v>310.4139940606878</v>
      </c>
      <c r="E10" s="17">
        <f t="shared" ca="1" si="1"/>
        <v>206.94266270712521</v>
      </c>
      <c r="F10" s="17">
        <f t="shared" ca="1" si="2"/>
        <v>155.2069970303439</v>
      </c>
      <c r="G10" s="17">
        <f t="shared" ca="1" si="3"/>
        <v>776.03498515171941</v>
      </c>
      <c r="H10" s="53">
        <f t="shared" ca="1" si="4"/>
        <v>157773.6</v>
      </c>
      <c r="I10" s="53">
        <f>VLOOKUP(B10,Static!$R$4:$W$17,4,FALSE)</f>
        <v>306</v>
      </c>
      <c r="J10" s="12">
        <f>VLOOKUP(B10,Static!$R$4:$W$17,6,FALSE)</f>
        <v>100000000</v>
      </c>
      <c r="K10">
        <f>UserBuildings!$D$20</f>
        <v>1147</v>
      </c>
    </row>
    <row r="11" spans="1:11" ht="15.75" customHeight="1">
      <c r="A11" s="3"/>
      <c r="B11" s="3" t="s">
        <v>132</v>
      </c>
      <c r="C11" s="12">
        <f ca="1">I11*'Supply Chain'!E39</f>
        <v>273105</v>
      </c>
      <c r="D11" s="17">
        <f t="shared" ca="1" si="0"/>
        <v>1627.1238778735897</v>
      </c>
      <c r="E11" s="17">
        <f t="shared" ca="1" si="1"/>
        <v>1084.7492519157263</v>
      </c>
      <c r="F11" s="17">
        <f t="shared" ca="1" si="2"/>
        <v>813.56193893679483</v>
      </c>
      <c r="G11" s="17">
        <f t="shared" ca="1" si="3"/>
        <v>4067.8096946839737</v>
      </c>
      <c r="H11" s="53">
        <f t="shared" ca="1" si="4"/>
        <v>54621</v>
      </c>
      <c r="I11" s="53">
        <f>VLOOKUP(B11,Static!$R$4:$W$17,4,FALSE)</f>
        <v>765</v>
      </c>
      <c r="J11" s="12">
        <f>VLOOKUP(B11,Static!$R$4:$W$17,6,FALSE)</f>
        <v>200000000</v>
      </c>
      <c r="K11">
        <f>UserBuildings!$D$20</f>
        <v>1147</v>
      </c>
    </row>
    <row r="12" spans="1:11" ht="15.75" customHeight="1">
      <c r="A12" s="3"/>
      <c r="B12" s="3" t="s">
        <v>108</v>
      </c>
      <c r="C12" s="12">
        <f ca="1">I12*'Supply Chain'!E40</f>
        <v>553656</v>
      </c>
      <c r="D12" s="17">
        <f t="shared" ca="1" si="0"/>
        <v>1523.2846147547696</v>
      </c>
      <c r="E12" s="17">
        <f t="shared" ca="1" si="1"/>
        <v>1015.5230765031797</v>
      </c>
      <c r="F12" s="17">
        <f t="shared" ca="1" si="2"/>
        <v>761.64230737738478</v>
      </c>
      <c r="G12" s="17">
        <f t="shared" ca="1" si="3"/>
        <v>3808.2115368869236</v>
      </c>
      <c r="H12" s="53">
        <f t="shared" ca="1" si="4"/>
        <v>110731.20000000001</v>
      </c>
      <c r="I12" s="53">
        <f>VLOOKUP(B12,Static!$R$4:$W$17,4,FALSE)</f>
        <v>408</v>
      </c>
      <c r="J12" s="12">
        <f>VLOOKUP(B12,Static!$R$4:$W$17,6,FALSE)</f>
        <v>400000000</v>
      </c>
      <c r="K12">
        <f>UserBuildings!$D$20</f>
        <v>1147</v>
      </c>
    </row>
    <row r="13" spans="1:11" ht="15.75" customHeight="1">
      <c r="A13" s="3"/>
      <c r="B13" s="3" t="s">
        <v>139</v>
      </c>
      <c r="C13" s="12">
        <f ca="1">I13*'Supply Chain'!E41</f>
        <v>627300</v>
      </c>
      <c r="D13" s="17">
        <f t="shared" ca="1" si="0"/>
        <v>1980.5127796376003</v>
      </c>
      <c r="E13" s="17">
        <f t="shared" ca="1" si="1"/>
        <v>1320.3418530917336</v>
      </c>
      <c r="F13" s="17">
        <f t="shared" ca="1" si="2"/>
        <v>990.25638981880013</v>
      </c>
      <c r="G13" s="17">
        <f t="shared" ca="1" si="3"/>
        <v>4951.281949094001</v>
      </c>
      <c r="H13" s="53">
        <f t="shared" ca="1" si="4"/>
        <v>125460</v>
      </c>
      <c r="I13" s="53">
        <f>VLOOKUP(B13,Static!$R$4:$W$17,4,FALSE)</f>
        <v>306</v>
      </c>
      <c r="J13" s="12">
        <f>VLOOKUP(B13,Static!$R$4:$W$17,6,FALSE)</f>
        <v>600000000</v>
      </c>
      <c r="K13">
        <f>UserBuildings!$D$20</f>
        <v>1147</v>
      </c>
    </row>
    <row r="14" spans="1:11" ht="15.75" customHeight="1">
      <c r="A14" s="3"/>
      <c r="B14" s="3" t="s">
        <v>128</v>
      </c>
      <c r="C14" s="12">
        <f ca="1">I14*'Supply Chain'!E42</f>
        <v>993480</v>
      </c>
      <c r="D14" s="17">
        <f t="shared" ca="1" si="0"/>
        <v>1652.1476694716218</v>
      </c>
      <c r="E14" s="17">
        <f t="shared" ca="1" si="1"/>
        <v>1101.4317796477478</v>
      </c>
      <c r="F14" s="17">
        <f t="shared" ca="1" si="2"/>
        <v>826.07383473581092</v>
      </c>
      <c r="G14" s="17">
        <f t="shared" ca="1" si="3"/>
        <v>4130.3691736790543</v>
      </c>
      <c r="H14" s="53">
        <f t="shared" ca="1" si="4"/>
        <v>198696</v>
      </c>
      <c r="I14" s="53">
        <f>VLOOKUP(B14,Static!$R$4:$W$17,4,FALSE)</f>
        <v>2040</v>
      </c>
      <c r="J14" s="12">
        <f>VLOOKUP(B14,Static!$R$4:$W$17,6,FALSE)</f>
        <v>800000000</v>
      </c>
      <c r="K14">
        <f>UserBuildings!$D$20</f>
        <v>1147</v>
      </c>
    </row>
    <row r="15" spans="1:11" ht="15.75" customHeight="1">
      <c r="A15" s="3"/>
      <c r="B15" s="3" t="s">
        <v>119</v>
      </c>
      <c r="C15" s="12">
        <f ca="1">I15*'Supply Chain'!E43</f>
        <v>84150</v>
      </c>
      <c r="D15" s="17">
        <f t="shared" ca="1" si="0"/>
        <v>24246.888492770846</v>
      </c>
      <c r="E15" s="17">
        <f t="shared" ca="1" si="1"/>
        <v>16164.592328513898</v>
      </c>
      <c r="F15" s="17">
        <f t="shared" ca="1" si="2"/>
        <v>12123.444246385423</v>
      </c>
      <c r="G15" s="17">
        <f t="shared" ca="1" si="3"/>
        <v>60617.221231927113</v>
      </c>
      <c r="H15" s="53">
        <f t="shared" ca="1" si="4"/>
        <v>16830</v>
      </c>
      <c r="I15" s="53">
        <f>VLOOKUP(B15,Static!$R$4:$W$17,4,FALSE)</f>
        <v>280.5</v>
      </c>
      <c r="J15" s="12">
        <f>VLOOKUP(B15,Static!$R$4:$W$17,6,FALSE)</f>
        <v>1000000000</v>
      </c>
      <c r="K15">
        <f>UserBuildings!$D$20</f>
        <v>1147</v>
      </c>
    </row>
    <row r="16" spans="1:11" ht="15.75" customHeight="1">
      <c r="A16" s="3"/>
      <c r="B16" s="3" t="s">
        <v>136</v>
      </c>
      <c r="C16" s="12">
        <f ca="1">I16*'Supply Chain'!E44</f>
        <v>963262.5</v>
      </c>
      <c r="D16" s="17">
        <f t="shared" ca="1" si="0"/>
        <v>2635.9644091477317</v>
      </c>
      <c r="E16" s="17">
        <f t="shared" ca="1" si="1"/>
        <v>1757.3096060984878</v>
      </c>
      <c r="F16" s="17">
        <f t="shared" ca="1" si="2"/>
        <v>1317.9822045738658</v>
      </c>
      <c r="G16" s="17">
        <f t="shared" ca="1" si="3"/>
        <v>6589.9110228693289</v>
      </c>
      <c r="H16" s="53">
        <f t="shared" ca="1" si="4"/>
        <v>192652.5</v>
      </c>
      <c r="I16" s="53">
        <f>VLOOKUP(B16,Static!$R$4:$W$17,4,FALSE)</f>
        <v>637.5</v>
      </c>
      <c r="J16" s="12">
        <f>VLOOKUP(B16,Static!$R$4:$W$17,6,FALSE)</f>
        <v>1250000000</v>
      </c>
      <c r="K16">
        <f>UserBuildings!$D$20</f>
        <v>1147</v>
      </c>
    </row>
    <row r="17" spans="1:11" ht="15.75" customHeight="1">
      <c r="A17" s="3"/>
      <c r="B17" s="3" t="s">
        <v>145</v>
      </c>
      <c r="C17" s="12">
        <f ca="1">I17*'Supply Chain'!E45</f>
        <v>1942080</v>
      </c>
      <c r="D17" s="17">
        <f t="shared" ca="1" si="0"/>
        <v>1564.2381707584993</v>
      </c>
      <c r="E17" s="17">
        <f t="shared" ca="1" si="1"/>
        <v>1042.825447172333</v>
      </c>
      <c r="F17" s="17">
        <f t="shared" ca="1" si="2"/>
        <v>782.11908537924967</v>
      </c>
      <c r="G17" s="17">
        <f t="shared" ca="1" si="3"/>
        <v>3910.5954268962487</v>
      </c>
      <c r="H17" s="53">
        <f t="shared" ca="1" si="4"/>
        <v>388416</v>
      </c>
      <c r="I17" s="53">
        <f>VLOOKUP(B17,Static!$R$4:$W$17,4,FALSE)</f>
        <v>2040</v>
      </c>
      <c r="J17" s="12">
        <f>VLOOKUP(B17,Static!$R$4:$W$17,6,FALSE)</f>
        <v>1500000000</v>
      </c>
      <c r="K17">
        <f>UserBuildings!$D$20</f>
        <v>1147</v>
      </c>
    </row>
    <row r="18" spans="1:11" ht="15.75" customHeight="1">
      <c r="A18" s="3"/>
      <c r="B18" s="3" t="s">
        <v>112</v>
      </c>
      <c r="C18" s="12">
        <f ca="1">I18*'Supply Chain'!E46</f>
        <v>4364325</v>
      </c>
      <c r="D18" s="17">
        <f t="shared" ca="1" si="0"/>
        <v>924.62767247321563</v>
      </c>
      <c r="E18" s="17">
        <f t="shared" ca="1" si="1"/>
        <v>616.41844831547712</v>
      </c>
      <c r="F18" s="17">
        <f t="shared" ca="1" si="2"/>
        <v>462.31383623660781</v>
      </c>
      <c r="G18" s="17">
        <f t="shared" ca="1" si="3"/>
        <v>2311.5691811830388</v>
      </c>
      <c r="H18" s="53">
        <f t="shared" ca="1" si="4"/>
        <v>872865</v>
      </c>
      <c r="I18" s="53">
        <f>VLOOKUP(B18,Static!$R$4:$W$17,4,FALSE)</f>
        <v>1275</v>
      </c>
      <c r="J18" s="12">
        <f>VLOOKUP(B18,Static!$R$4:$W$17,6,FALSE)</f>
        <v>2000000000</v>
      </c>
      <c r="K18">
        <f>UserBuildings!$D$20</f>
        <v>1147</v>
      </c>
    </row>
    <row r="19" spans="1:11" ht="15.75" customHeight="1">
      <c r="J19" s="22"/>
    </row>
    <row r="20" spans="1:11" ht="15.75" customHeight="1">
      <c r="A20" s="3"/>
      <c r="B20" s="3" t="s">
        <v>516</v>
      </c>
      <c r="C20" s="3"/>
      <c r="D20" s="3"/>
      <c r="E20" s="3"/>
      <c r="F20" s="3"/>
      <c r="G20" s="3"/>
    </row>
    <row r="21" spans="1:11" ht="15.75" customHeight="1">
      <c r="A21" s="3"/>
      <c r="B21" s="1" t="s">
        <v>510</v>
      </c>
      <c r="C21" s="1" t="s">
        <v>517</v>
      </c>
      <c r="D21" s="1" t="s">
        <v>518</v>
      </c>
      <c r="E21" s="1" t="s">
        <v>519</v>
      </c>
      <c r="F21" s="1" t="s">
        <v>520</v>
      </c>
      <c r="G21" s="1">
        <f t="shared" ref="G21:H21" si="5">$G$4</f>
        <v>20</v>
      </c>
      <c r="H21" s="1">
        <f t="shared" si="5"/>
        <v>20</v>
      </c>
    </row>
    <row r="22" spans="1:11" ht="15.75" customHeight="1">
      <c r="A22" s="3"/>
      <c r="B22" s="3" t="s">
        <v>101</v>
      </c>
      <c r="C22" s="12">
        <f ca="1">I5*5.05*'Supply Chain'!$E33</f>
        <v>2704275</v>
      </c>
      <c r="D22" s="53">
        <f ca="1">'TU5.05'!$G$3/(C22*0.5)/24</f>
        <v>451.59004588414024</v>
      </c>
      <c r="E22" s="53">
        <f ca="1">'TU5.05'!$G$3/(C22*0.75)/24</f>
        <v>301.06003058942684</v>
      </c>
      <c r="F22" s="53">
        <f ca="1">'TU5.05'!$G$3/C22/24</f>
        <v>225.79502294207012</v>
      </c>
      <c r="G22" s="53">
        <f ca="1">'TU5.05'!$G$3/(C22*($G$4/100))/24</f>
        <v>1128.9751147103505</v>
      </c>
      <c r="H22" s="53">
        <f ca="1">(I5*($G$4/100))*5.05*'Supply Chain'!$E33</f>
        <v>540855</v>
      </c>
      <c r="I22" s="53"/>
      <c r="J22" s="12"/>
    </row>
    <row r="23" spans="1:11" ht="15.75" customHeight="1">
      <c r="A23" s="3"/>
      <c r="B23" s="3" t="s">
        <v>148</v>
      </c>
      <c r="C23" s="12">
        <f ca="1">I6*5.05*'Supply Chain'!$E34</f>
        <v>1318656</v>
      </c>
      <c r="D23" s="53">
        <f ca="1">'TU5.05'!$G$3/(C23*0.5)/24</f>
        <v>926.11239878583444</v>
      </c>
      <c r="E23" s="53">
        <f ca="1">'TU5.05'!$G$3/(C23*0.75)/24</f>
        <v>617.408265857223</v>
      </c>
      <c r="F23" s="53">
        <f ca="1">'TU5.05'!$G$3/C23/24</f>
        <v>463.05619939291722</v>
      </c>
      <c r="G23" s="53">
        <f ca="1">'TU5.05'!$G$3/(C23*($G$4/100))/24</f>
        <v>2315.2809969645859</v>
      </c>
      <c r="H23" s="53">
        <f ca="1">(I6*($G$4/100))*5.05*'Supply Chain'!$E34</f>
        <v>263731.20000000001</v>
      </c>
      <c r="I23" s="53"/>
      <c r="J23" s="12"/>
    </row>
    <row r="24" spans="1:11" ht="15.75" customHeight="1">
      <c r="A24" s="3"/>
      <c r="B24" s="3" t="s">
        <v>115</v>
      </c>
      <c r="C24" s="12">
        <f ca="1">I7*5.05*'Supply Chain'!$E35</f>
        <v>1313808</v>
      </c>
      <c r="D24" s="53">
        <f ca="1">'TU5.05'!$G$3/(C24*0.5)/24</f>
        <v>929.52978771124344</v>
      </c>
      <c r="E24" s="53">
        <f ca="1">'TU5.05'!$G$3/(C24*0.75)/24</f>
        <v>619.68652514082896</v>
      </c>
      <c r="F24" s="53">
        <f ca="1">'TU5.05'!$G$3/C24/24</f>
        <v>464.76489385562172</v>
      </c>
      <c r="G24" s="53">
        <f ca="1">'TU5.05'!$G$3/(C24*($G$4/100))/24</f>
        <v>2323.8244692781086</v>
      </c>
      <c r="H24" s="53">
        <f ca="1">(I7*($G$4/100))*5.05*'Supply Chain'!$E35</f>
        <v>262761.59999999998</v>
      </c>
      <c r="I24" s="53"/>
      <c r="J24" s="12"/>
    </row>
    <row r="25" spans="1:11" ht="15.75" customHeight="1">
      <c r="A25" s="3"/>
      <c r="B25" s="3" t="s">
        <v>105</v>
      </c>
      <c r="C25" s="12">
        <f ca="1">I8*5.05*'Supply Chain'!$E36</f>
        <v>6222408</v>
      </c>
      <c r="D25" s="53">
        <f ca="1">'TU5.05'!$G$3/(C25*0.5)/24</f>
        <v>196.26223020626955</v>
      </c>
      <c r="E25" s="53">
        <f ca="1">'TU5.05'!$G$3/(C25*0.75)/24</f>
        <v>130.84148680417971</v>
      </c>
      <c r="F25" s="53">
        <f ca="1">'TU5.05'!$G$3/C25/24</f>
        <v>98.131115103134775</v>
      </c>
      <c r="G25" s="53">
        <f ca="1">'TU5.05'!$G$3/(C25*($G$4/100))/24</f>
        <v>490.65557551567389</v>
      </c>
      <c r="H25" s="53">
        <f ca="1">(I8*($G$4/100))*5.05*'Supply Chain'!$E36</f>
        <v>1244481.6000000001</v>
      </c>
      <c r="I25" s="53"/>
      <c r="J25" s="12"/>
    </row>
    <row r="26" spans="1:11" ht="15.75" customHeight="1">
      <c r="A26" s="3"/>
      <c r="B26" s="3" t="s">
        <v>124</v>
      </c>
      <c r="C26" s="12">
        <f ca="1">I9*5.05*'Supply Chain'!$E37</f>
        <v>2657916</v>
      </c>
      <c r="D26" s="53">
        <f ca="1">'TU5.05'!$G$3/(C26*0.5)/24</f>
        <v>459.46661645188686</v>
      </c>
      <c r="E26" s="53">
        <f ca="1">'TU5.05'!$G$3/(C26*0.75)/24</f>
        <v>306.31107763459124</v>
      </c>
      <c r="F26" s="53">
        <f ca="1">'TU5.05'!$G$3/C26/24</f>
        <v>229.73330822594343</v>
      </c>
      <c r="G26" s="53">
        <f ca="1">'TU5.05'!$G$3/(C26*($G$4/100))/24</f>
        <v>1148.666541129717</v>
      </c>
      <c r="H26" s="53">
        <f ca="1">(I9*($G$4/100))*5.05*'Supply Chain'!$E37</f>
        <v>531583.19999999995</v>
      </c>
      <c r="I26" s="53"/>
      <c r="J26" s="12"/>
    </row>
    <row r="27" spans="1:11" ht="15.75" customHeight="1">
      <c r="A27" s="3"/>
      <c r="B27" s="3" t="s">
        <v>515</v>
      </c>
      <c r="C27" s="12">
        <f ca="1">I10*5.05*'Supply Chain'!$E38</f>
        <v>3983783.4</v>
      </c>
      <c r="D27" s="53">
        <f ca="1">'TU5.05'!$G$3/(C27*0.5)/24</f>
        <v>306.54871229528527</v>
      </c>
      <c r="E27" s="53">
        <f ca="1">'TU5.05'!$G$3/(C27*0.75)/24</f>
        <v>204.36580819685685</v>
      </c>
      <c r="F27" s="53">
        <f ca="1">'TU5.05'!$G$3/C27/24</f>
        <v>153.27435614764264</v>
      </c>
      <c r="G27" s="53">
        <f ca="1">'TU5.05'!$G$3/(C27*($G$4/100))/24</f>
        <v>766.37178073821315</v>
      </c>
      <c r="H27" s="53">
        <f ca="1">(I10*($G$4/100))*5.05*'Supply Chain'!$E38</f>
        <v>796756.68</v>
      </c>
      <c r="I27" s="53"/>
      <c r="J27" s="12"/>
    </row>
    <row r="28" spans="1:11" ht="15.75" customHeight="1">
      <c r="A28" s="3"/>
      <c r="B28" s="3" t="s">
        <v>132</v>
      </c>
      <c r="C28" s="12">
        <f ca="1">I11*5.05*'Supply Chain'!$E39</f>
        <v>1379180.25</v>
      </c>
      <c r="D28" s="53">
        <f ca="1">'TU5.05'!$G$3/(C28*0.5)/24</f>
        <v>885.47067820419659</v>
      </c>
      <c r="E28" s="53">
        <f ca="1">'TU5.05'!$G$3/(C28*0.75)/24</f>
        <v>590.31378546946439</v>
      </c>
      <c r="F28" s="53">
        <f ca="1">'TU5.05'!$G$3/C28/24</f>
        <v>442.73533910209829</v>
      </c>
      <c r="G28" s="53">
        <f ca="1">'TU5.05'!$G$3/(C28*($G$4/100))/24</f>
        <v>2213.6766955104913</v>
      </c>
      <c r="H28" s="53">
        <f ca="1">(I11*($G$4/100))*5.05*'Supply Chain'!$E39</f>
        <v>275836.05</v>
      </c>
      <c r="I28" s="53"/>
      <c r="J28" s="12"/>
    </row>
    <row r="29" spans="1:11" ht="15.75" customHeight="1">
      <c r="A29" s="3"/>
      <c r="B29" s="3" t="s">
        <v>108</v>
      </c>
      <c r="C29" s="12">
        <f ca="1">I12*5.05*'Supply Chain'!$E40</f>
        <v>2795962.8000000003</v>
      </c>
      <c r="D29" s="53">
        <f ca="1">'TU5.05'!$G$3/(C29*0.5)/24</f>
        <v>436.78108712080621</v>
      </c>
      <c r="E29" s="53">
        <f ca="1">'TU5.05'!$G$3/(C29*0.75)/24</f>
        <v>291.18739141387078</v>
      </c>
      <c r="F29" s="53">
        <f ca="1">'TU5.05'!$G$3/C29/24</f>
        <v>218.3905435604031</v>
      </c>
      <c r="G29" s="53">
        <f ca="1">'TU5.05'!$G$3/(C29*($G$4/100))/24</f>
        <v>1091.9527178020155</v>
      </c>
      <c r="H29" s="53">
        <f ca="1">(I12*($G$4/100))*5.05*'Supply Chain'!$E40</f>
        <v>559192.56000000006</v>
      </c>
      <c r="I29" s="53"/>
      <c r="J29" s="12"/>
    </row>
    <row r="30" spans="1:11" ht="15.75" customHeight="1">
      <c r="A30" s="3"/>
      <c r="B30" s="3" t="s">
        <v>139</v>
      </c>
      <c r="C30" s="12">
        <f ca="1">I13*5.05*'Supply Chain'!$E41</f>
        <v>3167865</v>
      </c>
      <c r="D30" s="53">
        <f ca="1">'TU5.05'!$G$3/(C30*0.5)/24</f>
        <v>385.50369770597337</v>
      </c>
      <c r="E30" s="53">
        <f ca="1">'TU5.05'!$G$3/(C30*0.75)/24</f>
        <v>257.0024651373156</v>
      </c>
      <c r="F30" s="53">
        <f ca="1">'TU5.05'!$G$3/C30/24</f>
        <v>192.75184885298668</v>
      </c>
      <c r="G30" s="53">
        <f ca="1">'TU5.05'!$G$3/(C30*($G$4/100))/24</f>
        <v>963.75924426493339</v>
      </c>
      <c r="H30" s="53">
        <f ca="1">(I13*($G$4/100))*5.05*'Supply Chain'!$E41</f>
        <v>633573</v>
      </c>
      <c r="I30" s="53"/>
      <c r="J30" s="12"/>
    </row>
    <row r="31" spans="1:11" ht="15.75" customHeight="1">
      <c r="A31" s="3"/>
      <c r="B31" s="3" t="s">
        <v>128</v>
      </c>
      <c r="C31" s="12">
        <f ca="1">I14*5.05*'Supply Chain'!$E42</f>
        <v>5017074</v>
      </c>
      <c r="D31" s="53">
        <f ca="1">'TU5.05'!$G$3/(C31*0.5)/24</f>
        <v>243.41352575890517</v>
      </c>
      <c r="E31" s="53">
        <f ca="1">'TU5.05'!$G$3/(C31*0.75)/24</f>
        <v>162.2756838392701</v>
      </c>
      <c r="F31" s="53">
        <f ca="1">'TU5.05'!$G$3/C31/24</f>
        <v>121.70676287945258</v>
      </c>
      <c r="G31" s="53">
        <f ca="1">'TU5.05'!$G$3/(C31*($G$4/100))/24</f>
        <v>608.53381439726286</v>
      </c>
      <c r="H31" s="53">
        <f ca="1">(I14*($G$4/100))*5.05*'Supply Chain'!$E42</f>
        <v>1003414.8</v>
      </c>
      <c r="I31" s="53"/>
      <c r="J31" s="12"/>
    </row>
    <row r="32" spans="1:11" ht="15.75" customHeight="1">
      <c r="A32" s="3"/>
      <c r="B32" s="3" t="s">
        <v>119</v>
      </c>
      <c r="C32" s="12">
        <f ca="1">I15*5.05*'Supply Chain'!$E43</f>
        <v>424957.49999999994</v>
      </c>
      <c r="D32" s="53">
        <f ca="1">'TU5.05'!$G$3/(C32*0.5)/24</f>
        <v>2873.7548374445291</v>
      </c>
      <c r="E32" s="53">
        <f ca="1">'TU5.05'!$G$3/(C32*0.75)/24</f>
        <v>1915.8365582963527</v>
      </c>
      <c r="F32" s="53">
        <f ca="1">'TU5.05'!$G$3/C32/24</f>
        <v>1436.8774187222646</v>
      </c>
      <c r="G32" s="53">
        <f ca="1">'TU5.05'!$G$3/(C32*($G$4/100))/24</f>
        <v>7184.3870936113226</v>
      </c>
      <c r="H32" s="53">
        <f ca="1">(I15*($G$4/100))*5.05*'Supply Chain'!$E43</f>
        <v>84991.5</v>
      </c>
      <c r="I32" s="53"/>
      <c r="J32" s="12"/>
    </row>
    <row r="33" spans="1:10" ht="15.75" customHeight="1">
      <c r="A33" s="3"/>
      <c r="B33" s="3" t="s">
        <v>136</v>
      </c>
      <c r="C33" s="12">
        <f ca="1">I16*5.05*'Supply Chain'!$E44</f>
        <v>4864475.625</v>
      </c>
      <c r="D33" s="53">
        <f ca="1">'TU5.05'!$G$3/(C33*0.5)/24</f>
        <v>251.04939678535922</v>
      </c>
      <c r="E33" s="53">
        <f ca="1">'TU5.05'!$G$3/(C33*0.75)/24</f>
        <v>167.36626452357282</v>
      </c>
      <c r="F33" s="53">
        <f ca="1">'TU5.05'!$G$3/C33/24</f>
        <v>125.52469839267961</v>
      </c>
      <c r="G33" s="53">
        <f ca="1">'TU5.05'!$G$3/(C33*($G$4/100))/24</f>
        <v>627.62349196339812</v>
      </c>
      <c r="H33" s="53">
        <f ca="1">(I16*($G$4/100))*5.05*'Supply Chain'!$E44</f>
        <v>972895.125</v>
      </c>
      <c r="I33" s="53"/>
      <c r="J33" s="12"/>
    </row>
    <row r="34" spans="1:10" ht="15.75" customHeight="1">
      <c r="A34" s="3"/>
      <c r="B34" s="3" t="s">
        <v>145</v>
      </c>
      <c r="C34" s="12">
        <f ca="1">I17*5.05*'Supply Chain'!$E45</f>
        <v>9807504</v>
      </c>
      <c r="D34" s="53">
        <f ca="1">'TU5.05'!$G$3/(C34*0.5)/24</f>
        <v>124.51931412246513</v>
      </c>
      <c r="E34" s="53">
        <f ca="1">'TU5.05'!$G$3/(C34*0.75)/24</f>
        <v>83.012876081643427</v>
      </c>
      <c r="F34" s="53">
        <f ca="1">'TU5.05'!$G$3/C34/24</f>
        <v>62.259657061232566</v>
      </c>
      <c r="G34" s="53">
        <f ca="1">'TU5.05'!$G$3/(C34*($G$4/100))/24</f>
        <v>311.29828530616282</v>
      </c>
      <c r="H34" s="53">
        <f ca="1">(I17*($G$4/100))*5.05*'Supply Chain'!$E45</f>
        <v>1961500.8</v>
      </c>
      <c r="I34" s="53"/>
      <c r="J34" s="12"/>
    </row>
    <row r="35" spans="1:10" ht="15.75" customHeight="1">
      <c r="A35" s="3"/>
      <c r="B35" s="3" t="s">
        <v>112</v>
      </c>
      <c r="C35" s="12">
        <f ca="1">I18*5.05*'Supply Chain'!$E46</f>
        <v>22039841.25</v>
      </c>
      <c r="D35" s="53">
        <f ca="1">'TU5.05'!$G$3/(C35*0.5)/24</f>
        <v>55.409821580876098</v>
      </c>
      <c r="E35" s="53">
        <f ca="1">'TU5.05'!$G$3/(C35*0.75)/24</f>
        <v>36.939881053917404</v>
      </c>
      <c r="F35" s="53">
        <f ca="1">'TU5.05'!$G$3/C35/24</f>
        <v>27.704910790438049</v>
      </c>
      <c r="G35" s="53">
        <f ca="1">'TU5.05'!$G$3/(C35*($G$4/100))/24</f>
        <v>138.52455395219025</v>
      </c>
      <c r="H35" s="53">
        <f ca="1">(I18*($G$4/100))*5.05*'Supply Chain'!$E46</f>
        <v>4407968.25</v>
      </c>
      <c r="I35" s="53"/>
      <c r="J35" s="12"/>
    </row>
    <row r="36" spans="1:10" ht="15.75" customHeight="1">
      <c r="A36" s="3"/>
      <c r="B36" s="3"/>
    </row>
    <row r="37" spans="1:10" ht="15.75" customHeight="1">
      <c r="A37" s="3"/>
      <c r="B37" s="3" t="s">
        <v>521</v>
      </c>
    </row>
    <row r="38" spans="1:10" ht="15.75" customHeight="1">
      <c r="A38" s="3"/>
      <c r="B38" s="1" t="s">
        <v>510</v>
      </c>
      <c r="C38" s="1"/>
      <c r="D38" s="1" t="s">
        <v>518</v>
      </c>
      <c r="E38" s="1" t="s">
        <v>519</v>
      </c>
      <c r="F38" s="1" t="s">
        <v>520</v>
      </c>
      <c r="G38" s="1">
        <f>$G$4</f>
        <v>20</v>
      </c>
      <c r="H38" s="3"/>
    </row>
    <row r="39" spans="1:10" ht="15.75" customHeight="1">
      <c r="A39" s="3"/>
      <c r="B39" s="3" t="s">
        <v>101</v>
      </c>
      <c r="D39" s="17">
        <f ca="1">('TU5.05'!$G$3+(J5*(1+(K5/50))+$K$2*4))/(C22*0.5)/24</f>
        <v>469.1070020615507</v>
      </c>
      <c r="E39" s="17">
        <f ca="1">('TU5.05'!$G$3+(J5*(1+(K5/50)))+$K$2*4)/(C22*0.75)/24</f>
        <v>312.73800137436712</v>
      </c>
      <c r="F39" s="17">
        <f ca="1">('TU5.05'!$G$3+(J5*(1+(K5/50)))+$K$2*4)/C22/24</f>
        <v>234.55350103077535</v>
      </c>
      <c r="G39" s="17">
        <f ca="1">('TU5.05'!$G$3+(J5*(1+(K5/50)))+$K$2*4)/(C22*($G$4/100))/24</f>
        <v>1172.7675051538768</v>
      </c>
    </row>
    <row r="40" spans="1:10" ht="15.75" customHeight="1">
      <c r="A40" s="3"/>
      <c r="B40" s="3" t="s">
        <v>148</v>
      </c>
      <c r="D40" s="17">
        <f ca="1">('TU5.05'!$G$3+(J6*(1+(K6/50))+$K$2*4))/(C23*0.5)/24</f>
        <v>964.30520014317608</v>
      </c>
      <c r="E40" s="17">
        <f ca="1">('TU5.05'!$G$3+(J6*(1+(K6/50)))+$K$2*4)/(C23*0.75)/24</f>
        <v>642.87013342878402</v>
      </c>
      <c r="F40" s="17">
        <f ca="1">('TU5.05'!$G$3+(J6*(1+(K6/50)))+$K$2*4)/C23/24</f>
        <v>482.15260007158804</v>
      </c>
      <c r="G40" s="17">
        <f ca="1">('TU5.05'!$G$3+(J6*(1+(K6/50)))+$K$2*4)/(C23*($G$4/100))/24</f>
        <v>2410.7630003579402</v>
      </c>
    </row>
    <row r="41" spans="1:10" ht="15.75" customHeight="1">
      <c r="A41" s="3"/>
      <c r="B41" s="3" t="s">
        <v>115</v>
      </c>
      <c r="D41" s="17">
        <f ca="1">('TU5.05'!$G$3+(J7*(1+(K7/50))+$K$2*4))/(C24*0.5)/24</f>
        <v>971.65973871372387</v>
      </c>
      <c r="E41" s="17">
        <f ca="1">('TU5.05'!$G$3+(J7*(1+(K7/50)))+$K$2*4)/(C24*0.75)/24</f>
        <v>647.77315914248254</v>
      </c>
      <c r="F41" s="17">
        <f ca="1">('TU5.05'!$G$3+(J7*(1+(K7/50)))+$K$2*4)/C24/24</f>
        <v>485.82986935686193</v>
      </c>
      <c r="G41" s="17">
        <f ca="1">('TU5.05'!$G$3+(J7*(1+(K7/50)))+$K$2*4)/(C24*($G$4/100))/24</f>
        <v>2429.1493467843088</v>
      </c>
    </row>
    <row r="42" spans="1:10" ht="15.75" customHeight="1">
      <c r="A42" s="3"/>
      <c r="B42" s="3" t="s">
        <v>105</v>
      </c>
      <c r="D42" s="17">
        <f ca="1">('TU5.05'!$G$3+(J8*(1+(K8/50))+$K$2*4))/(C25*0.5)/24</f>
        <v>219.58530170313486</v>
      </c>
      <c r="E42" s="17">
        <f ca="1">('TU5.05'!$G$3+(J8*(1+(K8/50)))+$K$2*4)/(C25*0.75)/24</f>
        <v>146.39020113542324</v>
      </c>
      <c r="F42" s="17">
        <f ca="1">('TU5.05'!$G$3+(J8*(1+(K8/50)))+$K$2*4)/C25/24</f>
        <v>109.79265085156743</v>
      </c>
      <c r="G42" s="17">
        <f ca="1">('TU5.05'!$G$3+(J8*(1+(K8/50)))+$K$2*4)/(C25*($G$4/100))/24</f>
        <v>548.96325425783709</v>
      </c>
    </row>
    <row r="43" spans="1:10" ht="15.75" customHeight="1">
      <c r="A43" s="3"/>
      <c r="B43" s="3" t="s">
        <v>124</v>
      </c>
      <c r="D43" s="17">
        <f ca="1">('TU5.05'!$G$3+(J9*(1+(K9/50))+$K$2*4))/(C26*0.5)/24</f>
        <v>484.0443934270308</v>
      </c>
      <c r="E43" s="17">
        <f ca="1">('TU5.05'!$G$3+(J9*(1+(K9/50)))+$K$2*4)/(C26*0.75)/24</f>
        <v>322.69626228468718</v>
      </c>
      <c r="F43" s="17">
        <f ca="1">('TU5.05'!$G$3+(J9*(1+(K9/50)))+$K$2*4)/C26/24</f>
        <v>242.0221967135154</v>
      </c>
      <c r="G43" s="17">
        <f ca="1">('TU5.05'!$G$3+(J9*(1+(K9/50)))+$K$2*4)/(C26*($G$4/100))/24</f>
        <v>1210.1109835675768</v>
      </c>
    </row>
    <row r="44" spans="1:10" ht="15.75" customHeight="1">
      <c r="A44" s="3"/>
      <c r="B44" s="3" t="s">
        <v>515</v>
      </c>
      <c r="D44" s="17">
        <f ca="1">('TU5.05'!$G$3+(J10*(1+(K10/50))+$K$2*4))/(C27*0.5)/24</f>
        <v>368.01682993106505</v>
      </c>
      <c r="E44" s="17">
        <f ca="1">('TU5.05'!$G$3+(J10*(1+(K10/50)))+$K$2*4)/(C27*0.75)/24</f>
        <v>245.3445532873767</v>
      </c>
      <c r="F44" s="17">
        <f ca="1">('TU5.05'!$G$3+(J10*(1+(K10/50)))+$K$2*4)/C27/24</f>
        <v>184.00841496553252</v>
      </c>
      <c r="G44" s="17">
        <f ca="1">('TU5.05'!$G$3+(J10*(1+(K10/50)))+$K$2*4)/(C27*($G$4/100))/24</f>
        <v>920.04207482766253</v>
      </c>
    </row>
    <row r="45" spans="1:10" ht="15.75" customHeight="1">
      <c r="A45" s="3"/>
      <c r="B45" s="3" t="s">
        <v>132</v>
      </c>
      <c r="D45" s="17">
        <f ca="1">('TU5.05'!$G$3+(J11*(1+(K11/50))+$K$2*4))/(C28*0.5)/24</f>
        <v>1207.6734262979767</v>
      </c>
      <c r="E45" s="17">
        <f ca="1">('TU5.05'!$G$3+(J11*(1+(K11/50)))+$K$2*4)/(C28*0.75)/24</f>
        <v>805.11561753198441</v>
      </c>
      <c r="F45" s="17">
        <f ca="1">('TU5.05'!$G$3+(J11*(1+(K11/50)))+$K$2*4)/C28/24</f>
        <v>603.83671314898834</v>
      </c>
      <c r="G45" s="17">
        <f ca="1">('TU5.05'!$G$3+(J11*(1+(K11/50)))+$K$2*4)/(C28*($G$4/100))/24</f>
        <v>3019.1835657449415</v>
      </c>
    </row>
    <row r="46" spans="1:10" ht="15.75" customHeight="1">
      <c r="A46" s="3"/>
      <c r="B46" s="3" t="s">
        <v>108</v>
      </c>
      <c r="D46" s="17">
        <f ca="1">('TU5.05'!$G$3+(J12*(1+(K12/50))+$K$2*4))/(C29*0.5)/24</f>
        <v>738.42160489402784</v>
      </c>
      <c r="E46" s="17">
        <f ca="1">('TU5.05'!$G$3+(J12*(1+(K12/50)))+$K$2*4)/(C29*0.75)/24</f>
        <v>492.28106992935187</v>
      </c>
      <c r="F46" s="17">
        <f ca="1">('TU5.05'!$G$3+(J12*(1+(K12/50)))+$K$2*4)/C29/24</f>
        <v>369.21080244701392</v>
      </c>
      <c r="G46" s="17">
        <f ca="1">('TU5.05'!$G$3+(J12*(1+(K12/50)))+$K$2*4)/(C29*($G$4/100))/24</f>
        <v>1846.0540122350696</v>
      </c>
    </row>
    <row r="47" spans="1:10" ht="15.75" customHeight="1">
      <c r="A47" s="3"/>
      <c r="B47" s="3" t="s">
        <v>139</v>
      </c>
      <c r="D47" s="17">
        <f ca="1">('TU5.05'!$G$3+(J13*(1+(K13/50))+$K$2*4))/(C30*0.5)/24</f>
        <v>777.68444614906264</v>
      </c>
      <c r="E47" s="17">
        <f ca="1">('TU5.05'!$G$3+(J13*(1+(K13/50)))+$K$2*4)/(C30*0.75)/24</f>
        <v>518.45629743270831</v>
      </c>
      <c r="F47" s="17">
        <f ca="1">('TU5.05'!$G$3+(J13*(1+(K13/50)))+$K$2*4)/C30/24</f>
        <v>388.84222307453132</v>
      </c>
      <c r="G47" s="17">
        <f ca="1">('TU5.05'!$G$3+(J13*(1+(K13/50)))+$K$2*4)/(C30*($G$4/100))/24</f>
        <v>1944.2111153726564</v>
      </c>
    </row>
    <row r="48" spans="1:10" ht="15.75" customHeight="1">
      <c r="A48" s="3"/>
      <c r="B48" s="3" t="s">
        <v>128</v>
      </c>
      <c r="D48" s="17">
        <f ca="1">('TU5.05'!$G$3+(J14*(1+(K14/50))+$K$2*4))/(C31*0.5)/24</f>
        <v>570.57148010972139</v>
      </c>
      <c r="E48" s="17">
        <f ca="1">('TU5.05'!$G$3+(J14*(1+(K14/50)))+$K$2*4)/(C31*0.75)/24</f>
        <v>380.3809867398142</v>
      </c>
      <c r="F48" s="17">
        <f ca="1">('TU5.05'!$G$3+(J14*(1+(K14/50)))+$K$2*4)/C31/24</f>
        <v>285.2857400548607</v>
      </c>
      <c r="G48" s="17">
        <f ca="1">('TU5.05'!$G$3+(J14*(1+(K14/50)))+$K$2*4)/(C31*($G$4/100))/24</f>
        <v>1426.4287002743033</v>
      </c>
    </row>
    <row r="49" spans="1:12" ht="15.75" customHeight="1">
      <c r="A49" s="3"/>
      <c r="B49" s="3" t="s">
        <v>119</v>
      </c>
      <c r="D49" s="17">
        <f ca="1">('TU5.05'!$G$3+(J15*(1+(K15/50))+$K$2*4))/(C32*0.5)/24</f>
        <v>7675.1188954189556</v>
      </c>
      <c r="E49" s="17">
        <f ca="1">('TU5.05'!$G$3+(J15*(1+(K15/50)))+$K$2*4)/(C32*0.75)/24</f>
        <v>5116.7459302793031</v>
      </c>
      <c r="F49" s="17">
        <f ca="1">('TU5.05'!$G$3+(J15*(1+(K15/50)))+$K$2*4)/C32/24</f>
        <v>3837.5594477094778</v>
      </c>
      <c r="G49" s="17">
        <f ca="1">('TU5.05'!$G$3+(J15*(1+(K15/50)))+$K$2*4)/(C32*($G$4/100))/24</f>
        <v>19187.797238547384</v>
      </c>
    </row>
    <row r="50" spans="1:12" ht="15.75" customHeight="1">
      <c r="A50" s="3"/>
      <c r="B50" s="3" t="s">
        <v>136</v>
      </c>
      <c r="D50" s="17">
        <f ca="1">('TU5.05'!$G$3+(J16*(1+(K16/50))+$K$2*4))/(C33*0.5)/24</f>
        <v>773.02254711164267</v>
      </c>
      <c r="E50" s="17">
        <f ca="1">('TU5.05'!$G$3+(J16*(1+(K16/50)))+$K$2*4)/(C33*0.75)/24</f>
        <v>515.34836474109511</v>
      </c>
      <c r="F50" s="17">
        <f ca="1">('TU5.05'!$G$3+(J16*(1+(K16/50)))+$K$2*4)/C33/24</f>
        <v>386.51127355582133</v>
      </c>
      <c r="G50" s="17">
        <f ca="1">('TU5.05'!$G$3+(J16*(1+(K16/50)))+$K$2*4)/(C33*($G$4/100))/24</f>
        <v>1932.5563677791067</v>
      </c>
    </row>
    <row r="51" spans="1:12" ht="15.75" customHeight="1">
      <c r="A51" s="3"/>
      <c r="B51" s="3" t="s">
        <v>145</v>
      </c>
      <c r="D51" s="17">
        <f ca="1">('TU5.05'!$G$3+(J17*(1+(K17/50))+$K$2*4))/(C34*0.5)/24</f>
        <v>434.26944694593038</v>
      </c>
      <c r="E51" s="17">
        <f ca="1">('TU5.05'!$G$3+(J17*(1+(K17/50)))+$K$2*4)/(C34*0.75)/24</f>
        <v>289.51296463062027</v>
      </c>
      <c r="F51" s="17">
        <f ca="1">('TU5.05'!$G$3+(J17*(1+(K17/50)))+$K$2*4)/C34/24</f>
        <v>217.13472347296519</v>
      </c>
      <c r="G51" s="17">
        <f ca="1">('TU5.05'!$G$3+(J17*(1+(K17/50)))+$K$2*4)/(C34*($G$4/100))/24</f>
        <v>1085.673617364826</v>
      </c>
    </row>
    <row r="52" spans="1:12" ht="15.75" customHeight="1">
      <c r="A52" s="3"/>
      <c r="B52" s="3" t="s">
        <v>112</v>
      </c>
      <c r="D52" s="17">
        <f ca="1">('TU5.05'!$G$3+(J18*(1+(K18/50))+$K$2*4))/(C35*0.5)/24</f>
        <v>238.50441018943366</v>
      </c>
      <c r="E52" s="17">
        <f ca="1">('TU5.05'!$G$3+(J18*(1+(K18/50)))+$K$2*4)/(C35*0.75)/24</f>
        <v>159.0029401262891</v>
      </c>
      <c r="F52" s="17">
        <f ca="1">('TU5.05'!$G$3+(J18*(1+(K18/50)))+$K$2*4)/C35/24</f>
        <v>119.25220509471683</v>
      </c>
      <c r="G52" s="17">
        <f ca="1">('TU5.05'!$G$3+(J18*(1+(K18/50)))+$K$2*4)/(C35*($G$4/100))/24</f>
        <v>596.26102547358414</v>
      </c>
    </row>
    <row r="53" spans="1:12" ht="15.75" customHeight="1"/>
    <row r="54" spans="1:12" ht="15.75" customHeight="1">
      <c r="B54" s="3" t="s">
        <v>522</v>
      </c>
    </row>
    <row r="55" spans="1:12" ht="15.75" customHeight="1">
      <c r="B55" s="1" t="s">
        <v>510</v>
      </c>
      <c r="C55" s="1" t="s">
        <v>523</v>
      </c>
      <c r="D55" s="1" t="s">
        <v>518</v>
      </c>
      <c r="E55" s="1" t="s">
        <v>519</v>
      </c>
      <c r="F55" s="1" t="s">
        <v>520</v>
      </c>
      <c r="G55" s="1">
        <f t="shared" ref="G55:H55" si="6">$G$4</f>
        <v>20</v>
      </c>
      <c r="H55" s="1">
        <f t="shared" si="6"/>
        <v>20</v>
      </c>
      <c r="J55" s="3"/>
      <c r="K55" s="3"/>
      <c r="L55" s="3"/>
    </row>
    <row r="56" spans="1:12" ht="15.75" customHeight="1">
      <c r="B56" s="3" t="s">
        <v>101</v>
      </c>
      <c r="C56" s="12">
        <f ca="1">C22*(UserBuildings!$W$5*0.9+1)</f>
        <v>24608902.5</v>
      </c>
      <c r="D56" s="53">
        <f ca="1">('TU5.05'!$G$3+(J5*(1+(K5/50))+$K$2*4))/(C56*0.5)/24</f>
        <v>51.550220006763816</v>
      </c>
      <c r="E56" s="53">
        <f ca="1">('TU5.05'!$G$3+(J5*(1+(K5/50)))+$K$2*4)/(C56*0.75)/24</f>
        <v>34.366813337842544</v>
      </c>
      <c r="F56" s="53">
        <f ca="1">('TU5.05'!$G$3+(J5*(1+(K5/50)))+$K$2*4)/C56/24</f>
        <v>25.775110003381908</v>
      </c>
      <c r="G56" s="53">
        <f ca="1">('TU5.05'!$G$3+(J5*(1+(K5/50)))+$K$2*4)/(C56*0.75)/24</f>
        <v>34.366813337842544</v>
      </c>
      <c r="H56" s="17">
        <f t="shared" ref="H56:H69" ca="1" si="7">C56*($G$4/100)</f>
        <v>4921780.5</v>
      </c>
    </row>
    <row r="57" spans="1:12" ht="15.75" customHeight="1">
      <c r="B57" s="3" t="s">
        <v>148</v>
      </c>
      <c r="C57" s="12">
        <f ca="1">C23*(UserBuildings!$W$5*0.9+1)</f>
        <v>11999769.6</v>
      </c>
      <c r="D57" s="53">
        <f ca="1">('TU5.05'!$G$3+(J6*(1+(K6/50))+$K$2*4))/(C57*0.5)/24</f>
        <v>105.96760441133803</v>
      </c>
      <c r="E57" s="53">
        <f ca="1">('TU5.05'!$G$3+(J6*(1+(K6/50)))+$K$2*4)/(C57*0.75)/24</f>
        <v>70.645069607558696</v>
      </c>
      <c r="F57" s="53">
        <f ca="1">('TU5.05'!$G$3+(J6*(1+(K6/50)))+$K$2*4)/C57/24</f>
        <v>52.983802205669015</v>
      </c>
      <c r="G57" s="53">
        <f ca="1">('TU5.05'!$G$3+(J6*(1+(K6/50)))+$K$2*4)/(($I6*($G$4/100))*5.05* (UserBuildings!$W$5*0.9+1) *'Supply Chain'!$E34)/24</f>
        <v>264.9190110283451</v>
      </c>
      <c r="H57" s="17">
        <f t="shared" ca="1" si="7"/>
        <v>2399953.9199999999</v>
      </c>
    </row>
    <row r="58" spans="1:12" ht="15.75" customHeight="1">
      <c r="B58" s="3" t="s">
        <v>115</v>
      </c>
      <c r="C58" s="12">
        <f ca="1">C24*(UserBuildings!$W$5*0.9+1)</f>
        <v>11955652.799999999</v>
      </c>
      <c r="D58" s="53">
        <f ca="1">('TU5.05'!$G$3+(J7*(1+(K7/50))+$K$2*4))/(C58*0.5)/24</f>
        <v>106.77579546304658</v>
      </c>
      <c r="E58" s="53">
        <f ca="1">('TU5.05'!$G$3+(J7*(1+(K7/50)))+$K$2*4)/(C58*0.75)/24</f>
        <v>71.183863642031056</v>
      </c>
      <c r="F58" s="53">
        <f ca="1">('TU5.05'!$G$3+(J7*(1+(K7/50)))+$K$2*4)/C58/24</f>
        <v>53.387897731523289</v>
      </c>
      <c r="G58" s="53">
        <f ca="1">('TU5.05'!$G$3+(J7*(1+(K7/50)))+$K$2*4)/(($I7*($G$4/100))*5.05* (UserBuildings!$W$5*0.9+1) *'Supply Chain'!$E35)/24</f>
        <v>266.93948865761644</v>
      </c>
      <c r="H58" s="17">
        <f t="shared" ca="1" si="7"/>
        <v>2391130.56</v>
      </c>
    </row>
    <row r="59" spans="1:12" ht="15.75" customHeight="1">
      <c r="B59" s="3" t="s">
        <v>105</v>
      </c>
      <c r="C59" s="12">
        <f ca="1">C25*(UserBuildings!$W$5*0.9+1)</f>
        <v>56623912.799999997</v>
      </c>
      <c r="D59" s="53">
        <f ca="1">('TU5.05'!$G$3+(J8*(1+(K8/50))+$K$2*4))/(C59*0.5)/24</f>
        <v>24.130252934410425</v>
      </c>
      <c r="E59" s="53">
        <f ca="1">('TU5.05'!$G$3+(J8*(1+(K8/50)))+$K$2*4)/(C59*0.75)/24</f>
        <v>16.086835289606952</v>
      </c>
      <c r="F59" s="53">
        <f ca="1">('TU5.05'!$G$3+(J8*(1+(K8/50)))+$K$2*4)/C59/24</f>
        <v>12.065126467205213</v>
      </c>
      <c r="G59" s="53">
        <f ca="1">('TU5.05'!$G$3+(J8*(1+(K8/50)))+$K$2*4)/(($I8*($G$4/100))*5.05* (UserBuildings!$W$5*0.9+1) *'Supply Chain'!$E36)/24</f>
        <v>60.325632336026054</v>
      </c>
      <c r="H59" s="17">
        <f t="shared" ca="1" si="7"/>
        <v>11324782.560000001</v>
      </c>
    </row>
    <row r="60" spans="1:12" ht="15.75" customHeight="1">
      <c r="B60" s="3" t="s">
        <v>124</v>
      </c>
      <c r="C60" s="12">
        <f ca="1">C26*(UserBuildings!$W$5*0.9+1)</f>
        <v>24187035.599999998</v>
      </c>
      <c r="D60" s="53">
        <f ca="1">('TU5.05'!$G$3+(J9*(1+(K9/50))+$K$2*4))/(C60*0.5)/24</f>
        <v>53.191691585388007</v>
      </c>
      <c r="E60" s="53">
        <f ca="1">('TU5.05'!$G$3+(J9*(1+(K9/50)))+$K$2*4)/(C60*0.75)/24</f>
        <v>35.461127723592</v>
      </c>
      <c r="F60" s="53">
        <f ca="1">('TU5.05'!$G$3+(J9*(1+(K9/50)))+$K$2*4)/C60/24</f>
        <v>26.595845792694004</v>
      </c>
      <c r="G60" s="53">
        <f ca="1">('TU5.05'!$G$3+(J9*(1+(K9/50)))+$K$2*4)/(($I9*($G$4/100))*5.05* (UserBuildings!$W$5*0.9+1) *'Supply Chain'!$E37)/24</f>
        <v>132.97922896346998</v>
      </c>
      <c r="H60" s="17">
        <f t="shared" ca="1" si="7"/>
        <v>4837407.12</v>
      </c>
    </row>
    <row r="61" spans="1:12" ht="15.75" customHeight="1">
      <c r="B61" s="3" t="s">
        <v>515</v>
      </c>
      <c r="C61" s="12">
        <f ca="1">C27*(UserBuildings!$W$5*0.9+1)</f>
        <v>36252428.939999998</v>
      </c>
      <c r="D61" s="53">
        <f ca="1">('TU5.05'!$G$3+(J10*(1+(K10/50))+$K$2*4))/(C61*0.5)/24</f>
        <v>40.441409882534622</v>
      </c>
      <c r="E61" s="53">
        <f ca="1">('TU5.05'!$G$3+(J10*(1+(K10/50)))+$K$2*4)/(C61*0.75)/24</f>
        <v>26.960939921689747</v>
      </c>
      <c r="F61" s="53">
        <f ca="1">('TU5.05'!$G$3+(J10*(1+(K10/50)))+$K$2*4)/C61/24</f>
        <v>20.220704941267311</v>
      </c>
      <c r="G61" s="53">
        <f ca="1">('TU5.05'!$G$3+(J10*(1+(K10/50)))+$K$2*4)/(($I10*($G$4/100))*5.05* (UserBuildings!$W$5*0.9+1) *'Supply Chain'!$E38)/24</f>
        <v>101.10352470633654</v>
      </c>
      <c r="H61" s="17">
        <f t="shared" ca="1" si="7"/>
        <v>7250485.7879999997</v>
      </c>
    </row>
    <row r="62" spans="1:12" ht="15.75" customHeight="1">
      <c r="B62" s="3" t="s">
        <v>132</v>
      </c>
      <c r="C62" s="12">
        <f ca="1">C28*(UserBuildings!$W$5*0.9+1)</f>
        <v>12550540.275</v>
      </c>
      <c r="D62" s="53">
        <f ca="1">('TU5.05'!$G$3+(J11*(1+(K11/50))+$K$2*4))/(C62*0.5)/24</f>
        <v>132.71136552725019</v>
      </c>
      <c r="E62" s="53">
        <f ca="1">('TU5.05'!$G$3+(J11*(1+(K11/50)))+$K$2*4)/(C62*0.75)/24</f>
        <v>88.474243684833439</v>
      </c>
      <c r="F62" s="53">
        <f ca="1">('TU5.05'!$G$3+(J11*(1+(K11/50)))+$K$2*4)/C62/24</f>
        <v>66.355682763625097</v>
      </c>
      <c r="G62" s="53">
        <f ca="1">('TU5.05'!$G$3+(J11*(1+(K11/50)))+$K$2*4)/(($I11*($G$4/100))*5.05* (UserBuildings!$W$5*0.9+1) *'Supply Chain'!$E39)/24</f>
        <v>331.7784138181255</v>
      </c>
      <c r="H62" s="17">
        <f t="shared" ca="1" si="7"/>
        <v>2510108.0550000002</v>
      </c>
    </row>
    <row r="63" spans="1:12" ht="15.75" customHeight="1">
      <c r="B63" s="3" t="s">
        <v>108</v>
      </c>
      <c r="C63" s="12">
        <f ca="1">C29*(UserBuildings!$W$5*0.9+1)</f>
        <v>25443261.48</v>
      </c>
      <c r="D63" s="53">
        <f ca="1">('TU5.05'!$G$3+(J12*(1+(K12/50))+$K$2*4))/(C63*0.5)/24</f>
        <v>81.145231307036042</v>
      </c>
      <c r="E63" s="53">
        <f ca="1">('TU5.05'!$G$3+(J12*(1+(K12/50)))+$K$2*4)/(C63*0.75)/24</f>
        <v>54.096820871357359</v>
      </c>
      <c r="F63" s="53">
        <f ca="1">('TU5.05'!$G$3+(J12*(1+(K12/50)))+$K$2*4)/C63/24</f>
        <v>40.572615653518021</v>
      </c>
      <c r="G63" s="53">
        <f ca="1">('TU5.05'!$G$3+(J12*(1+(K12/50)))+$K$2*4)/(($I12*($G$4/100))*5.05* (UserBuildings!$W$5*0.9+1) *'Supply Chain'!$E40)/24</f>
        <v>202.86307826759011</v>
      </c>
      <c r="H63" s="17">
        <f t="shared" ca="1" si="7"/>
        <v>5088652.2960000001</v>
      </c>
    </row>
    <row r="64" spans="1:12" ht="15.75" customHeight="1">
      <c r="B64" s="3" t="s">
        <v>139</v>
      </c>
      <c r="C64" s="12">
        <f ca="1">C30*(UserBuildings!$W$5*0.9+1)</f>
        <v>28827571.5</v>
      </c>
      <c r="D64" s="53">
        <f ca="1">('TU5.05'!$G$3+(J13*(1+(K13/50))+$K$2*4))/(C64*0.5)/24</f>
        <v>85.459829247149727</v>
      </c>
      <c r="E64" s="53">
        <f ca="1">('TU5.05'!$G$3+(J13*(1+(K13/50)))+$K$2*4)/(C64*0.75)/24</f>
        <v>56.973219498099816</v>
      </c>
      <c r="F64" s="53">
        <f ca="1">('TU5.05'!$G$3+(J13*(1+(K13/50)))+$K$2*4)/C64/24</f>
        <v>42.729914623574864</v>
      </c>
      <c r="G64" s="53">
        <f ca="1">('TU5.05'!$G$3+(J13*(1+(K13/50)))+$K$2*4)/(($I13*($G$4/100))*5.05* (UserBuildings!$W$5*0.9+1) *'Supply Chain'!$E41)/24</f>
        <v>213.64957311787433</v>
      </c>
      <c r="H64" s="17">
        <f t="shared" ca="1" si="7"/>
        <v>5765514.3000000007</v>
      </c>
    </row>
    <row r="65" spans="2:12" ht="15.75" customHeight="1">
      <c r="B65" s="3" t="s">
        <v>128</v>
      </c>
      <c r="C65" s="12">
        <f ca="1">C31*(UserBuildings!$W$5*0.9+1)</f>
        <v>45655373.399999999</v>
      </c>
      <c r="D65" s="53">
        <f ca="1">('TU5.05'!$G$3+(J14*(1+(K14/50))+$K$2*4))/(C65*0.5)/24</f>
        <v>62.70016264941993</v>
      </c>
      <c r="E65" s="53">
        <f ca="1">('TU5.05'!$G$3+(J14*(1+(K14/50)))+$K$2*4)/(C65*0.75)/24</f>
        <v>41.800108432946622</v>
      </c>
      <c r="F65" s="53">
        <f ca="1">('TU5.05'!$G$3+(J14*(1+(K14/50)))+$K$2*4)/C65/24</f>
        <v>31.350081324709965</v>
      </c>
      <c r="G65" s="53">
        <f ca="1">('TU5.05'!$G$3+(J14*(1+(K14/50)))+$K$2*4)/(($I14*($G$4/100))*5.05* (UserBuildings!$W$5*0.9+1) *'Supply Chain'!$E42)/24</f>
        <v>156.75040662354982</v>
      </c>
      <c r="H65" s="17">
        <f t="shared" ca="1" si="7"/>
        <v>9131074.6799999997</v>
      </c>
    </row>
    <row r="66" spans="2:12" ht="15.75" customHeight="1">
      <c r="B66" s="3" t="s">
        <v>119</v>
      </c>
      <c r="C66" s="12">
        <f ca="1">C32*(UserBuildings!$W$5*0.9+1)</f>
        <v>3867113.2499999995</v>
      </c>
      <c r="D66" s="53">
        <f ca="1">('TU5.05'!$G$3+(J15*(1+(K15/50))+$K$2*4))/(C66*0.5)/24</f>
        <v>843.41965883724777</v>
      </c>
      <c r="E66" s="53">
        <f ca="1">('TU5.05'!$G$3+(J15*(1+(K15/50)))+$K$2*4)/(C66*0.75)/24</f>
        <v>562.27977255816518</v>
      </c>
      <c r="F66" s="53">
        <f ca="1">('TU5.05'!$G$3+(J15*(1+(K15/50)))+$K$2*4)/C66/24</f>
        <v>421.70982941862388</v>
      </c>
      <c r="G66" s="53">
        <f ca="1">('TU5.05'!$G$3+(J15*(1+(K15/50)))+$K$2*4)/(($I15*($G$4/100))*5.05* (UserBuildings!$W$5*0.9+1) *'Supply Chain'!$E43)/24</f>
        <v>2108.5491470931188</v>
      </c>
      <c r="H66" s="17">
        <f t="shared" ca="1" si="7"/>
        <v>773422.64999999991</v>
      </c>
    </row>
    <row r="67" spans="2:12" ht="15.75" customHeight="1">
      <c r="B67" s="3" t="s">
        <v>136</v>
      </c>
      <c r="C67" s="12">
        <f ca="1">C33*(UserBuildings!$W$5*0.9+1)</f>
        <v>44266728.1875</v>
      </c>
      <c r="D67" s="53">
        <f ca="1">('TU5.05'!$G$3+(J16*(1+(K16/50))+$K$2*4))/(C67*0.5)/24</f>
        <v>84.947532649631071</v>
      </c>
      <c r="E67" s="53">
        <f ca="1">('TU5.05'!$G$3+(J16*(1+(K16/50)))+$K$2*4)/(C67*0.75)/24</f>
        <v>56.631688433087383</v>
      </c>
      <c r="F67" s="53">
        <f ca="1">('TU5.05'!$G$3+(J16*(1+(K16/50)))+$K$2*4)/C67/24</f>
        <v>42.473766324815536</v>
      </c>
      <c r="G67" s="53">
        <f ca="1">('TU5.05'!$G$3+(J16*(1+(K16/50)))+$K$2*4)/(($I16*($G$4/100))*5.05* (UserBuildings!$W$5*0.9+1) *'Supply Chain'!$E44)/24</f>
        <v>212.36883162407767</v>
      </c>
      <c r="H67" s="17">
        <f t="shared" ca="1" si="7"/>
        <v>8853345.6375000011</v>
      </c>
    </row>
    <row r="68" spans="2:12" ht="15.75" customHeight="1">
      <c r="B68" s="3" t="s">
        <v>145</v>
      </c>
      <c r="C68" s="12">
        <f ca="1">C34*(UserBuildings!$W$5*0.9+1)</f>
        <v>89248286.399999991</v>
      </c>
      <c r="D68" s="53">
        <f ca="1">('TU5.05'!$G$3+(J17*(1+(K17/50))+$K$2*4))/(C68*0.5)/24</f>
        <v>47.721917246805539</v>
      </c>
      <c r="E68" s="53">
        <f ca="1">('TU5.05'!$G$3+(J17*(1+(K17/50)))+$K$2*4)/(C68*0.75)/24</f>
        <v>31.814611497870359</v>
      </c>
      <c r="F68" s="53">
        <f ca="1">('TU5.05'!$G$3+(J17*(1+(K17/50)))+$K$2*4)/C68/24</f>
        <v>23.86095862340277</v>
      </c>
      <c r="G68" s="53">
        <f ca="1">('TU5.05'!$G$3+(J17*(1+(K17/50)))+$K$2*4)/(($I17*($G$4/100))*5.05* (UserBuildings!$W$5*0.9+1) *'Supply Chain'!$E45)/24</f>
        <v>119.30479311701383</v>
      </c>
      <c r="H68" s="17">
        <f t="shared" ca="1" si="7"/>
        <v>17849657.279999997</v>
      </c>
    </row>
    <row r="69" spans="2:12" ht="15.75" customHeight="1">
      <c r="B69" s="3" t="s">
        <v>112</v>
      </c>
      <c r="C69" s="12">
        <f ca="1">C35*(UserBuildings!$W$5*0.9+1)</f>
        <v>200562555.375</v>
      </c>
      <c r="D69" s="53">
        <f ca="1">('TU5.05'!$G$3+(J18*(1+(K18/50))+$K$2*4))/(C69*0.5)/24</f>
        <v>26.209275844992707</v>
      </c>
      <c r="E69" s="53">
        <f ca="1">('TU5.05'!$G$3+(J18*(1+(K18/50)))+$K$2*4)/(C69*0.75)/24</f>
        <v>17.472850563328471</v>
      </c>
      <c r="F69" s="53">
        <f ca="1">('TU5.05'!$G$3+(J18*(1+(K18/50)))+$K$2*4)/C69/24</f>
        <v>13.104637922496353</v>
      </c>
      <c r="G69" s="53">
        <f ca="1">('TU5.05'!$G$3+(J18*(1+(K18/50)))+$K$2*4)/(($I18*($G$4/100))*5.05* (UserBuildings!$W$5*0.9+1) *'Supply Chain'!$E46)/24</f>
        <v>65.523189612481772</v>
      </c>
      <c r="H69" s="17">
        <f t="shared" ca="1" si="7"/>
        <v>40112511.075000003</v>
      </c>
    </row>
    <row r="70" spans="2:12" ht="15.75" customHeight="1">
      <c r="C70" s="12"/>
    </row>
    <row r="71" spans="2:12" ht="15.75" customHeight="1">
      <c r="B71" s="3" t="s">
        <v>524</v>
      </c>
    </row>
    <row r="72" spans="2:12" ht="15.75" customHeight="1">
      <c r="C72" s="1">
        <v>10</v>
      </c>
      <c r="D72" s="1">
        <v>20</v>
      </c>
      <c r="E72" s="1">
        <v>30</v>
      </c>
      <c r="F72" s="1">
        <v>40</v>
      </c>
      <c r="G72" s="1">
        <v>50</v>
      </c>
      <c r="H72" s="1">
        <v>60</v>
      </c>
      <c r="I72" s="1">
        <v>70</v>
      </c>
      <c r="J72" s="1">
        <v>80</v>
      </c>
      <c r="K72" s="1">
        <v>90</v>
      </c>
      <c r="L72" s="1">
        <v>100</v>
      </c>
    </row>
    <row r="73" spans="2:12" ht="15.75" customHeight="1">
      <c r="B73" s="3" t="s">
        <v>101</v>
      </c>
      <c r="C73" s="5">
        <f t="shared" ref="C73:K73" ca="1" si="8">(C$72/100)*$L73</f>
        <v>2460890.25</v>
      </c>
      <c r="D73" s="5">
        <f t="shared" ca="1" si="8"/>
        <v>4921780.5</v>
      </c>
      <c r="E73" s="5">
        <f t="shared" ca="1" si="8"/>
        <v>7382670.75</v>
      </c>
      <c r="F73" s="5">
        <f t="shared" ca="1" si="8"/>
        <v>9843561</v>
      </c>
      <c r="G73" s="5">
        <f t="shared" ca="1" si="8"/>
        <v>12304451.25</v>
      </c>
      <c r="H73" s="5">
        <f t="shared" ca="1" si="8"/>
        <v>14765341.5</v>
      </c>
      <c r="I73" s="5">
        <f t="shared" ca="1" si="8"/>
        <v>17226231.75</v>
      </c>
      <c r="J73" s="5">
        <f t="shared" ca="1" si="8"/>
        <v>19687122</v>
      </c>
      <c r="K73" s="5">
        <f t="shared" ca="1" si="8"/>
        <v>22148012.25</v>
      </c>
      <c r="L73" s="5">
        <f t="shared" ref="L73:L86" ca="1" si="9">C56</f>
        <v>24608902.5</v>
      </c>
    </row>
    <row r="74" spans="2:12" ht="15.75" customHeight="1">
      <c r="B74" s="3" t="s">
        <v>148</v>
      </c>
      <c r="C74" s="5">
        <f t="shared" ref="C74:K74" ca="1" si="10">(C$72/100)*$L74</f>
        <v>1199976.96</v>
      </c>
      <c r="D74" s="5">
        <f t="shared" ca="1" si="10"/>
        <v>2399953.9199999999</v>
      </c>
      <c r="E74" s="5">
        <f t="shared" ca="1" si="10"/>
        <v>3599930.88</v>
      </c>
      <c r="F74" s="5">
        <f t="shared" ca="1" si="10"/>
        <v>4799907.8399999999</v>
      </c>
      <c r="G74" s="5">
        <f t="shared" ca="1" si="10"/>
        <v>5999884.7999999998</v>
      </c>
      <c r="H74" s="5">
        <f t="shared" ca="1" si="10"/>
        <v>7199861.7599999998</v>
      </c>
      <c r="I74" s="5">
        <f t="shared" ca="1" si="10"/>
        <v>8399838.7199999988</v>
      </c>
      <c r="J74" s="5">
        <f t="shared" ca="1" si="10"/>
        <v>9599815.6799999997</v>
      </c>
      <c r="K74" s="5">
        <f t="shared" ca="1" si="10"/>
        <v>10799792.640000001</v>
      </c>
      <c r="L74" s="5">
        <f t="shared" ca="1" si="9"/>
        <v>11999769.6</v>
      </c>
    </row>
    <row r="75" spans="2:12" ht="15.75" customHeight="1">
      <c r="B75" s="3" t="s">
        <v>115</v>
      </c>
      <c r="C75" s="5">
        <f t="shared" ref="C75:K75" ca="1" si="11">(C$72/100)*$L75</f>
        <v>1195565.28</v>
      </c>
      <c r="D75" s="5">
        <f t="shared" ca="1" si="11"/>
        <v>2391130.56</v>
      </c>
      <c r="E75" s="5">
        <f t="shared" ca="1" si="11"/>
        <v>3586695.8399999994</v>
      </c>
      <c r="F75" s="5">
        <f t="shared" ca="1" si="11"/>
        <v>4782261.12</v>
      </c>
      <c r="G75" s="5">
        <f t="shared" ca="1" si="11"/>
        <v>5977826.3999999994</v>
      </c>
      <c r="H75" s="5">
        <f t="shared" ca="1" si="11"/>
        <v>7173391.6799999988</v>
      </c>
      <c r="I75" s="5">
        <f t="shared" ca="1" si="11"/>
        <v>8368956.959999999</v>
      </c>
      <c r="J75" s="5">
        <f t="shared" ca="1" si="11"/>
        <v>9564522.2400000002</v>
      </c>
      <c r="K75" s="5">
        <f t="shared" ca="1" si="11"/>
        <v>10760087.52</v>
      </c>
      <c r="L75" s="5">
        <f t="shared" ca="1" si="9"/>
        <v>11955652.799999999</v>
      </c>
    </row>
    <row r="76" spans="2:12" ht="15.75" customHeight="1">
      <c r="B76" s="3" t="s">
        <v>105</v>
      </c>
      <c r="C76" s="5">
        <f t="shared" ref="C76:K76" ca="1" si="12">(C$72/100)*$L76</f>
        <v>5662391.2800000003</v>
      </c>
      <c r="D76" s="5">
        <f t="shared" ca="1" si="12"/>
        <v>11324782.560000001</v>
      </c>
      <c r="E76" s="5">
        <f t="shared" ca="1" si="12"/>
        <v>16987173.84</v>
      </c>
      <c r="F76" s="5">
        <f t="shared" ca="1" si="12"/>
        <v>22649565.120000001</v>
      </c>
      <c r="G76" s="5">
        <f t="shared" ca="1" si="12"/>
        <v>28311956.399999999</v>
      </c>
      <c r="H76" s="5">
        <f t="shared" ca="1" si="12"/>
        <v>33974347.68</v>
      </c>
      <c r="I76" s="5">
        <f t="shared" ca="1" si="12"/>
        <v>39636738.959999993</v>
      </c>
      <c r="J76" s="5">
        <f t="shared" ca="1" si="12"/>
        <v>45299130.240000002</v>
      </c>
      <c r="K76" s="5">
        <f t="shared" ca="1" si="12"/>
        <v>50961521.519999996</v>
      </c>
      <c r="L76" s="5">
        <f t="shared" ca="1" si="9"/>
        <v>56623912.799999997</v>
      </c>
    </row>
    <row r="77" spans="2:12" ht="15.75" customHeight="1">
      <c r="B77" s="3" t="s">
        <v>124</v>
      </c>
      <c r="C77" s="5">
        <f t="shared" ref="C77:K77" ca="1" si="13">(C$72/100)*$L77</f>
        <v>2418703.56</v>
      </c>
      <c r="D77" s="5">
        <f t="shared" ca="1" si="13"/>
        <v>4837407.12</v>
      </c>
      <c r="E77" s="5">
        <f t="shared" ca="1" si="13"/>
        <v>7256110.6799999988</v>
      </c>
      <c r="F77" s="5">
        <f t="shared" ca="1" si="13"/>
        <v>9674814.2400000002</v>
      </c>
      <c r="G77" s="5">
        <f t="shared" ca="1" si="13"/>
        <v>12093517.799999999</v>
      </c>
      <c r="H77" s="5">
        <f t="shared" ca="1" si="13"/>
        <v>14512221.359999998</v>
      </c>
      <c r="I77" s="5">
        <f t="shared" ca="1" si="13"/>
        <v>16930924.919999998</v>
      </c>
      <c r="J77" s="5">
        <f t="shared" ca="1" si="13"/>
        <v>19349628.48</v>
      </c>
      <c r="K77" s="5">
        <f t="shared" ca="1" si="13"/>
        <v>21768332.039999999</v>
      </c>
      <c r="L77" s="5">
        <f t="shared" ca="1" si="9"/>
        <v>24187035.599999998</v>
      </c>
    </row>
    <row r="78" spans="2:12" ht="15.75" customHeight="1">
      <c r="B78" s="3" t="s">
        <v>515</v>
      </c>
      <c r="C78" s="5">
        <f t="shared" ref="C78:K78" ca="1" si="14">(C$72/100)*$L78</f>
        <v>3625242.8939999999</v>
      </c>
      <c r="D78" s="5">
        <f t="shared" ca="1" si="14"/>
        <v>7250485.7879999997</v>
      </c>
      <c r="E78" s="5">
        <f t="shared" ca="1" si="14"/>
        <v>10875728.681999998</v>
      </c>
      <c r="F78" s="5">
        <f t="shared" ca="1" si="14"/>
        <v>14500971.575999999</v>
      </c>
      <c r="G78" s="5">
        <f t="shared" ca="1" si="14"/>
        <v>18126214.469999999</v>
      </c>
      <c r="H78" s="5">
        <f t="shared" ca="1" si="14"/>
        <v>21751457.363999996</v>
      </c>
      <c r="I78" s="5">
        <f t="shared" ca="1" si="14"/>
        <v>25376700.257999998</v>
      </c>
      <c r="J78" s="5">
        <f t="shared" ca="1" si="14"/>
        <v>29001943.151999999</v>
      </c>
      <c r="K78" s="5">
        <f t="shared" ca="1" si="14"/>
        <v>32627186.046</v>
      </c>
      <c r="L78" s="5">
        <f t="shared" ca="1" si="9"/>
        <v>36252428.939999998</v>
      </c>
    </row>
    <row r="79" spans="2:12" ht="15.75" customHeight="1">
      <c r="B79" s="3" t="s">
        <v>132</v>
      </c>
      <c r="C79" s="5">
        <f t="shared" ref="C79:K79" ca="1" si="15">(C$72/100)*$L79</f>
        <v>1255054.0275000001</v>
      </c>
      <c r="D79" s="5">
        <f t="shared" ca="1" si="15"/>
        <v>2510108.0550000002</v>
      </c>
      <c r="E79" s="5">
        <f t="shared" ca="1" si="15"/>
        <v>3765162.0825</v>
      </c>
      <c r="F79" s="5">
        <f t="shared" ca="1" si="15"/>
        <v>5020216.1100000003</v>
      </c>
      <c r="G79" s="5">
        <f t="shared" ca="1" si="15"/>
        <v>6275270.1375000002</v>
      </c>
      <c r="H79" s="5">
        <f t="shared" ca="1" si="15"/>
        <v>7530324.165</v>
      </c>
      <c r="I79" s="5">
        <f t="shared" ca="1" si="15"/>
        <v>8785378.192499999</v>
      </c>
      <c r="J79" s="5">
        <f t="shared" ca="1" si="15"/>
        <v>10040432.220000001</v>
      </c>
      <c r="K79" s="5">
        <f t="shared" ca="1" si="15"/>
        <v>11295486.247500001</v>
      </c>
      <c r="L79" s="5">
        <f t="shared" ca="1" si="9"/>
        <v>12550540.275</v>
      </c>
    </row>
    <row r="80" spans="2:12" ht="15.75" customHeight="1">
      <c r="B80" s="3" t="s">
        <v>108</v>
      </c>
      <c r="C80" s="5">
        <f t="shared" ref="C80:K80" ca="1" si="16">(C$72/100)*$L80</f>
        <v>2544326.148</v>
      </c>
      <c r="D80" s="5">
        <f t="shared" ca="1" si="16"/>
        <v>5088652.2960000001</v>
      </c>
      <c r="E80" s="5">
        <f t="shared" ca="1" si="16"/>
        <v>7632978.4440000001</v>
      </c>
      <c r="F80" s="5">
        <f t="shared" ca="1" si="16"/>
        <v>10177304.592</v>
      </c>
      <c r="G80" s="5">
        <f t="shared" ca="1" si="16"/>
        <v>12721630.74</v>
      </c>
      <c r="H80" s="5">
        <f t="shared" ca="1" si="16"/>
        <v>15265956.888</v>
      </c>
      <c r="I80" s="5">
        <f t="shared" ca="1" si="16"/>
        <v>17810283.035999998</v>
      </c>
      <c r="J80" s="5">
        <f t="shared" ca="1" si="16"/>
        <v>20354609.184</v>
      </c>
      <c r="K80" s="5">
        <f t="shared" ca="1" si="16"/>
        <v>22898935.332000002</v>
      </c>
      <c r="L80" s="5">
        <f t="shared" ca="1" si="9"/>
        <v>25443261.48</v>
      </c>
    </row>
    <row r="81" spans="2:12" ht="15.75" customHeight="1">
      <c r="B81" s="3" t="s">
        <v>139</v>
      </c>
      <c r="C81" s="5">
        <f t="shared" ref="C81:K81" ca="1" si="17">(C$72/100)*$L81</f>
        <v>2882757.1500000004</v>
      </c>
      <c r="D81" s="5">
        <f t="shared" ca="1" si="17"/>
        <v>5765514.3000000007</v>
      </c>
      <c r="E81" s="5">
        <f t="shared" ca="1" si="17"/>
        <v>8648271.4499999993</v>
      </c>
      <c r="F81" s="5">
        <f t="shared" ca="1" si="17"/>
        <v>11531028.600000001</v>
      </c>
      <c r="G81" s="5">
        <f t="shared" ca="1" si="17"/>
        <v>14413785.75</v>
      </c>
      <c r="H81" s="5">
        <f t="shared" ca="1" si="17"/>
        <v>17296542.899999999</v>
      </c>
      <c r="I81" s="5">
        <f t="shared" ca="1" si="17"/>
        <v>20179300.049999997</v>
      </c>
      <c r="J81" s="5">
        <f t="shared" ca="1" si="17"/>
        <v>23062057.200000003</v>
      </c>
      <c r="K81" s="5">
        <f t="shared" ca="1" si="17"/>
        <v>25944814.350000001</v>
      </c>
      <c r="L81" s="5">
        <f t="shared" ca="1" si="9"/>
        <v>28827571.5</v>
      </c>
    </row>
    <row r="82" spans="2:12" ht="15.75" customHeight="1">
      <c r="B82" s="3" t="s">
        <v>128</v>
      </c>
      <c r="C82" s="5">
        <f t="shared" ref="C82:K82" ca="1" si="18">(C$72/100)*$L82</f>
        <v>4565537.34</v>
      </c>
      <c r="D82" s="5">
        <f t="shared" ca="1" si="18"/>
        <v>9131074.6799999997</v>
      </c>
      <c r="E82" s="5">
        <f t="shared" ca="1" si="18"/>
        <v>13696612.02</v>
      </c>
      <c r="F82" s="5">
        <f t="shared" ca="1" si="18"/>
        <v>18262149.359999999</v>
      </c>
      <c r="G82" s="5">
        <f t="shared" ca="1" si="18"/>
        <v>22827686.699999999</v>
      </c>
      <c r="H82" s="5">
        <f t="shared" ca="1" si="18"/>
        <v>27393224.039999999</v>
      </c>
      <c r="I82" s="5">
        <f t="shared" ca="1" si="18"/>
        <v>31958761.379999995</v>
      </c>
      <c r="J82" s="5">
        <f t="shared" ca="1" si="18"/>
        <v>36524298.719999999</v>
      </c>
      <c r="K82" s="5">
        <f t="shared" ca="1" si="18"/>
        <v>41089836.060000002</v>
      </c>
      <c r="L82" s="5">
        <f t="shared" ca="1" si="9"/>
        <v>45655373.399999999</v>
      </c>
    </row>
    <row r="83" spans="2:12" ht="15.75" customHeight="1">
      <c r="B83" s="3" t="s">
        <v>119</v>
      </c>
      <c r="C83" s="5">
        <f t="shared" ref="C83:K83" ca="1" si="19">(C$72/100)*$L83</f>
        <v>386711.32499999995</v>
      </c>
      <c r="D83" s="5">
        <f t="shared" ca="1" si="19"/>
        <v>773422.64999999991</v>
      </c>
      <c r="E83" s="5">
        <f t="shared" ca="1" si="19"/>
        <v>1160133.9749999999</v>
      </c>
      <c r="F83" s="5">
        <f t="shared" ca="1" si="19"/>
        <v>1546845.2999999998</v>
      </c>
      <c r="G83" s="5">
        <f t="shared" ca="1" si="19"/>
        <v>1933556.6249999998</v>
      </c>
      <c r="H83" s="5">
        <f t="shared" ca="1" si="19"/>
        <v>2320267.9499999997</v>
      </c>
      <c r="I83" s="5">
        <f t="shared" ca="1" si="19"/>
        <v>2706979.2749999994</v>
      </c>
      <c r="J83" s="5">
        <f t="shared" ca="1" si="19"/>
        <v>3093690.5999999996</v>
      </c>
      <c r="K83" s="5">
        <f t="shared" ca="1" si="19"/>
        <v>3480401.9249999998</v>
      </c>
      <c r="L83" s="5">
        <f t="shared" ca="1" si="9"/>
        <v>3867113.2499999995</v>
      </c>
    </row>
    <row r="84" spans="2:12" ht="15.75" customHeight="1">
      <c r="B84" s="3" t="s">
        <v>136</v>
      </c>
      <c r="C84" s="5">
        <f t="shared" ref="C84:K84" ca="1" si="20">(C$72/100)*$L84</f>
        <v>4426672.8187500006</v>
      </c>
      <c r="D84" s="5">
        <f t="shared" ca="1" si="20"/>
        <v>8853345.6375000011</v>
      </c>
      <c r="E84" s="5">
        <f t="shared" ca="1" si="20"/>
        <v>13280018.456249999</v>
      </c>
      <c r="F84" s="5">
        <f t="shared" ca="1" si="20"/>
        <v>17706691.275000002</v>
      </c>
      <c r="G84" s="5">
        <f t="shared" ca="1" si="20"/>
        <v>22133364.09375</v>
      </c>
      <c r="H84" s="5">
        <f t="shared" ca="1" si="20"/>
        <v>26560036.912499998</v>
      </c>
      <c r="I84" s="5">
        <f t="shared" ca="1" si="20"/>
        <v>30986709.731249999</v>
      </c>
      <c r="J84" s="5">
        <f t="shared" ca="1" si="20"/>
        <v>35413382.550000004</v>
      </c>
      <c r="K84" s="5">
        <f t="shared" ca="1" si="20"/>
        <v>39840055.368749999</v>
      </c>
      <c r="L84" s="5">
        <f t="shared" ca="1" si="9"/>
        <v>44266728.1875</v>
      </c>
    </row>
    <row r="85" spans="2:12" ht="15.75" customHeight="1">
      <c r="B85" s="3" t="s">
        <v>145</v>
      </c>
      <c r="C85" s="5">
        <f t="shared" ref="C85:K85" ca="1" si="21">(C$72/100)*$L85</f>
        <v>8924828.6399999987</v>
      </c>
      <c r="D85" s="5">
        <f t="shared" ca="1" si="21"/>
        <v>17849657.279999997</v>
      </c>
      <c r="E85" s="5">
        <f t="shared" ca="1" si="21"/>
        <v>26774485.919999998</v>
      </c>
      <c r="F85" s="5">
        <f t="shared" ca="1" si="21"/>
        <v>35699314.559999995</v>
      </c>
      <c r="G85" s="5">
        <f t="shared" ca="1" si="21"/>
        <v>44624143.199999996</v>
      </c>
      <c r="H85" s="5">
        <f t="shared" ca="1" si="21"/>
        <v>53548971.839999996</v>
      </c>
      <c r="I85" s="5">
        <f t="shared" ca="1" si="21"/>
        <v>62473800.479999989</v>
      </c>
      <c r="J85" s="5">
        <f t="shared" ca="1" si="21"/>
        <v>71398629.11999999</v>
      </c>
      <c r="K85" s="5">
        <f t="shared" ca="1" si="21"/>
        <v>80323457.75999999</v>
      </c>
      <c r="L85" s="5">
        <f t="shared" ca="1" si="9"/>
        <v>89248286.399999991</v>
      </c>
    </row>
    <row r="86" spans="2:12" ht="15.75" customHeight="1">
      <c r="B86" s="3" t="s">
        <v>112</v>
      </c>
      <c r="C86" s="5">
        <f t="shared" ref="C86:K86" ca="1" si="22">(C$72/100)*$L86</f>
        <v>20056255.537500001</v>
      </c>
      <c r="D86" s="5">
        <f t="shared" ca="1" si="22"/>
        <v>40112511.075000003</v>
      </c>
      <c r="E86" s="5">
        <f t="shared" ca="1" si="22"/>
        <v>60168766.612499997</v>
      </c>
      <c r="F86" s="5">
        <f t="shared" ca="1" si="22"/>
        <v>80225022.150000006</v>
      </c>
      <c r="G86" s="5">
        <f t="shared" ca="1" si="22"/>
        <v>100281277.6875</v>
      </c>
      <c r="H86" s="5">
        <f t="shared" ca="1" si="22"/>
        <v>120337533.22499999</v>
      </c>
      <c r="I86" s="5">
        <f t="shared" ca="1" si="22"/>
        <v>140393788.76249999</v>
      </c>
      <c r="J86" s="5">
        <f t="shared" ca="1" si="22"/>
        <v>160450044.30000001</v>
      </c>
      <c r="K86" s="5">
        <f t="shared" ca="1" si="22"/>
        <v>180506299.83750001</v>
      </c>
      <c r="L86" s="5">
        <f t="shared" ca="1" si="9"/>
        <v>200562555.375</v>
      </c>
    </row>
    <row r="87" spans="2:12" ht="15.75" customHeight="1"/>
    <row r="88" spans="2:12" ht="15.75" customHeight="1"/>
    <row r="89" spans="2:12" ht="15.75" customHeight="1"/>
    <row r="90" spans="2:12" ht="15.75" customHeight="1"/>
    <row r="91" spans="2:12" ht="15.75" customHeight="1">
      <c r="B91" s="183" t="s">
        <v>525</v>
      </c>
      <c r="C91" s="179"/>
      <c r="D91" s="179"/>
      <c r="E91" s="179"/>
      <c r="F91" s="179"/>
      <c r="G91" s="179"/>
      <c r="H91" s="179"/>
      <c r="I91" s="179"/>
      <c r="J91" s="179"/>
      <c r="K91" s="180"/>
    </row>
    <row r="92" spans="2:12" ht="15.75" customHeight="1">
      <c r="B92" s="54" t="s">
        <v>526</v>
      </c>
      <c r="C92" s="49"/>
      <c r="D92" s="54" t="s">
        <v>527</v>
      </c>
      <c r="E92" s="54" t="s">
        <v>528</v>
      </c>
      <c r="F92" s="49"/>
      <c r="G92" s="49"/>
      <c r="H92" s="49"/>
      <c r="I92" s="49"/>
      <c r="J92" s="49"/>
      <c r="K92" s="49"/>
    </row>
    <row r="93" spans="2:12" ht="15.75" customHeight="1">
      <c r="B93" s="55" t="s">
        <v>529</v>
      </c>
      <c r="C93" s="34" t="s">
        <v>530</v>
      </c>
      <c r="D93" s="34" t="s">
        <v>531</v>
      </c>
      <c r="E93" s="34" t="s">
        <v>532</v>
      </c>
      <c r="F93" s="184" t="s">
        <v>533</v>
      </c>
      <c r="G93" s="172"/>
      <c r="H93" s="172"/>
      <c r="I93" s="185" t="s">
        <v>534</v>
      </c>
      <c r="J93" s="172"/>
      <c r="K93" s="55" t="s">
        <v>535</v>
      </c>
    </row>
    <row r="94" spans="2:12" ht="15.75" customHeight="1">
      <c r="B94" s="54" t="s">
        <v>536</v>
      </c>
      <c r="C94" s="56">
        <f ca="1">('Supply Chain'!D48)/1000000000</f>
        <v>20.504789960199002</v>
      </c>
      <c r="D94" s="57">
        <f>D95*(1+(0.5-1)/30)</f>
        <v>9.8333333333333321</v>
      </c>
      <c r="E94" s="57">
        <f>IF(UserBuildings!C25="Yes",UserBuildings!C24,0)/1000000000</f>
        <v>0</v>
      </c>
      <c r="F94" s="177">
        <f ca="1">12*(C94-C95)/2</f>
        <v>4.9211495904477545</v>
      </c>
      <c r="G94" s="172"/>
      <c r="H94" s="172"/>
      <c r="I94" s="186">
        <f ca="1">IF(UserBuildings!C25="Yes",(F94+E94)/0.5,(F94+D94)/0.5)</f>
        <v>29.508965847562173</v>
      </c>
      <c r="J94" s="180"/>
      <c r="K94" s="58">
        <v>0.98</v>
      </c>
    </row>
    <row r="95" spans="2:12" ht="15.75" customHeight="1">
      <c r="B95" s="54">
        <v>1</v>
      </c>
      <c r="C95" s="59">
        <f ca="1">C94*(1-(0.04*B95))</f>
        <v>19.684598361791043</v>
      </c>
      <c r="D95" s="60">
        <v>10</v>
      </c>
      <c r="E95" s="57">
        <f>IF(UserBuildings!C25="Yes",UserBuildings!C24,0)/1000000000</f>
        <v>0</v>
      </c>
      <c r="F95" s="178">
        <f t="shared" ref="F95:F114" ca="1" si="23">12*(C$94-C95)*B95</f>
        <v>9.8422991808955089</v>
      </c>
      <c r="G95" s="179"/>
      <c r="H95" s="180"/>
      <c r="I95" s="181">
        <f ca="1">IF(UserBuildings!C25="Yes",(F95+E95)/B95,(F95+D95)/B95)</f>
        <v>19.842299180895509</v>
      </c>
      <c r="J95" s="180"/>
      <c r="K95" s="58">
        <v>0.96</v>
      </c>
    </row>
    <row r="96" spans="2:12" ht="15.75" customHeight="1">
      <c r="B96" s="54">
        <v>2</v>
      </c>
      <c r="C96" s="61">
        <f ca="1">C94*(1-(0.04*B96))</f>
        <v>18.864406763383084</v>
      </c>
      <c r="D96" s="57">
        <f>D95*(1+(B96-1)/30)</f>
        <v>10.333333333333334</v>
      </c>
      <c r="E96" s="57">
        <f>IF(UserBuildings!C25="Yes",UserBuildings!C24,0)/1000000000</f>
        <v>0</v>
      </c>
      <c r="F96" s="178">
        <f ca="1">12*(C$94-C96)*B96</f>
        <v>39.369196723582036</v>
      </c>
      <c r="G96" s="179"/>
      <c r="H96" s="180"/>
      <c r="I96" s="181">
        <f ca="1">IF(UserBuildings!C26="Yes",(F96+E96)/B96,(F96+D96)/B96)</f>
        <v>24.851265028457686</v>
      </c>
      <c r="J96" s="180"/>
      <c r="K96" s="58">
        <v>0.92</v>
      </c>
    </row>
    <row r="97" spans="2:11" ht="15.75" customHeight="1">
      <c r="B97" s="54">
        <v>3</v>
      </c>
      <c r="C97" s="62">
        <f ca="1">C94*(1-(0.04*B97))</f>
        <v>18.044215164975121</v>
      </c>
      <c r="D97" s="57">
        <f>D95*(1+(B97-1)/30)</f>
        <v>10.666666666666666</v>
      </c>
      <c r="E97" s="57">
        <f>IF(UserBuildings!C25="Yes",UserBuildings!C24,0)/1000000000</f>
        <v>0</v>
      </c>
      <c r="F97" s="178">
        <f t="shared" ca="1" si="23"/>
        <v>88.580692628059708</v>
      </c>
      <c r="G97" s="179"/>
      <c r="H97" s="180"/>
      <c r="I97" s="181">
        <f ca="1">IF(UserBuildings!C27="Yes",(F97+E97)/B97,(F97+D97)/B97)</f>
        <v>33.082453098242127</v>
      </c>
      <c r="J97" s="180"/>
      <c r="K97" s="58">
        <v>0.88</v>
      </c>
    </row>
    <row r="98" spans="2:11" ht="15.75" customHeight="1">
      <c r="B98" s="54">
        <v>4</v>
      </c>
      <c r="C98" s="63">
        <f ca="1">C94*(1-(0.04*B98))</f>
        <v>17.224023566567162</v>
      </c>
      <c r="D98" s="57">
        <f>D95*(1+(B98-1)/30)</f>
        <v>11</v>
      </c>
      <c r="E98" s="57">
        <f>IF(UserBuildings!C25="Yes",UserBuildings!C24,0)/1000000000</f>
        <v>0</v>
      </c>
      <c r="F98" s="178">
        <f t="shared" ca="1" si="23"/>
        <v>157.47678689432831</v>
      </c>
      <c r="G98" s="179"/>
      <c r="H98" s="180"/>
      <c r="I98" s="181">
        <f ca="1">IF(UserBuildings!C28="Yes",(F98+E98)/B98,(F98+D98)/B98)</f>
        <v>42.119196723582078</v>
      </c>
      <c r="J98" s="180"/>
      <c r="K98" s="58">
        <v>0.84</v>
      </c>
    </row>
    <row r="99" spans="2:11" ht="15.75" customHeight="1">
      <c r="B99" s="54">
        <v>5</v>
      </c>
      <c r="C99" s="64">
        <f ca="1">C94*(1-(0.04*B99))</f>
        <v>16.403831968159203</v>
      </c>
      <c r="D99" s="57">
        <f>D95*(1+(B99-1)/30)</f>
        <v>11.333333333333332</v>
      </c>
      <c r="E99" s="57">
        <f>IF(UserBuildings!C25="Yes",UserBuildings!C24,0)/1000000000</f>
        <v>0</v>
      </c>
      <c r="F99" s="178">
        <f t="shared" ca="1" si="23"/>
        <v>246.05747952238795</v>
      </c>
      <c r="G99" s="179"/>
      <c r="H99" s="180"/>
      <c r="I99" s="181">
        <f ca="1">IF(UserBuildings!C29="Yes",(F99+E99)/B99,(F99+D99)/B99)</f>
        <v>51.478162571144253</v>
      </c>
      <c r="J99" s="180"/>
      <c r="K99" s="58">
        <v>0.8</v>
      </c>
    </row>
    <row r="100" spans="2:11" ht="15.75" customHeight="1">
      <c r="B100" s="54">
        <v>6</v>
      </c>
      <c r="C100" s="65">
        <f ca="1">C94*(1-(0.04*B100))</f>
        <v>15.583640369751242</v>
      </c>
      <c r="D100" s="57">
        <f>D95*(1+(B100-1)/30)</f>
        <v>11.666666666666668</v>
      </c>
      <c r="E100" s="57">
        <f>IF(UserBuildings!C25="Yes",UserBuildings!C24,0)/1000000000</f>
        <v>0</v>
      </c>
      <c r="F100" s="178">
        <f t="shared" ca="1" si="23"/>
        <v>354.32277051223872</v>
      </c>
      <c r="G100" s="179"/>
      <c r="H100" s="180"/>
      <c r="I100" s="181">
        <f ca="1">IF(UserBuildings!C30="Yes",(F100+E100)/B100,(F100+D100)/B100)</f>
        <v>60.998239529817567</v>
      </c>
      <c r="J100" s="180"/>
      <c r="K100" s="58">
        <v>0.76</v>
      </c>
    </row>
    <row r="101" spans="2:11" ht="15.75" customHeight="1">
      <c r="B101" s="54">
        <v>7</v>
      </c>
      <c r="C101" s="66">
        <f ca="1">C94*(1-(0.04*B101))</f>
        <v>14.763448771343281</v>
      </c>
      <c r="D101" s="57">
        <f>D95*(1+(B101-1)/30)</f>
        <v>12</v>
      </c>
      <c r="E101" s="57">
        <f>IF(UserBuildings!C25="Yes",UserBuildings!C24,0)/1000000000</f>
        <v>0</v>
      </c>
      <c r="F101" s="178">
        <f t="shared" ca="1" si="23"/>
        <v>482.27265986388056</v>
      </c>
      <c r="G101" s="179"/>
      <c r="H101" s="180"/>
      <c r="I101" s="181">
        <f ca="1">IF(UserBuildings!C31="Yes",(F101+E101)/B101,(F101+D101)/B101)</f>
        <v>70.61037998055437</v>
      </c>
      <c r="J101" s="180"/>
      <c r="K101" s="58">
        <v>0.72</v>
      </c>
    </row>
    <row r="102" spans="2:11" ht="15.75" customHeight="1">
      <c r="B102" s="54">
        <v>8</v>
      </c>
      <c r="C102" s="67">
        <f ca="1">C94*(1-(0.04*B102))</f>
        <v>13.94325717293532</v>
      </c>
      <c r="D102" s="57">
        <f>D95*(1+(B102-1)/30)</f>
        <v>12.333333333333334</v>
      </c>
      <c r="E102" s="57">
        <f>IF(UserBuildings!C25="Yes",UserBuildings!C24,0)/1000000000</f>
        <v>0</v>
      </c>
      <c r="F102" s="178">
        <f t="shared" ca="1" si="23"/>
        <v>629.90714757731348</v>
      </c>
      <c r="G102" s="179"/>
      <c r="H102" s="180"/>
      <c r="I102" s="181">
        <f ca="1">IF(UserBuildings!C32="Yes",(F102+E102)/B102,(F102+D102)/B102)</f>
        <v>80.280060113830856</v>
      </c>
      <c r="J102" s="180"/>
      <c r="K102" s="58">
        <v>0.68</v>
      </c>
    </row>
    <row r="103" spans="2:11" ht="15.75" customHeight="1">
      <c r="B103" s="54">
        <v>9</v>
      </c>
      <c r="C103" s="68">
        <f ca="1">C94*(1-(0.04*B103))</f>
        <v>13.123065574527361</v>
      </c>
      <c r="D103" s="57">
        <f>D95*(1+(B103-1)/30)</f>
        <v>12.666666666666666</v>
      </c>
      <c r="E103" s="57">
        <f>IF(UserBuildings!C25="Yes",UserBuildings!C24,0)/1000000000</f>
        <v>0</v>
      </c>
      <c r="F103" s="178">
        <f t="shared" ca="1" si="23"/>
        <v>797.2262336525373</v>
      </c>
      <c r="G103" s="179"/>
      <c r="H103" s="180"/>
      <c r="I103" s="181">
        <f ca="1">IF(UserBuildings!C33="Yes",(F103+E103)/B103,(F103+D103)/B103)</f>
        <v>89.988100035467099</v>
      </c>
      <c r="J103" s="180"/>
      <c r="K103" s="58">
        <v>0.64</v>
      </c>
    </row>
    <row r="104" spans="2:11" ht="15.75" customHeight="1">
      <c r="B104" s="54">
        <v>10</v>
      </c>
      <c r="C104" s="69">
        <f ca="1">C94*(1-(0.04*B104))</f>
        <v>12.3028739761194</v>
      </c>
      <c r="D104" s="57">
        <f>D95*(1+(B104-1)/30)</f>
        <v>13</v>
      </c>
      <c r="E104" s="57">
        <f>IF(UserBuildings!C25="Yes",UserBuildings!C24,0)/1000000000</f>
        <v>0</v>
      </c>
      <c r="F104" s="178">
        <f t="shared" ca="1" si="23"/>
        <v>984.22991808955214</v>
      </c>
      <c r="G104" s="179"/>
      <c r="H104" s="180"/>
      <c r="I104" s="181">
        <f ca="1">IF(UserBuildings!C34="Yes",(F104+E104)/B104,(F104+D104)/B104)</f>
        <v>99.722991808955214</v>
      </c>
      <c r="J104" s="180"/>
      <c r="K104" s="58">
        <v>0.6</v>
      </c>
    </row>
    <row r="105" spans="2:11" ht="15.75" customHeight="1">
      <c r="B105" s="54">
        <v>11</v>
      </c>
      <c r="C105" s="70">
        <f ca="1">C94*(1-(0.04*B105))</f>
        <v>11.482682377711441</v>
      </c>
      <c r="D105" s="57">
        <f>D95*(1+(B105-1)/30)</f>
        <v>13.333333333333332</v>
      </c>
      <c r="E105" s="57">
        <f>IF(UserBuildings!C25="Yes",UserBuildings!C24,0)/1000000000</f>
        <v>0</v>
      </c>
      <c r="F105" s="178">
        <f t="shared" ca="1" si="23"/>
        <v>1190.9182008883579</v>
      </c>
      <c r="G105" s="179"/>
      <c r="H105" s="180"/>
      <c r="I105" s="181">
        <f ca="1">IF(UserBuildings!C35="Yes",(F105+E105)/B105,(F105+D105)/B105)</f>
        <v>109.47741220197192</v>
      </c>
      <c r="J105" s="180"/>
      <c r="K105" s="58">
        <v>0.56000000000000005</v>
      </c>
    </row>
    <row r="106" spans="2:11" ht="15.75" customHeight="1">
      <c r="B106" s="54">
        <v>12</v>
      </c>
      <c r="C106" s="71">
        <f ca="1">C94*(1-(0.04*B106))</f>
        <v>10.66249077930348</v>
      </c>
      <c r="D106" s="57">
        <f>D95*(1+(B106-1)/30)</f>
        <v>13.666666666666668</v>
      </c>
      <c r="E106" s="57">
        <f>IF(UserBuildings!C25="Yes",UserBuildings!C24,0)/1000000000</f>
        <v>0</v>
      </c>
      <c r="F106" s="178">
        <f t="shared" ca="1" si="23"/>
        <v>1417.2910820489551</v>
      </c>
      <c r="G106" s="179"/>
      <c r="H106" s="180"/>
      <c r="I106" s="181">
        <f ca="1">IF(UserBuildings!C36="Yes",(F106+E106)/B106,(F106+D106)/B106)</f>
        <v>119.24647905963515</v>
      </c>
      <c r="J106" s="180"/>
      <c r="K106" s="58">
        <v>0.52</v>
      </c>
    </row>
    <row r="107" spans="2:11" ht="15.75" customHeight="1">
      <c r="B107" s="54">
        <v>13</v>
      </c>
      <c r="C107" s="72">
        <f ca="1">C94*(1-(0.04*B107))</f>
        <v>9.8422991808955214</v>
      </c>
      <c r="D107" s="57">
        <f>D95*(1+(B107-1)/30)</f>
        <v>14</v>
      </c>
      <c r="E107" s="57">
        <f>IF(UserBuildings!C25="Yes",UserBuildings!C24,0)/1000000000</f>
        <v>0</v>
      </c>
      <c r="F107" s="178">
        <f t="shared" ca="1" si="23"/>
        <v>1663.3485615713428</v>
      </c>
      <c r="G107" s="179"/>
      <c r="H107" s="180"/>
      <c r="I107" s="181">
        <f ca="1">IF(UserBuildings!C37="Yes",(F107+E107)/B107,(F107+D107)/B107)</f>
        <v>129.02681242856482</v>
      </c>
      <c r="J107" s="180"/>
      <c r="K107" s="58">
        <v>0.48</v>
      </c>
    </row>
    <row r="108" spans="2:11" ht="15.75" customHeight="1">
      <c r="B108" s="54">
        <v>14</v>
      </c>
      <c r="C108" s="73">
        <f ca="1">C94*(1-(0.04*B108))</f>
        <v>9.0221075824875605</v>
      </c>
      <c r="D108" s="57">
        <f>D95*(1+(B108-1)/30)</f>
        <v>14.333333333333334</v>
      </c>
      <c r="E108" s="57">
        <f>IF(UserBuildings!C25="Yes",UserBuildings!C24,0)/1000000000</f>
        <v>0</v>
      </c>
      <c r="F108" s="178">
        <f t="shared" ca="1" si="23"/>
        <v>1929.0906394555223</v>
      </c>
      <c r="G108" s="179"/>
      <c r="H108" s="180"/>
      <c r="I108" s="181">
        <f ca="1">IF(UserBuildings!C38="Yes",(F108+E108)/B108,(F108+D108)/B108)</f>
        <v>138.81599805634681</v>
      </c>
      <c r="J108" s="180"/>
      <c r="K108" s="58">
        <v>0.44</v>
      </c>
    </row>
    <row r="109" spans="2:11" ht="15.75" customHeight="1">
      <c r="B109" s="54">
        <v>15</v>
      </c>
      <c r="C109" s="74">
        <f ca="1">C94*(1-(0.04*B109))</f>
        <v>8.2019159840796014</v>
      </c>
      <c r="D109" s="57">
        <f>D95*(1+(B109-1)/30)</f>
        <v>14.666666666666668</v>
      </c>
      <c r="E109" s="57">
        <f>IF(UserBuildings!C25="Yes",UserBuildings!C24,0)/1000000000</f>
        <v>0</v>
      </c>
      <c r="F109" s="178">
        <f t="shared" ca="1" si="23"/>
        <v>2214.517315701492</v>
      </c>
      <c r="G109" s="179"/>
      <c r="H109" s="180"/>
      <c r="I109" s="181">
        <f ca="1">IF(UserBuildings!C39="Yes",(F109+E109)/B109,(F109+D109)/B109)</f>
        <v>148.61226549121056</v>
      </c>
      <c r="J109" s="180"/>
      <c r="K109" s="58">
        <v>0.4</v>
      </c>
    </row>
    <row r="110" spans="2:11" ht="15.75" customHeight="1">
      <c r="B110" s="54">
        <v>16</v>
      </c>
      <c r="C110" s="75">
        <f ca="1">C94*(1-(0.04*B110))</f>
        <v>7.3817243856716406</v>
      </c>
      <c r="D110" s="57">
        <f>D95*(1+(B110-1)/30)</f>
        <v>15</v>
      </c>
      <c r="E110" s="57">
        <f>IF(UserBuildings!C25="Yes",UserBuildings!C24,0)/1000000000</f>
        <v>0</v>
      </c>
      <c r="F110" s="178">
        <f t="shared" ca="1" si="23"/>
        <v>2519.6285903092535</v>
      </c>
      <c r="G110" s="179"/>
      <c r="H110" s="180"/>
      <c r="I110" s="181">
        <f ca="1">IF(UserBuildings!C40="Yes",(F110+E110)/B110,(F110+D110)/B110)</f>
        <v>158.41428689432834</v>
      </c>
      <c r="J110" s="180"/>
      <c r="K110" s="58">
        <v>0.36</v>
      </c>
    </row>
    <row r="111" spans="2:11" ht="15.75" customHeight="1">
      <c r="B111" s="54">
        <v>17</v>
      </c>
      <c r="C111" s="76">
        <f ca="1">C94*(1-(0.04*B111))</f>
        <v>6.5615327872636797</v>
      </c>
      <c r="D111" s="57">
        <f>D95*(1+(B111-1)/30)</f>
        <v>15.333333333333332</v>
      </c>
      <c r="E111" s="57">
        <f>IF(UserBuildings!C25="Yes",UserBuildings!C24,0)/1000000000</f>
        <v>0</v>
      </c>
      <c r="F111" s="178">
        <f t="shared" ca="1" si="23"/>
        <v>2844.4244632788059</v>
      </c>
      <c r="G111" s="179"/>
      <c r="H111" s="180"/>
      <c r="I111" s="181">
        <f ca="1">IF(UserBuildings!C41="Yes",(F111+E111)/B111,(F111+D111)/B111)</f>
        <v>168.22104685953761</v>
      </c>
      <c r="J111" s="180"/>
      <c r="K111" s="58">
        <v>0.32</v>
      </c>
    </row>
    <row r="112" spans="2:11" ht="15.75" customHeight="1">
      <c r="B112" s="54">
        <v>18</v>
      </c>
      <c r="C112" s="77">
        <f ca="1">C94*(1-(0.04*B112))</f>
        <v>5.7413411888557206</v>
      </c>
      <c r="D112" s="57">
        <f>D95*(1+(B112-1)/30)</f>
        <v>15.666666666666666</v>
      </c>
      <c r="E112" s="57">
        <f>IF(UserBuildings!C25="Yes",UserBuildings!C24,0)/1000000000</f>
        <v>0</v>
      </c>
      <c r="F112" s="178">
        <f t="shared" ca="1" si="23"/>
        <v>3188.9049346101492</v>
      </c>
      <c r="G112" s="179"/>
      <c r="H112" s="180"/>
      <c r="I112" s="181">
        <f ca="1">IF(UserBuildings!C42="Yes",(F112+E112)/B112,(F112+D112)/B112)</f>
        <v>178.03175562648977</v>
      </c>
      <c r="J112" s="180"/>
      <c r="K112" s="58">
        <v>0.28000000000000003</v>
      </c>
    </row>
    <row r="113" spans="2:11" ht="15.75" customHeight="1">
      <c r="B113" s="54">
        <v>19</v>
      </c>
      <c r="C113" s="78">
        <f ca="1">C94*(1-(0.04*B113))</f>
        <v>4.9211495904477607</v>
      </c>
      <c r="D113" s="57">
        <f>D95*(1+(B113-1)/30)</f>
        <v>16</v>
      </c>
      <c r="E113" s="57">
        <f>IF(UserBuildings!C25="Yes",UserBuildings!C24,0)/1000000000</f>
        <v>0</v>
      </c>
      <c r="F113" s="178">
        <f t="shared" ca="1" si="23"/>
        <v>3553.070004303283</v>
      </c>
      <c r="G113" s="179"/>
      <c r="H113" s="180"/>
      <c r="I113" s="181">
        <f ca="1">IF(UserBuildings!C43="Yes",(F113+E113)/B113,(F113+D113)/B113)</f>
        <v>187.84578970017279</v>
      </c>
      <c r="J113" s="180"/>
      <c r="K113" s="58">
        <v>0.24</v>
      </c>
    </row>
    <row r="114" spans="2:11" ht="15.75" customHeight="1">
      <c r="B114" s="54">
        <v>20</v>
      </c>
      <c r="C114" s="57">
        <f ca="1">C94*(1-(0.04*B114))</f>
        <v>4.1009579920397998</v>
      </c>
      <c r="D114" s="57">
        <f>D95*(1+(B114-1)/30)</f>
        <v>16.333333333333332</v>
      </c>
      <c r="E114" s="57">
        <f>IF(UserBuildings!C25="Yes",UserBuildings!C24,0)/1000000000</f>
        <v>0</v>
      </c>
      <c r="F114" s="178">
        <f t="shared" ca="1" si="23"/>
        <v>3936.9196723582086</v>
      </c>
      <c r="G114" s="179"/>
      <c r="H114" s="180"/>
      <c r="I114" s="181">
        <f ca="1">IF(UserBuildings!C44="Yes",(F114+E114)/B114,(F114+D114)/B114)</f>
        <v>197.6626502845771</v>
      </c>
      <c r="J114" s="180"/>
      <c r="K114" s="58">
        <v>0.2</v>
      </c>
    </row>
    <row r="115" spans="2:11" ht="15.75" customHeight="1">
      <c r="B115" s="79">
        <v>21</v>
      </c>
      <c r="C115" s="79" t="s">
        <v>537</v>
      </c>
      <c r="D115" s="182" t="s">
        <v>538</v>
      </c>
      <c r="E115" s="180"/>
      <c r="F115" s="182" t="s">
        <v>538</v>
      </c>
      <c r="G115" s="179"/>
      <c r="H115" s="180"/>
      <c r="I115" s="182" t="s">
        <v>538</v>
      </c>
      <c r="J115" s="180"/>
      <c r="K115" s="79" t="s">
        <v>538</v>
      </c>
    </row>
    <row r="116" spans="2:11" ht="15.75" customHeight="1">
      <c r="B116" s="49"/>
      <c r="C116" s="49"/>
      <c r="D116" s="49"/>
      <c r="E116" s="49"/>
      <c r="F116" s="49"/>
      <c r="G116" s="49"/>
      <c r="H116" s="49"/>
      <c r="I116" s="49"/>
      <c r="J116" s="49"/>
      <c r="K116" s="49"/>
    </row>
    <row r="117" spans="2:11" ht="15.75" customHeight="1">
      <c r="B117" s="177" t="s">
        <v>539</v>
      </c>
      <c r="C117" s="172"/>
      <c r="D117" s="172"/>
      <c r="E117" s="172"/>
      <c r="F117" s="172"/>
      <c r="G117" s="172"/>
      <c r="H117" s="172"/>
      <c r="I117" s="172"/>
      <c r="J117" s="172"/>
      <c r="K117" s="172"/>
    </row>
    <row r="118" spans="2:11" ht="15.75" customHeight="1">
      <c r="B118" s="177" t="s">
        <v>540</v>
      </c>
      <c r="C118" s="172"/>
      <c r="D118" s="172"/>
      <c r="E118" s="172"/>
      <c r="F118" s="172"/>
      <c r="G118" s="172"/>
      <c r="H118" s="172"/>
      <c r="I118" s="172"/>
      <c r="J118" s="172"/>
      <c r="K118" s="172"/>
    </row>
    <row r="119" spans="2:11" ht="15.75" customHeight="1">
      <c r="B119" s="177" t="s">
        <v>541</v>
      </c>
      <c r="C119" s="172"/>
      <c r="D119" s="172"/>
      <c r="E119" s="172"/>
      <c r="F119" s="172"/>
      <c r="G119" s="172"/>
      <c r="H119" s="172"/>
      <c r="I119" s="172"/>
      <c r="J119" s="172"/>
      <c r="K119" s="172"/>
    </row>
    <row r="120" spans="2:11" ht="15.75" customHeight="1">
      <c r="B120" s="49"/>
      <c r="C120" s="49"/>
      <c r="D120" s="49"/>
      <c r="E120" s="49"/>
      <c r="F120" s="49"/>
      <c r="G120" s="49"/>
      <c r="H120" s="49"/>
      <c r="I120" s="49"/>
      <c r="J120" s="49"/>
      <c r="K120" s="49"/>
    </row>
    <row r="121" spans="2:11" ht="15.75" customHeight="1">
      <c r="B121" s="177" t="s">
        <v>542</v>
      </c>
      <c r="C121" s="172"/>
      <c r="D121" s="172"/>
      <c r="E121" s="172"/>
      <c r="F121" s="172"/>
      <c r="G121" s="172"/>
      <c r="H121" s="172"/>
      <c r="I121" s="172"/>
      <c r="J121" s="172"/>
      <c r="K121" s="172"/>
    </row>
    <row r="122" spans="2:11" ht="15.75" customHeight="1">
      <c r="B122" s="177" t="s">
        <v>543</v>
      </c>
      <c r="C122" s="172"/>
      <c r="D122" s="172"/>
      <c r="E122" s="172"/>
      <c r="F122" s="172"/>
      <c r="G122" s="172"/>
      <c r="H122" s="172"/>
      <c r="I122" s="172"/>
      <c r="J122" s="172"/>
      <c r="K122" s="172"/>
    </row>
    <row r="123" spans="2:11" ht="15.75" customHeight="1">
      <c r="B123" s="49"/>
      <c r="C123" s="49"/>
      <c r="D123" s="49"/>
      <c r="E123" s="49"/>
      <c r="F123" s="49"/>
      <c r="G123" s="49"/>
      <c r="H123" s="49"/>
      <c r="I123" s="49"/>
      <c r="J123" s="49"/>
      <c r="K123" s="49"/>
    </row>
    <row r="124" spans="2:11" ht="15.75" customHeight="1">
      <c r="B124" s="177" t="s">
        <v>544</v>
      </c>
      <c r="C124" s="172"/>
      <c r="D124" s="172"/>
      <c r="E124" s="172"/>
      <c r="F124" s="172"/>
      <c r="G124" s="172"/>
      <c r="H124" s="172"/>
      <c r="I124" s="172"/>
      <c r="J124" s="172"/>
      <c r="K124" s="172"/>
    </row>
    <row r="125" spans="2:11" ht="15.75" customHeight="1"/>
    <row r="126" spans="2:11" ht="15.75" customHeight="1"/>
    <row r="127" spans="2:11" ht="15.75" customHeight="1"/>
    <row r="128" spans="2:11"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4">
    <mergeCell ref="B91:K91"/>
    <mergeCell ref="F93:H93"/>
    <mergeCell ref="I93:J93"/>
    <mergeCell ref="F94:H94"/>
    <mergeCell ref="I94:J94"/>
    <mergeCell ref="F95:H95"/>
    <mergeCell ref="I95:J95"/>
    <mergeCell ref="F96:H96"/>
    <mergeCell ref="I96:J96"/>
    <mergeCell ref="F97:H97"/>
    <mergeCell ref="I97:J97"/>
    <mergeCell ref="F98:H98"/>
    <mergeCell ref="I98:J98"/>
    <mergeCell ref="I99:J99"/>
    <mergeCell ref="F99:H99"/>
    <mergeCell ref="F100:H100"/>
    <mergeCell ref="I100:J100"/>
    <mergeCell ref="F101:H101"/>
    <mergeCell ref="I101:J101"/>
    <mergeCell ref="F102:H102"/>
    <mergeCell ref="I102:J102"/>
    <mergeCell ref="F103:H103"/>
    <mergeCell ref="I103:J103"/>
    <mergeCell ref="F104:H104"/>
    <mergeCell ref="I104:J104"/>
    <mergeCell ref="F105:H105"/>
    <mergeCell ref="I105:J105"/>
    <mergeCell ref="I106:J106"/>
    <mergeCell ref="F106:H106"/>
    <mergeCell ref="F107:H107"/>
    <mergeCell ref="I107:J107"/>
    <mergeCell ref="F108:H108"/>
    <mergeCell ref="I108:J108"/>
    <mergeCell ref="F109:H109"/>
    <mergeCell ref="I109:J109"/>
    <mergeCell ref="F110:H110"/>
    <mergeCell ref="I110:J110"/>
    <mergeCell ref="F111:H111"/>
    <mergeCell ref="I111:J111"/>
    <mergeCell ref="F112:H112"/>
    <mergeCell ref="I112:J112"/>
    <mergeCell ref="B124:K124"/>
    <mergeCell ref="F113:H113"/>
    <mergeCell ref="F114:H114"/>
    <mergeCell ref="I114:J114"/>
    <mergeCell ref="D115:E115"/>
    <mergeCell ref="F115:H115"/>
    <mergeCell ref="I115:J115"/>
    <mergeCell ref="B117:K117"/>
    <mergeCell ref="I113:J113"/>
    <mergeCell ref="B118:K118"/>
    <mergeCell ref="B119:K119"/>
    <mergeCell ref="B121:K121"/>
    <mergeCell ref="B122:K122"/>
  </mergeCells>
  <conditionalFormatting sqref="C5:C18">
    <cfRule type="colorScale" priority="1">
      <colorScale>
        <cfvo type="min"/>
        <cfvo type="percentile" val="75"/>
        <cfvo type="max"/>
        <color rgb="FFE67C73"/>
        <color rgb="FFFFD666"/>
        <color rgb="FF57BB8A"/>
      </colorScale>
    </cfRule>
  </conditionalFormatting>
  <conditionalFormatting sqref="C73:L86">
    <cfRule type="cellIs" dxfId="13" priority="4" operator="lessThanOrEqual">
      <formula>5000000</formula>
    </cfRule>
    <cfRule type="colorScale" priority="5">
      <colorScale>
        <cfvo type="formula" val="5000000"/>
        <cfvo type="percentile" val="50"/>
        <cfvo type="max"/>
        <color rgb="FFF4C7C3"/>
        <color rgb="FFFFD666"/>
        <color rgb="FF57BB8A"/>
      </colorScale>
    </cfRule>
  </conditionalFormatting>
  <conditionalFormatting sqref="D39:F52">
    <cfRule type="colorScale" priority="2">
      <colorScale>
        <cfvo type="min"/>
        <cfvo type="percentile" val="50"/>
        <cfvo type="max"/>
        <color rgb="FF57BB8A"/>
        <color rgb="FFFFD666"/>
        <color rgb="FFE67C73"/>
      </colorScale>
    </cfRule>
  </conditionalFormatting>
  <conditionalFormatting sqref="F22:F35">
    <cfRule type="colorScale" priority="3">
      <colorScale>
        <cfvo type="min"/>
        <cfvo type="percentile" val="60"/>
        <cfvo type="max"/>
        <color rgb="FF57BB8A"/>
        <color rgb="FFFFD666"/>
        <color rgb="FFE67C73"/>
      </colorScale>
    </cfRule>
  </conditionalFormatting>
  <conditionalFormatting sqref="F94:H114">
    <cfRule type="colorScale" priority="7">
      <colorScale>
        <cfvo type="min"/>
        <cfvo type="max"/>
        <color rgb="FFFFFFFF"/>
        <color rgb="FFE67C73"/>
      </colorScale>
    </cfRule>
  </conditionalFormatting>
  <conditionalFormatting sqref="I94:J114">
    <cfRule type="colorScale" priority="6">
      <colorScale>
        <cfvo type="min"/>
        <cfvo type="percentile" val="50"/>
        <cfvo type="max"/>
        <color rgb="FF57BB8A"/>
        <color rgb="FFFFD666"/>
        <color rgb="FFE67C73"/>
      </colorScale>
    </cfRule>
  </conditionalFormatting>
  <pageMargins left="0.7" right="0.7" top="0.78740157499999996" bottom="0.78740157499999996"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L1000"/>
  <sheetViews>
    <sheetView workbookViewId="0"/>
  </sheetViews>
  <sheetFormatPr defaultColWidth="15.109375" defaultRowHeight="15" customHeight="1"/>
  <cols>
    <col min="1" max="1" width="5.21875" customWidth="1"/>
    <col min="2" max="26" width="12.6640625" customWidth="1"/>
  </cols>
  <sheetData>
    <row r="1" spans="1:12" ht="15.75" customHeight="1">
      <c r="A1" s="51"/>
      <c r="B1" s="80"/>
      <c r="C1" s="51"/>
      <c r="D1" s="51"/>
      <c r="E1" s="51"/>
      <c r="F1" s="51"/>
      <c r="G1" s="51"/>
      <c r="H1" s="51"/>
      <c r="I1" s="51"/>
      <c r="J1" s="51"/>
      <c r="K1" s="51"/>
      <c r="L1" s="51"/>
    </row>
    <row r="2" spans="1:12" ht="15.75" customHeight="1">
      <c r="A2" s="51"/>
      <c r="B2" s="80" t="s">
        <v>545</v>
      </c>
      <c r="C2" s="51"/>
      <c r="D2" s="51"/>
      <c r="E2" s="51"/>
      <c r="F2" s="51"/>
      <c r="G2" s="51"/>
      <c r="H2" s="51"/>
      <c r="I2" s="51"/>
      <c r="J2" s="51"/>
      <c r="K2" s="51"/>
      <c r="L2" s="51"/>
    </row>
    <row r="3" spans="1:12" ht="15.75" customHeight="1">
      <c r="A3" s="51"/>
      <c r="B3" s="81" t="s">
        <v>546</v>
      </c>
      <c r="C3" s="51"/>
      <c r="D3" s="51"/>
      <c r="E3" s="51"/>
      <c r="F3" s="51"/>
      <c r="G3" s="51"/>
      <c r="H3" s="51"/>
      <c r="I3" s="51"/>
      <c r="J3" s="51"/>
      <c r="K3" s="51"/>
      <c r="L3" s="51"/>
    </row>
    <row r="4" spans="1:12" ht="15.75" customHeight="1">
      <c r="A4" s="51"/>
      <c r="B4" s="81" t="s">
        <v>547</v>
      </c>
      <c r="C4" s="51"/>
      <c r="D4" s="51"/>
      <c r="E4" s="51"/>
      <c r="F4" s="51"/>
      <c r="G4" s="51"/>
      <c r="H4" s="51"/>
      <c r="I4" s="51"/>
      <c r="J4" s="51"/>
      <c r="K4" s="51"/>
      <c r="L4" s="51"/>
    </row>
    <row r="5" spans="1:12" ht="15.75" customHeight="1">
      <c r="A5" s="51"/>
      <c r="B5" s="51"/>
      <c r="C5" s="51"/>
      <c r="D5" s="51"/>
      <c r="E5" s="51"/>
      <c r="F5" s="51"/>
      <c r="G5" s="51"/>
      <c r="H5" s="51"/>
      <c r="I5" s="51"/>
      <c r="J5" s="51"/>
      <c r="K5" s="51"/>
      <c r="L5" s="51"/>
    </row>
    <row r="6" spans="1:12" ht="15.75" customHeight="1">
      <c r="A6" s="51"/>
      <c r="B6" s="81" t="s">
        <v>548</v>
      </c>
      <c r="C6" s="51"/>
      <c r="D6" s="51"/>
      <c r="E6" s="51"/>
      <c r="F6" s="51"/>
      <c r="G6" s="51"/>
      <c r="H6" s="51"/>
      <c r="I6" s="51"/>
      <c r="J6" s="51"/>
      <c r="K6" s="51"/>
      <c r="L6" s="51"/>
    </row>
    <row r="7" spans="1:12" ht="15.75" customHeight="1">
      <c r="A7" s="51"/>
      <c r="B7" s="51"/>
      <c r="C7" s="51"/>
      <c r="D7" s="51"/>
      <c r="E7" s="51"/>
      <c r="F7" s="51"/>
      <c r="G7" s="51"/>
      <c r="H7" s="51"/>
      <c r="I7" s="51"/>
      <c r="J7" s="51"/>
      <c r="K7" s="51"/>
      <c r="L7" s="51"/>
    </row>
    <row r="8" spans="1:12" ht="15.75" customHeight="1">
      <c r="A8" s="51"/>
      <c r="B8" s="81" t="s">
        <v>549</v>
      </c>
      <c r="C8" s="51"/>
      <c r="D8" s="51"/>
      <c r="E8" s="51"/>
      <c r="F8" s="51"/>
      <c r="G8" s="51"/>
      <c r="H8" s="51"/>
      <c r="I8" s="51"/>
      <c r="J8" s="51"/>
      <c r="K8" s="51"/>
      <c r="L8" s="51"/>
    </row>
    <row r="9" spans="1:12" ht="15.75" customHeight="1">
      <c r="A9" s="51"/>
      <c r="B9" s="51"/>
      <c r="C9" s="81" t="s">
        <v>550</v>
      </c>
      <c r="D9" s="51"/>
      <c r="E9" s="51"/>
      <c r="F9" s="51"/>
      <c r="G9" s="51"/>
      <c r="H9" s="51"/>
      <c r="I9" s="51"/>
      <c r="J9" s="51"/>
      <c r="K9" s="51"/>
      <c r="L9" s="51"/>
    </row>
    <row r="10" spans="1:12" ht="15.75" customHeight="1">
      <c r="A10" s="51"/>
      <c r="B10" s="51"/>
      <c r="C10" s="81" t="s">
        <v>551</v>
      </c>
      <c r="D10" s="51"/>
      <c r="E10" s="51"/>
      <c r="F10" s="51"/>
      <c r="G10" s="51"/>
      <c r="H10" s="51"/>
      <c r="I10" s="51"/>
      <c r="J10" s="51"/>
      <c r="K10" s="51"/>
      <c r="L10" s="51"/>
    </row>
    <row r="11" spans="1:12" ht="15.75" customHeight="1">
      <c r="A11" s="51"/>
      <c r="B11" s="81" t="s">
        <v>552</v>
      </c>
      <c r="C11" s="51"/>
      <c r="D11" s="51"/>
      <c r="E11" s="51"/>
      <c r="F11" s="51"/>
      <c r="G11" s="51"/>
      <c r="H11" s="51"/>
      <c r="I11" s="51"/>
      <c r="J11" s="51"/>
      <c r="K11" s="51"/>
      <c r="L11" s="51"/>
    </row>
    <row r="12" spans="1:12" ht="15.75" customHeight="1">
      <c r="A12" s="51"/>
      <c r="B12" s="51"/>
      <c r="C12" s="51"/>
      <c r="D12" s="51"/>
      <c r="E12" s="51"/>
      <c r="F12" s="51"/>
      <c r="G12" s="51"/>
      <c r="H12" s="51"/>
      <c r="I12" s="51"/>
      <c r="J12" s="51"/>
      <c r="K12" s="51"/>
      <c r="L12" s="51"/>
    </row>
    <row r="13" spans="1:12" ht="15.75" customHeight="1">
      <c r="A13" s="51"/>
      <c r="B13" s="81" t="s">
        <v>553</v>
      </c>
      <c r="C13" s="51"/>
      <c r="D13" s="51"/>
      <c r="E13" s="51"/>
      <c r="F13" s="51"/>
      <c r="G13" s="51"/>
      <c r="H13" s="51"/>
      <c r="I13" s="51"/>
      <c r="J13" s="51"/>
      <c r="K13" s="51"/>
      <c r="L13" s="51"/>
    </row>
    <row r="14" spans="1:12" ht="15.75" customHeight="1">
      <c r="A14" s="51"/>
      <c r="B14" s="51"/>
      <c r="C14" s="51"/>
      <c r="D14" s="51"/>
      <c r="E14" s="51"/>
      <c r="F14" s="51"/>
      <c r="G14" s="51"/>
      <c r="H14" s="51"/>
      <c r="I14" s="51"/>
      <c r="J14" s="51"/>
      <c r="K14" s="51"/>
      <c r="L14" s="51"/>
    </row>
    <row r="15" spans="1:12" ht="15.75" customHeight="1">
      <c r="A15" s="51"/>
      <c r="B15" s="81" t="s">
        <v>554</v>
      </c>
      <c r="C15" s="51"/>
      <c r="D15" s="51"/>
      <c r="E15" s="51"/>
      <c r="F15" s="51"/>
      <c r="G15" s="51"/>
      <c r="H15" s="51"/>
      <c r="I15" s="51"/>
      <c r="J15" s="51"/>
      <c r="K15" s="51"/>
      <c r="L15" s="51"/>
    </row>
    <row r="16" spans="1:12" ht="15.75" customHeight="1">
      <c r="A16" s="51"/>
      <c r="B16" s="51"/>
      <c r="C16" s="51"/>
      <c r="D16" s="51"/>
      <c r="E16" s="51"/>
      <c r="F16" s="51"/>
      <c r="G16" s="51"/>
      <c r="H16" s="51"/>
      <c r="I16" s="51"/>
      <c r="J16" s="51"/>
      <c r="K16" s="51"/>
      <c r="L16" s="51"/>
    </row>
    <row r="17" spans="1:12" ht="15.75" customHeight="1">
      <c r="A17" s="51"/>
      <c r="B17" s="81" t="s">
        <v>555</v>
      </c>
      <c r="C17" s="51"/>
      <c r="D17" s="51"/>
      <c r="E17" s="51"/>
      <c r="F17" s="51"/>
      <c r="G17" s="51"/>
      <c r="H17" s="51"/>
      <c r="I17" s="51"/>
      <c r="J17" s="51"/>
      <c r="K17" s="51"/>
      <c r="L17" s="51"/>
    </row>
    <row r="18" spans="1:12" ht="15.75" customHeight="1">
      <c r="A18" s="51"/>
      <c r="B18" s="51"/>
      <c r="C18" s="51"/>
      <c r="D18" s="51"/>
      <c r="E18" s="51"/>
      <c r="F18" s="51"/>
      <c r="G18" s="51"/>
      <c r="H18" s="51"/>
      <c r="I18" s="51"/>
      <c r="J18" s="51"/>
      <c r="K18" s="51"/>
      <c r="L18" s="51"/>
    </row>
    <row r="19" spans="1:12" ht="15.75" customHeight="1">
      <c r="A19" s="51"/>
      <c r="B19" s="81" t="s">
        <v>556</v>
      </c>
      <c r="C19" s="51"/>
      <c r="D19" s="51"/>
      <c r="E19" s="51"/>
      <c r="F19" s="51"/>
      <c r="G19" s="51"/>
      <c r="H19" s="51"/>
      <c r="I19" s="51"/>
      <c r="J19" s="51"/>
      <c r="K19" s="51"/>
      <c r="L19" s="51"/>
    </row>
    <row r="20" spans="1:12" ht="15.75" customHeight="1">
      <c r="A20" s="51"/>
      <c r="B20" s="81" t="s">
        <v>557</v>
      </c>
      <c r="C20" s="51"/>
      <c r="D20" s="51"/>
      <c r="E20" s="51"/>
      <c r="F20" s="51"/>
      <c r="G20" s="51"/>
      <c r="H20" s="51"/>
      <c r="I20" s="51"/>
      <c r="J20" s="51"/>
      <c r="K20" s="51"/>
      <c r="L20" s="51"/>
    </row>
    <row r="21" spans="1:12" ht="15.75" customHeight="1">
      <c r="A21" s="51"/>
      <c r="B21" s="81" t="s">
        <v>558</v>
      </c>
      <c r="C21" s="51"/>
      <c r="D21" s="51"/>
      <c r="E21" s="51"/>
      <c r="F21" s="51"/>
      <c r="G21" s="51"/>
      <c r="H21" s="51"/>
      <c r="I21" s="51"/>
      <c r="J21" s="51"/>
      <c r="K21" s="51"/>
      <c r="L21" s="51"/>
    </row>
    <row r="22" spans="1:12" ht="15.75" customHeight="1">
      <c r="A22" s="51"/>
      <c r="B22" s="51"/>
      <c r="C22" s="51"/>
      <c r="D22" s="51"/>
      <c r="E22" s="51"/>
      <c r="F22" s="51"/>
      <c r="G22" s="51"/>
      <c r="H22" s="51"/>
      <c r="I22" s="51"/>
      <c r="J22" s="51"/>
      <c r="K22" s="51"/>
      <c r="L22" s="51"/>
    </row>
    <row r="23" spans="1:12" ht="15.75" customHeight="1">
      <c r="A23" s="51"/>
      <c r="B23" s="81" t="s">
        <v>559</v>
      </c>
      <c r="C23" s="51"/>
      <c r="D23" s="51"/>
      <c r="E23" s="51"/>
      <c r="F23" s="51"/>
      <c r="G23" s="51"/>
      <c r="H23" s="51"/>
      <c r="I23" s="51"/>
      <c r="J23" s="51"/>
      <c r="K23" s="51"/>
      <c r="L23" s="51"/>
    </row>
    <row r="24" spans="1:12" ht="15.75" customHeight="1">
      <c r="A24" s="51"/>
      <c r="B24" s="81" t="s">
        <v>560</v>
      </c>
      <c r="C24" s="51"/>
      <c r="D24" s="51"/>
      <c r="E24" s="51"/>
      <c r="F24" s="51"/>
      <c r="G24" s="51"/>
      <c r="H24" s="51"/>
      <c r="I24" s="51"/>
      <c r="J24" s="51"/>
      <c r="K24" s="51"/>
      <c r="L24" s="51"/>
    </row>
    <row r="25" spans="1:12" ht="15.75" customHeight="1">
      <c r="A25" s="51"/>
      <c r="B25" s="51"/>
      <c r="C25" s="51"/>
      <c r="D25" s="51"/>
      <c r="E25" s="51"/>
      <c r="F25" s="51"/>
      <c r="G25" s="51"/>
      <c r="H25" s="51"/>
      <c r="I25" s="51"/>
      <c r="J25" s="51"/>
      <c r="K25" s="51"/>
      <c r="L25" s="51"/>
    </row>
    <row r="26" spans="1:12" ht="15.75" customHeight="1">
      <c r="A26" s="51"/>
      <c r="B26" s="81" t="s">
        <v>561</v>
      </c>
      <c r="C26" s="51"/>
      <c r="D26" s="51"/>
      <c r="E26" s="51"/>
      <c r="F26" s="51"/>
      <c r="G26" s="51"/>
      <c r="H26" s="51"/>
      <c r="I26" s="51"/>
      <c r="J26" s="51"/>
      <c r="K26" s="51"/>
      <c r="L26" s="51"/>
    </row>
    <row r="27" spans="1:12" ht="15.75" customHeight="1">
      <c r="A27" s="51"/>
      <c r="B27" s="81" t="s">
        <v>562</v>
      </c>
      <c r="C27" s="51"/>
      <c r="D27" s="51"/>
      <c r="E27" s="51"/>
      <c r="F27" s="51"/>
      <c r="G27" s="51"/>
      <c r="H27" s="51"/>
      <c r="I27" s="51"/>
      <c r="J27" s="51"/>
      <c r="K27" s="51"/>
      <c r="L27" s="51"/>
    </row>
    <row r="28" spans="1:12" ht="15.75" customHeight="1">
      <c r="A28" s="51"/>
      <c r="B28" s="81" t="s">
        <v>563</v>
      </c>
      <c r="C28" s="51"/>
      <c r="D28" s="51"/>
      <c r="E28" s="51"/>
      <c r="F28" s="51"/>
      <c r="G28" s="51"/>
      <c r="H28" s="51"/>
      <c r="I28" s="51"/>
      <c r="J28" s="51"/>
      <c r="K28" s="51"/>
      <c r="L28" s="51"/>
    </row>
    <row r="29" spans="1:12" ht="15.75" customHeight="1">
      <c r="A29" s="51"/>
      <c r="B29" s="81" t="s">
        <v>564</v>
      </c>
      <c r="C29" s="51"/>
      <c r="D29" s="51"/>
      <c r="E29" s="51"/>
      <c r="F29" s="51"/>
      <c r="G29" s="51"/>
      <c r="H29" s="51"/>
      <c r="I29" s="51"/>
      <c r="J29" s="51"/>
      <c r="K29" s="51"/>
      <c r="L29" s="51"/>
    </row>
    <row r="30" spans="1:12" ht="15.75" customHeight="1">
      <c r="A30" s="51"/>
      <c r="B30" s="81" t="s">
        <v>565</v>
      </c>
      <c r="C30" s="51"/>
      <c r="D30" s="51"/>
      <c r="E30" s="51"/>
      <c r="F30" s="51"/>
      <c r="G30" s="51"/>
      <c r="H30" s="51"/>
      <c r="I30" s="51"/>
      <c r="J30" s="51"/>
      <c r="K30" s="51"/>
      <c r="L30" s="51"/>
    </row>
    <row r="31" spans="1:12" ht="15.75" customHeight="1">
      <c r="A31" s="51"/>
      <c r="B31" s="51"/>
      <c r="C31" s="51"/>
      <c r="D31" s="51"/>
      <c r="E31" s="51"/>
      <c r="F31" s="51"/>
      <c r="G31" s="51"/>
      <c r="H31" s="51"/>
      <c r="I31" s="51"/>
      <c r="J31" s="51"/>
      <c r="K31" s="51"/>
      <c r="L31" s="51"/>
    </row>
    <row r="32" spans="1:12" ht="15.75" customHeight="1">
      <c r="A32" s="51"/>
      <c r="B32" s="81" t="s">
        <v>566</v>
      </c>
      <c r="C32" s="51"/>
      <c r="D32" s="51"/>
      <c r="E32" s="51"/>
      <c r="F32" s="51"/>
      <c r="G32" s="51"/>
      <c r="H32" s="51"/>
      <c r="I32" s="51"/>
      <c r="J32" s="51"/>
      <c r="K32" s="51"/>
      <c r="L32" s="51"/>
    </row>
    <row r="33" spans="1:12" ht="15.75" customHeight="1">
      <c r="A33" s="51"/>
      <c r="B33" s="51"/>
      <c r="C33" s="51"/>
      <c r="D33" s="51"/>
      <c r="E33" s="51"/>
      <c r="F33" s="51"/>
      <c r="G33" s="51"/>
      <c r="H33" s="51"/>
      <c r="I33" s="51"/>
      <c r="J33" s="51"/>
      <c r="K33" s="51"/>
      <c r="L33" s="51"/>
    </row>
    <row r="34" spans="1:12" ht="15.75" customHeight="1">
      <c r="A34" s="51"/>
      <c r="B34" s="81" t="s">
        <v>567</v>
      </c>
      <c r="C34" s="51"/>
      <c r="D34" s="51"/>
      <c r="E34" s="51"/>
      <c r="F34" s="51"/>
      <c r="G34" s="51"/>
      <c r="H34" s="51"/>
      <c r="I34" s="51"/>
      <c r="J34" s="51"/>
      <c r="K34" s="51"/>
      <c r="L34" s="51"/>
    </row>
    <row r="35" spans="1:12" ht="15.75" customHeight="1">
      <c r="A35" s="51"/>
      <c r="B35" s="51"/>
      <c r="C35" s="51"/>
      <c r="D35" s="51"/>
      <c r="E35" s="51"/>
      <c r="F35" s="51"/>
      <c r="G35" s="51"/>
      <c r="H35" s="51"/>
      <c r="I35" s="51"/>
      <c r="J35" s="51"/>
      <c r="K35" s="51"/>
      <c r="L35" s="51"/>
    </row>
    <row r="36" spans="1:12" ht="15.75" customHeight="1">
      <c r="A36" s="51"/>
      <c r="B36" s="81" t="s">
        <v>568</v>
      </c>
      <c r="C36" s="51"/>
      <c r="D36" s="51"/>
      <c r="E36" s="51"/>
      <c r="F36" s="51"/>
      <c r="G36" s="51"/>
      <c r="H36" s="51"/>
      <c r="I36" s="51"/>
      <c r="J36" s="51"/>
      <c r="K36" s="51"/>
      <c r="L36" s="51"/>
    </row>
    <row r="37" spans="1:12" ht="15.75" customHeight="1">
      <c r="A37" s="51"/>
      <c r="B37" s="81" t="s">
        <v>569</v>
      </c>
      <c r="C37" s="51"/>
      <c r="D37" s="51"/>
      <c r="E37" s="51"/>
      <c r="F37" s="51"/>
      <c r="G37" s="51"/>
      <c r="H37" s="51"/>
      <c r="I37" s="51"/>
      <c r="J37" s="51"/>
      <c r="K37" s="51"/>
      <c r="L37" s="51"/>
    </row>
    <row r="38" spans="1:12" ht="15.75" customHeight="1">
      <c r="A38" s="51"/>
      <c r="B38" s="81" t="s">
        <v>570</v>
      </c>
      <c r="C38" s="51"/>
      <c r="D38" s="51"/>
      <c r="E38" s="51"/>
      <c r="F38" s="51"/>
      <c r="G38" s="51"/>
      <c r="H38" s="51"/>
      <c r="I38" s="51"/>
      <c r="J38" s="51"/>
      <c r="K38" s="51"/>
      <c r="L38" s="51"/>
    </row>
    <row r="39" spans="1:12" ht="15.75" customHeight="1">
      <c r="A39" s="51"/>
      <c r="B39" s="51"/>
      <c r="C39" s="51"/>
      <c r="D39" s="51"/>
      <c r="E39" s="51"/>
      <c r="F39" s="51"/>
      <c r="G39" s="51"/>
      <c r="H39" s="51"/>
      <c r="I39" s="51"/>
      <c r="J39" s="51"/>
      <c r="K39" s="51"/>
      <c r="L39" s="51"/>
    </row>
    <row r="40" spans="1:12" ht="15.75" customHeight="1">
      <c r="A40" s="51"/>
      <c r="B40" s="81" t="s">
        <v>571</v>
      </c>
      <c r="C40" s="51"/>
      <c r="D40" s="51"/>
      <c r="E40" s="51"/>
      <c r="F40" s="51"/>
      <c r="G40" s="51"/>
      <c r="H40" s="51"/>
      <c r="I40" s="51"/>
      <c r="J40" s="51"/>
      <c r="K40" s="51"/>
      <c r="L40" s="51"/>
    </row>
    <row r="41" spans="1:12" ht="15.75" customHeight="1">
      <c r="A41" s="51"/>
      <c r="B41" s="51"/>
      <c r="C41" s="51"/>
      <c r="D41" s="51"/>
      <c r="E41" s="51"/>
      <c r="F41" s="51"/>
      <c r="G41" s="51"/>
      <c r="H41" s="51"/>
      <c r="I41" s="51"/>
      <c r="J41" s="51"/>
      <c r="K41" s="51"/>
      <c r="L41" s="51"/>
    </row>
    <row r="42" spans="1:12" ht="15.75" customHeight="1">
      <c r="A42" s="51"/>
      <c r="B42" s="81" t="s">
        <v>572</v>
      </c>
      <c r="C42" s="51"/>
      <c r="D42" s="51"/>
      <c r="E42" s="51"/>
      <c r="F42" s="51"/>
      <c r="G42" s="51"/>
      <c r="H42" s="51"/>
      <c r="I42" s="51"/>
      <c r="J42" s="51"/>
      <c r="K42" s="51"/>
      <c r="L42" s="51"/>
    </row>
    <row r="43" spans="1:12" ht="15.75" customHeight="1">
      <c r="A43" s="51"/>
      <c r="B43" s="51"/>
      <c r="C43" s="51"/>
      <c r="D43" s="51"/>
      <c r="E43" s="51"/>
      <c r="F43" s="51"/>
      <c r="G43" s="51"/>
      <c r="H43" s="51"/>
      <c r="I43" s="51"/>
      <c r="J43" s="51"/>
      <c r="K43" s="51"/>
      <c r="L43" s="51"/>
    </row>
    <row r="44" spans="1:12" ht="15.75" customHeight="1">
      <c r="A44" s="51"/>
      <c r="B44" s="81" t="s">
        <v>573</v>
      </c>
      <c r="C44" s="51"/>
      <c r="D44" s="51"/>
      <c r="E44" s="51"/>
      <c r="F44" s="51"/>
      <c r="G44" s="51"/>
      <c r="H44" s="51"/>
      <c r="I44" s="51"/>
      <c r="J44" s="51"/>
      <c r="K44" s="51"/>
      <c r="L44" s="51"/>
    </row>
    <row r="45" spans="1:12" ht="15.75" customHeight="1">
      <c r="A45" s="51"/>
      <c r="B45" s="51"/>
      <c r="C45" s="51"/>
      <c r="D45" s="51"/>
      <c r="E45" s="51"/>
      <c r="F45" s="51"/>
      <c r="G45" s="51"/>
      <c r="H45" s="51"/>
      <c r="I45" s="51"/>
      <c r="J45" s="51"/>
      <c r="K45" s="51"/>
      <c r="L45" s="51"/>
    </row>
    <row r="46" spans="1:12" ht="15.75" customHeight="1">
      <c r="A46" s="51"/>
      <c r="B46" s="81" t="s">
        <v>574</v>
      </c>
      <c r="C46" s="51"/>
      <c r="D46" s="51"/>
      <c r="E46" s="51"/>
      <c r="F46" s="51"/>
      <c r="G46" s="51"/>
      <c r="H46" s="51"/>
      <c r="I46" s="51"/>
      <c r="J46" s="51"/>
      <c r="K46" s="51"/>
      <c r="L46" s="51"/>
    </row>
    <row r="47" spans="1:12" ht="15.75" customHeight="1">
      <c r="A47" s="51"/>
      <c r="B47" s="51"/>
      <c r="C47" s="51"/>
      <c r="D47" s="51"/>
      <c r="E47" s="51"/>
      <c r="F47" s="51"/>
      <c r="G47" s="51"/>
      <c r="H47" s="51"/>
      <c r="I47" s="51"/>
      <c r="J47" s="51"/>
      <c r="K47" s="51"/>
      <c r="L47" s="51"/>
    </row>
    <row r="48" spans="1:12" ht="15.75" customHeight="1">
      <c r="A48" s="51"/>
      <c r="B48" s="39" t="s">
        <v>575</v>
      </c>
      <c r="C48" s="51"/>
      <c r="D48" s="51"/>
      <c r="E48" s="51"/>
      <c r="F48" s="51"/>
      <c r="G48" s="51"/>
      <c r="H48" s="51"/>
      <c r="I48" s="51"/>
      <c r="J48" s="51"/>
      <c r="K48" s="51"/>
      <c r="L48" s="51"/>
    </row>
    <row r="49" spans="1:12" ht="15.75" customHeight="1">
      <c r="A49" s="51"/>
      <c r="B49" s="51"/>
      <c r="C49" s="51"/>
      <c r="D49" s="51"/>
      <c r="E49" s="51"/>
      <c r="F49" s="51"/>
      <c r="G49" s="51"/>
      <c r="H49" s="51"/>
      <c r="I49" s="51"/>
      <c r="J49" s="51"/>
      <c r="K49" s="51"/>
      <c r="L49" s="51"/>
    </row>
    <row r="50" spans="1:12" ht="15.75" customHeight="1">
      <c r="A50" s="51"/>
      <c r="B50" s="39" t="s">
        <v>576</v>
      </c>
      <c r="C50" s="51"/>
      <c r="D50" s="51"/>
      <c r="E50" s="51"/>
      <c r="F50" s="51"/>
      <c r="G50" s="51"/>
      <c r="H50" s="51"/>
      <c r="I50" s="51"/>
      <c r="J50" s="51"/>
      <c r="K50" s="51"/>
      <c r="L50" s="51"/>
    </row>
    <row r="51" spans="1:12" ht="15.75" customHeight="1">
      <c r="A51" s="51"/>
      <c r="B51" s="51"/>
      <c r="C51" s="51"/>
      <c r="D51" s="51"/>
      <c r="E51" s="51"/>
      <c r="F51" s="51"/>
      <c r="G51" s="51"/>
      <c r="H51" s="51"/>
      <c r="I51" s="51"/>
      <c r="J51" s="51"/>
      <c r="K51" s="51"/>
      <c r="L51" s="51"/>
    </row>
    <row r="52" spans="1:12" ht="15.75" customHeight="1">
      <c r="A52" s="51"/>
      <c r="B52" s="39" t="s">
        <v>577</v>
      </c>
      <c r="C52" s="51"/>
      <c r="D52" s="51"/>
      <c r="E52" s="51"/>
      <c r="F52" s="51"/>
      <c r="G52" s="51"/>
      <c r="H52" s="51"/>
      <c r="I52" s="51"/>
      <c r="J52" s="51"/>
      <c r="K52" s="51"/>
      <c r="L52" s="51"/>
    </row>
    <row r="53" spans="1:12" ht="15.75" customHeight="1">
      <c r="A53" s="51"/>
      <c r="B53" s="51"/>
      <c r="C53" s="51"/>
      <c r="D53" s="51"/>
      <c r="E53" s="51"/>
      <c r="F53" s="51"/>
      <c r="G53" s="51"/>
      <c r="H53" s="51"/>
      <c r="I53" s="51"/>
      <c r="J53" s="51"/>
      <c r="K53" s="51"/>
      <c r="L53" s="51"/>
    </row>
    <row r="54" spans="1:12" ht="15.75" customHeight="1">
      <c r="A54" s="51"/>
      <c r="B54" s="39" t="s">
        <v>578</v>
      </c>
      <c r="C54" s="51"/>
      <c r="D54" s="51"/>
      <c r="E54" s="51"/>
      <c r="F54" s="51"/>
      <c r="G54" s="51"/>
      <c r="H54" s="51"/>
      <c r="I54" s="51"/>
      <c r="J54" s="51"/>
      <c r="K54" s="51"/>
      <c r="L54" s="51"/>
    </row>
    <row r="55" spans="1:12" ht="15.75" customHeight="1">
      <c r="A55" s="51"/>
      <c r="B55" s="51"/>
      <c r="C55" s="51"/>
      <c r="D55" s="51"/>
      <c r="E55" s="51"/>
      <c r="F55" s="51"/>
      <c r="G55" s="51"/>
      <c r="H55" s="51"/>
      <c r="I55" s="51"/>
      <c r="J55" s="51"/>
      <c r="K55" s="51"/>
      <c r="L55" s="51"/>
    </row>
    <row r="56" spans="1:12" ht="15.75" customHeight="1">
      <c r="A56" s="51"/>
      <c r="B56" s="39" t="s">
        <v>579</v>
      </c>
      <c r="C56" s="51"/>
      <c r="D56" s="51"/>
      <c r="E56" s="51"/>
      <c r="F56" s="51"/>
      <c r="G56" s="51"/>
      <c r="H56" s="51"/>
      <c r="I56" s="51"/>
      <c r="J56" s="51"/>
      <c r="K56" s="51"/>
      <c r="L56" s="51"/>
    </row>
    <row r="57" spans="1:12" ht="15.75" customHeight="1">
      <c r="A57" s="51"/>
      <c r="B57" s="51"/>
      <c r="C57" s="51"/>
      <c r="D57" s="51"/>
      <c r="E57" s="51"/>
      <c r="F57" s="51"/>
      <c r="G57" s="51"/>
      <c r="H57" s="51"/>
      <c r="I57" s="51"/>
      <c r="J57" s="51"/>
      <c r="K57" s="51"/>
      <c r="L57" s="51"/>
    </row>
    <row r="58" spans="1:12" ht="15.75" customHeight="1">
      <c r="A58" s="51"/>
      <c r="B58" s="39" t="s">
        <v>580</v>
      </c>
      <c r="C58" s="51"/>
      <c r="D58" s="51"/>
      <c r="E58" s="51"/>
      <c r="F58" s="51"/>
      <c r="G58" s="51"/>
      <c r="H58" s="51"/>
      <c r="I58" s="51"/>
      <c r="J58" s="51"/>
      <c r="K58" s="51"/>
      <c r="L58" s="51"/>
    </row>
    <row r="59" spans="1:12" ht="15.75" customHeight="1">
      <c r="A59" s="51"/>
      <c r="B59" s="51"/>
      <c r="C59" s="51"/>
      <c r="D59" s="51"/>
      <c r="E59" s="51"/>
      <c r="F59" s="51"/>
      <c r="G59" s="51"/>
      <c r="H59" s="51"/>
      <c r="I59" s="51"/>
      <c r="J59" s="51"/>
      <c r="K59" s="51"/>
      <c r="L59" s="51"/>
    </row>
    <row r="60" spans="1:12" ht="15.75" customHeight="1">
      <c r="A60" s="51"/>
      <c r="B60" s="39" t="s">
        <v>581</v>
      </c>
      <c r="C60" s="51"/>
      <c r="D60" s="51"/>
      <c r="E60" s="51"/>
      <c r="F60" s="51"/>
      <c r="G60" s="51"/>
      <c r="H60" s="51"/>
      <c r="I60" s="51"/>
      <c r="J60" s="51"/>
      <c r="K60" s="51"/>
      <c r="L60" s="51"/>
    </row>
    <row r="61" spans="1:12" ht="15.75" customHeight="1">
      <c r="A61" s="51"/>
      <c r="B61" s="51"/>
      <c r="C61" s="51"/>
      <c r="D61" s="51"/>
      <c r="E61" s="51"/>
      <c r="F61" s="51"/>
      <c r="G61" s="51"/>
      <c r="H61" s="51"/>
      <c r="I61" s="51"/>
      <c r="J61" s="51"/>
      <c r="K61" s="51"/>
      <c r="L61" s="51"/>
    </row>
    <row r="62" spans="1:12" ht="15.75" customHeight="1">
      <c r="A62" s="51"/>
      <c r="B62" s="39" t="s">
        <v>582</v>
      </c>
      <c r="C62" s="51"/>
      <c r="D62" s="51"/>
      <c r="E62" s="51"/>
      <c r="F62" s="51"/>
      <c r="G62" s="51"/>
      <c r="H62" s="51"/>
      <c r="I62" s="51"/>
      <c r="J62" s="51"/>
      <c r="K62" s="51"/>
      <c r="L62" s="51"/>
    </row>
    <row r="63" spans="1:12" ht="15.75" customHeight="1">
      <c r="A63" s="51"/>
      <c r="B63" s="51"/>
      <c r="C63" s="51"/>
      <c r="D63" s="51"/>
      <c r="E63" s="51"/>
      <c r="F63" s="51"/>
      <c r="G63" s="51"/>
      <c r="H63" s="51"/>
      <c r="I63" s="51"/>
      <c r="J63" s="51"/>
      <c r="K63" s="51"/>
      <c r="L63" s="51"/>
    </row>
    <row r="64" spans="1:12" ht="15.75" customHeight="1">
      <c r="A64" s="51"/>
      <c r="B64" s="39" t="s">
        <v>583</v>
      </c>
      <c r="C64" s="51"/>
      <c r="D64" s="51"/>
      <c r="E64" s="51"/>
      <c r="F64" s="51"/>
      <c r="G64" s="51"/>
      <c r="H64" s="51"/>
      <c r="I64" s="51"/>
      <c r="J64" s="51"/>
      <c r="K64" s="51"/>
      <c r="L64" s="51"/>
    </row>
    <row r="65" spans="1:12" ht="15.75" customHeight="1">
      <c r="A65" s="51"/>
      <c r="B65" s="51"/>
      <c r="C65" s="51"/>
      <c r="D65" s="51"/>
      <c r="E65" s="51"/>
      <c r="F65" s="51"/>
      <c r="G65" s="51"/>
      <c r="H65" s="51"/>
      <c r="I65" s="51"/>
      <c r="J65" s="51"/>
      <c r="K65" s="51"/>
      <c r="L65" s="51"/>
    </row>
    <row r="66" spans="1:12" ht="15.75" customHeight="1">
      <c r="A66" s="51"/>
      <c r="B66" s="39" t="s">
        <v>584</v>
      </c>
      <c r="C66" s="51"/>
      <c r="D66" s="51"/>
      <c r="E66" s="51"/>
      <c r="F66" s="51"/>
      <c r="G66" s="51"/>
      <c r="H66" s="51"/>
      <c r="I66" s="51"/>
      <c r="J66" s="51"/>
      <c r="K66" s="51"/>
      <c r="L66" s="51"/>
    </row>
    <row r="67" spans="1:12" ht="15.75" customHeight="1">
      <c r="A67" s="51"/>
      <c r="B67" s="39" t="s">
        <v>585</v>
      </c>
      <c r="C67" s="51"/>
      <c r="D67" s="51"/>
      <c r="E67" s="51"/>
      <c r="F67" s="51"/>
      <c r="G67" s="51"/>
      <c r="H67" s="51"/>
      <c r="I67" s="51"/>
      <c r="J67" s="51"/>
      <c r="K67" s="51"/>
      <c r="L67" s="51"/>
    </row>
    <row r="68" spans="1:12" ht="15.75" customHeight="1">
      <c r="A68" s="51"/>
      <c r="B68" s="51"/>
      <c r="C68" s="51"/>
      <c r="D68" s="51"/>
      <c r="E68" s="51"/>
      <c r="F68" s="51"/>
      <c r="G68" s="51"/>
      <c r="H68" s="51"/>
      <c r="I68" s="51"/>
      <c r="J68" s="51"/>
      <c r="K68" s="51"/>
      <c r="L68" s="51"/>
    </row>
    <row r="69" spans="1:12" ht="15.75" customHeight="1">
      <c r="A69" s="51"/>
      <c r="B69" s="39" t="s">
        <v>586</v>
      </c>
      <c r="C69" s="51"/>
      <c r="D69" s="51"/>
      <c r="E69" s="51"/>
      <c r="F69" s="51"/>
      <c r="G69" s="51"/>
      <c r="H69" s="51"/>
      <c r="I69" s="51"/>
      <c r="J69" s="51"/>
      <c r="K69" s="51"/>
      <c r="L69" s="51"/>
    </row>
    <row r="70" spans="1:12" ht="15.75" customHeight="1">
      <c r="A70" s="51"/>
      <c r="B70" s="39" t="s">
        <v>587</v>
      </c>
      <c r="C70" s="51"/>
      <c r="D70" s="51"/>
      <c r="E70" s="51"/>
      <c r="F70" s="51"/>
      <c r="G70" s="51"/>
      <c r="H70" s="51"/>
      <c r="I70" s="51"/>
      <c r="J70" s="51"/>
      <c r="K70" s="51"/>
      <c r="L70" s="51"/>
    </row>
    <row r="71" spans="1:12" ht="15.75" customHeight="1">
      <c r="A71" s="51"/>
      <c r="B71" s="51"/>
      <c r="C71" s="51"/>
      <c r="D71" s="51"/>
      <c r="E71" s="51"/>
      <c r="F71" s="51"/>
      <c r="G71" s="51"/>
      <c r="H71" s="51"/>
      <c r="I71" s="51"/>
      <c r="J71" s="51"/>
      <c r="K71" s="51"/>
      <c r="L71" s="51"/>
    </row>
    <row r="72" spans="1:12" ht="15.75" customHeight="1">
      <c r="A72" s="51"/>
      <c r="B72" s="39" t="s">
        <v>588</v>
      </c>
      <c r="C72" s="51"/>
      <c r="D72" s="51"/>
      <c r="E72" s="51"/>
      <c r="F72" s="51"/>
      <c r="G72" s="51"/>
      <c r="H72" s="51"/>
      <c r="I72" s="51"/>
      <c r="J72" s="51"/>
      <c r="K72" s="51"/>
      <c r="L72" s="51"/>
    </row>
    <row r="73" spans="1:12" ht="15.75" customHeight="1">
      <c r="A73" s="51"/>
      <c r="B73" s="51"/>
      <c r="C73" s="51"/>
      <c r="D73" s="51"/>
      <c r="E73" s="51"/>
      <c r="F73" s="51"/>
      <c r="G73" s="51"/>
      <c r="H73" s="51"/>
      <c r="I73" s="51"/>
      <c r="J73" s="51"/>
      <c r="K73" s="51"/>
      <c r="L73" s="51"/>
    </row>
    <row r="74" spans="1:12" ht="15.75" customHeight="1">
      <c r="A74" s="51"/>
      <c r="B74" s="39" t="s">
        <v>589</v>
      </c>
      <c r="C74" s="51"/>
      <c r="D74" s="51"/>
      <c r="E74" s="51"/>
      <c r="F74" s="51"/>
      <c r="G74" s="51"/>
      <c r="H74" s="51"/>
      <c r="I74" s="51"/>
      <c r="J74" s="51"/>
      <c r="K74" s="51"/>
      <c r="L74" s="51"/>
    </row>
    <row r="75" spans="1:12" ht="15.75" customHeight="1">
      <c r="A75" s="51"/>
      <c r="B75" s="51"/>
      <c r="C75" s="51"/>
      <c r="D75" s="51"/>
      <c r="E75" s="51"/>
      <c r="F75" s="51"/>
      <c r="G75" s="51"/>
      <c r="H75" s="51"/>
      <c r="I75" s="51"/>
      <c r="J75" s="51"/>
      <c r="K75" s="51"/>
      <c r="L75" s="51"/>
    </row>
    <row r="76" spans="1:12" ht="15.75" customHeight="1">
      <c r="A76" s="51"/>
      <c r="B76" s="39" t="s">
        <v>590</v>
      </c>
      <c r="C76" s="51"/>
      <c r="D76" s="51"/>
      <c r="E76" s="51"/>
      <c r="F76" s="51"/>
      <c r="G76" s="51"/>
      <c r="H76" s="51"/>
      <c r="I76" s="51"/>
      <c r="J76" s="51"/>
      <c r="K76" s="51"/>
      <c r="L76" s="51"/>
    </row>
    <row r="77" spans="1:12" ht="15.75" customHeight="1">
      <c r="A77" s="51"/>
      <c r="B77" s="51"/>
      <c r="C77" s="51"/>
      <c r="D77" s="51"/>
      <c r="E77" s="51"/>
      <c r="F77" s="51"/>
      <c r="G77" s="51"/>
      <c r="H77" s="51"/>
      <c r="I77" s="51"/>
      <c r="J77" s="51"/>
      <c r="K77" s="51"/>
      <c r="L77" s="51"/>
    </row>
    <row r="78" spans="1:12" ht="15.75" customHeight="1">
      <c r="A78" s="51"/>
      <c r="B78" s="39" t="s">
        <v>591</v>
      </c>
      <c r="C78" s="51"/>
      <c r="D78" s="51"/>
      <c r="E78" s="51"/>
      <c r="F78" s="51"/>
      <c r="G78" s="51"/>
      <c r="H78" s="51"/>
      <c r="I78" s="51"/>
      <c r="J78" s="51"/>
      <c r="K78" s="51"/>
      <c r="L78" s="51"/>
    </row>
    <row r="79" spans="1:12" ht="15.75" customHeight="1">
      <c r="A79" s="51"/>
      <c r="B79" s="51"/>
      <c r="C79" s="51"/>
      <c r="D79" s="51"/>
      <c r="E79" s="51"/>
      <c r="F79" s="51"/>
      <c r="G79" s="51"/>
      <c r="H79" s="51"/>
      <c r="I79" s="51"/>
      <c r="J79" s="51"/>
      <c r="K79" s="51"/>
      <c r="L79" s="51"/>
    </row>
    <row r="80" spans="1:12" ht="15.75" customHeight="1">
      <c r="A80" s="51"/>
      <c r="B80" s="39" t="s">
        <v>592</v>
      </c>
      <c r="C80" s="51"/>
      <c r="D80" s="51"/>
      <c r="E80" s="51"/>
      <c r="F80" s="51"/>
      <c r="G80" s="51"/>
      <c r="H80" s="51"/>
      <c r="I80" s="51"/>
      <c r="J80" s="51"/>
      <c r="K80" s="51"/>
      <c r="L80" s="51"/>
    </row>
    <row r="81" spans="1:12" ht="15.75" customHeight="1">
      <c r="A81" s="51"/>
      <c r="B81" s="39" t="s">
        <v>593</v>
      </c>
      <c r="C81" s="51"/>
      <c r="D81" s="51"/>
      <c r="E81" s="51"/>
      <c r="F81" s="51"/>
      <c r="G81" s="51"/>
      <c r="H81" s="51"/>
      <c r="I81" s="51"/>
      <c r="J81" s="51"/>
      <c r="K81" s="51"/>
      <c r="L81" s="51"/>
    </row>
    <row r="82" spans="1:12" ht="15.75" customHeight="1">
      <c r="A82" s="51"/>
      <c r="B82" s="51"/>
      <c r="C82" s="51"/>
      <c r="D82" s="51"/>
      <c r="E82" s="51"/>
      <c r="F82" s="51"/>
      <c r="G82" s="51"/>
      <c r="H82" s="51"/>
      <c r="I82" s="51"/>
      <c r="J82" s="51"/>
      <c r="K82" s="51"/>
      <c r="L82" s="51"/>
    </row>
    <row r="83" spans="1:12" ht="15.75" customHeight="1">
      <c r="A83" s="51"/>
      <c r="B83" s="39" t="s">
        <v>594</v>
      </c>
      <c r="C83" s="51"/>
      <c r="D83" s="51"/>
      <c r="E83" s="51"/>
      <c r="F83" s="51"/>
      <c r="G83" s="51"/>
      <c r="H83" s="51"/>
      <c r="I83" s="51"/>
      <c r="J83" s="51"/>
      <c r="K83" s="51"/>
      <c r="L83" s="51"/>
    </row>
    <row r="84" spans="1:12" ht="15.75" customHeight="1">
      <c r="A84" s="51"/>
      <c r="B84" s="39" t="s">
        <v>595</v>
      </c>
      <c r="C84" s="51"/>
      <c r="D84" s="51"/>
      <c r="E84" s="51"/>
      <c r="F84" s="51"/>
      <c r="G84" s="51"/>
      <c r="H84" s="51"/>
      <c r="I84" s="51"/>
      <c r="J84" s="51"/>
      <c r="K84" s="51"/>
      <c r="L84" s="51"/>
    </row>
    <row r="85" spans="1:12" ht="15.75" customHeight="1">
      <c r="A85" s="51"/>
      <c r="B85" s="39" t="s">
        <v>596</v>
      </c>
      <c r="C85" s="51"/>
      <c r="D85" s="51"/>
      <c r="E85" s="51"/>
      <c r="F85" s="51"/>
      <c r="G85" s="51"/>
      <c r="H85" s="51"/>
      <c r="I85" s="51"/>
      <c r="J85" s="51"/>
      <c r="K85" s="51"/>
      <c r="L85" s="51"/>
    </row>
    <row r="86" spans="1:12" ht="15.75" customHeight="1">
      <c r="A86" s="51"/>
      <c r="B86" s="39" t="s">
        <v>597</v>
      </c>
      <c r="C86" s="51"/>
      <c r="D86" s="51"/>
      <c r="E86" s="51"/>
      <c r="F86" s="51"/>
      <c r="G86" s="51"/>
      <c r="H86" s="51"/>
      <c r="I86" s="51"/>
      <c r="J86" s="51"/>
      <c r="K86" s="51"/>
      <c r="L86" s="51"/>
    </row>
    <row r="87" spans="1:12" ht="15.75" customHeight="1">
      <c r="A87" s="51"/>
      <c r="B87" s="39" t="s">
        <v>598</v>
      </c>
      <c r="C87" s="51"/>
      <c r="D87" s="51"/>
      <c r="E87" s="51"/>
      <c r="F87" s="51"/>
      <c r="G87" s="51"/>
      <c r="H87" s="51"/>
      <c r="I87" s="51"/>
      <c r="J87" s="51"/>
      <c r="K87" s="51"/>
      <c r="L87" s="51"/>
    </row>
    <row r="88" spans="1:12" ht="15.75" customHeight="1">
      <c r="A88" s="51"/>
      <c r="B88" s="39" t="s">
        <v>599</v>
      </c>
      <c r="C88" s="51"/>
      <c r="D88" s="51"/>
      <c r="E88" s="51"/>
      <c r="F88" s="51"/>
      <c r="G88" s="51"/>
      <c r="H88" s="51"/>
      <c r="I88" s="51"/>
      <c r="J88" s="51"/>
      <c r="K88" s="51"/>
      <c r="L88" s="51"/>
    </row>
    <row r="89" spans="1:12" ht="15.75" customHeight="1">
      <c r="A89" s="51"/>
      <c r="B89" s="51"/>
      <c r="C89" s="51"/>
      <c r="D89" s="51"/>
      <c r="E89" s="51"/>
      <c r="F89" s="51"/>
      <c r="G89" s="51"/>
      <c r="H89" s="51"/>
      <c r="I89" s="51"/>
      <c r="J89" s="51"/>
      <c r="K89" s="51"/>
      <c r="L89" s="51"/>
    </row>
    <row r="90" spans="1:12" ht="15.75" customHeight="1">
      <c r="A90" s="51"/>
      <c r="B90" s="39" t="s">
        <v>600</v>
      </c>
      <c r="C90" s="51"/>
      <c r="D90" s="51"/>
      <c r="E90" s="51"/>
      <c r="F90" s="51"/>
      <c r="G90" s="51"/>
      <c r="H90" s="51"/>
      <c r="I90" s="51"/>
      <c r="J90" s="51"/>
      <c r="K90" s="51"/>
      <c r="L90" s="51"/>
    </row>
    <row r="91" spans="1:12" ht="15.75" customHeight="1">
      <c r="A91" s="51"/>
      <c r="B91" s="51"/>
      <c r="C91" s="51"/>
      <c r="D91" s="51"/>
      <c r="E91" s="51"/>
      <c r="F91" s="51"/>
      <c r="G91" s="51"/>
      <c r="H91" s="51"/>
      <c r="I91" s="51"/>
      <c r="J91" s="51"/>
      <c r="K91" s="51"/>
      <c r="L91" s="51"/>
    </row>
    <row r="92" spans="1:12" ht="15.75" customHeight="1">
      <c r="A92" s="51"/>
      <c r="B92" s="39" t="s">
        <v>601</v>
      </c>
      <c r="C92" s="51"/>
      <c r="D92" s="51"/>
      <c r="E92" s="51"/>
      <c r="F92" s="51"/>
      <c r="G92" s="51"/>
      <c r="H92" s="51"/>
      <c r="I92" s="51"/>
      <c r="J92" s="51"/>
      <c r="K92" s="51"/>
      <c r="L92" s="51"/>
    </row>
    <row r="93" spans="1:12" ht="15.75" customHeight="1">
      <c r="A93" s="51"/>
      <c r="B93" s="39" t="s">
        <v>602</v>
      </c>
      <c r="C93" s="51"/>
      <c r="D93" s="51"/>
      <c r="E93" s="51"/>
      <c r="F93" s="51"/>
      <c r="G93" s="51"/>
      <c r="H93" s="51"/>
      <c r="I93" s="51"/>
      <c r="J93" s="51"/>
      <c r="K93" s="51"/>
      <c r="L93" s="51"/>
    </row>
    <row r="94" spans="1:12" ht="15.75" customHeight="1">
      <c r="A94" s="51"/>
      <c r="B94" s="39" t="s">
        <v>603</v>
      </c>
      <c r="C94" s="51"/>
      <c r="D94" s="51"/>
      <c r="E94" s="51"/>
      <c r="F94" s="51"/>
      <c r="G94" s="51"/>
      <c r="H94" s="51"/>
      <c r="I94" s="51"/>
      <c r="J94" s="51"/>
      <c r="K94" s="51"/>
      <c r="L94" s="51"/>
    </row>
    <row r="95" spans="1:12" ht="15.75" customHeight="1">
      <c r="A95" s="51"/>
      <c r="B95" s="51"/>
      <c r="C95" s="51"/>
      <c r="D95" s="51"/>
      <c r="E95" s="51"/>
      <c r="F95" s="51"/>
      <c r="G95" s="51"/>
      <c r="H95" s="51"/>
      <c r="I95" s="51"/>
      <c r="J95" s="51"/>
      <c r="K95" s="51"/>
      <c r="L95" s="51"/>
    </row>
    <row r="96" spans="1:12" ht="15.75" customHeight="1">
      <c r="A96" s="51"/>
      <c r="B96" s="39" t="s">
        <v>604</v>
      </c>
      <c r="C96" s="51"/>
      <c r="D96" s="51"/>
      <c r="E96" s="51"/>
      <c r="F96" s="51"/>
      <c r="G96" s="51"/>
      <c r="H96" s="51"/>
      <c r="I96" s="51"/>
      <c r="J96" s="51"/>
      <c r="K96" s="51"/>
      <c r="L96" s="51"/>
    </row>
    <row r="97" spans="1:12" ht="15.75" customHeight="1">
      <c r="A97" s="51"/>
      <c r="B97" s="51"/>
      <c r="C97" s="51"/>
      <c r="D97" s="51"/>
      <c r="E97" s="51"/>
      <c r="F97" s="51"/>
      <c r="G97" s="51"/>
      <c r="H97" s="51"/>
      <c r="I97" s="51"/>
      <c r="J97" s="51"/>
      <c r="K97" s="51"/>
      <c r="L97" s="51"/>
    </row>
    <row r="98" spans="1:12" ht="15.75" customHeight="1">
      <c r="A98" s="51"/>
      <c r="B98" s="82" t="s">
        <v>605</v>
      </c>
      <c r="C98" s="51"/>
      <c r="D98" s="51"/>
      <c r="E98" s="51"/>
      <c r="F98" s="51"/>
      <c r="G98" s="51"/>
      <c r="H98" s="51"/>
      <c r="I98" s="51"/>
      <c r="J98" s="51"/>
      <c r="K98" s="51"/>
      <c r="L98" s="51"/>
    </row>
    <row r="99" spans="1:12" ht="15.75" customHeight="1">
      <c r="A99" s="51"/>
      <c r="B99" s="51"/>
      <c r="C99" s="51"/>
      <c r="D99" s="51"/>
      <c r="E99" s="51"/>
      <c r="F99" s="51"/>
      <c r="G99" s="51"/>
      <c r="H99" s="51"/>
      <c r="I99" s="51"/>
      <c r="J99" s="51"/>
      <c r="K99" s="51"/>
      <c r="L99" s="51"/>
    </row>
    <row r="100" spans="1:12" ht="15.75" customHeight="1">
      <c r="A100" s="51"/>
      <c r="B100" s="39" t="s">
        <v>606</v>
      </c>
      <c r="C100" s="51"/>
      <c r="D100" s="51"/>
      <c r="E100" s="51"/>
      <c r="F100" s="51"/>
      <c r="G100" s="51"/>
      <c r="H100" s="51"/>
      <c r="I100" s="51"/>
      <c r="J100" s="51"/>
      <c r="K100" s="51"/>
      <c r="L100" s="51"/>
    </row>
    <row r="101" spans="1:12" ht="15.75" customHeight="1">
      <c r="A101" s="51"/>
      <c r="B101" s="51"/>
      <c r="C101" s="51"/>
      <c r="D101" s="51"/>
      <c r="E101" s="51"/>
      <c r="F101" s="51"/>
      <c r="G101" s="51"/>
      <c r="H101" s="51"/>
      <c r="I101" s="51"/>
      <c r="J101" s="51"/>
      <c r="K101" s="51"/>
      <c r="L101" s="51"/>
    </row>
    <row r="102" spans="1:12" ht="15.75" customHeight="1">
      <c r="A102" s="51"/>
      <c r="B102" s="39" t="s">
        <v>607</v>
      </c>
      <c r="C102" s="51"/>
      <c r="D102" s="51"/>
      <c r="E102" s="51"/>
      <c r="F102" s="51"/>
      <c r="G102" s="51"/>
      <c r="H102" s="51"/>
      <c r="I102" s="51"/>
      <c r="J102" s="51"/>
      <c r="K102" s="51"/>
      <c r="L102" s="51"/>
    </row>
    <row r="103" spans="1:12" ht="15.75" customHeight="1">
      <c r="A103" s="51"/>
      <c r="B103" s="39" t="s">
        <v>608</v>
      </c>
      <c r="C103" s="51"/>
      <c r="D103" s="51"/>
      <c r="E103" s="51"/>
      <c r="F103" s="51"/>
      <c r="G103" s="51"/>
      <c r="H103" s="51"/>
      <c r="I103" s="51"/>
      <c r="J103" s="51"/>
      <c r="K103" s="51"/>
      <c r="L103" s="51"/>
    </row>
    <row r="104" spans="1:12" ht="15.75" customHeight="1">
      <c r="A104" s="51"/>
      <c r="B104" s="51"/>
      <c r="C104" s="51"/>
      <c r="D104" s="51"/>
      <c r="E104" s="51"/>
      <c r="F104" s="51"/>
      <c r="G104" s="51"/>
      <c r="H104" s="51"/>
      <c r="I104" s="51"/>
      <c r="J104" s="51"/>
      <c r="K104" s="51"/>
      <c r="L104" s="51"/>
    </row>
    <row r="105" spans="1:12" ht="15.75" customHeight="1">
      <c r="A105" s="51"/>
      <c r="B105" s="39" t="s">
        <v>609</v>
      </c>
      <c r="C105" s="51"/>
      <c r="D105" s="51"/>
      <c r="E105" s="51"/>
      <c r="F105" s="51"/>
      <c r="G105" s="51"/>
      <c r="H105" s="51"/>
      <c r="I105" s="51"/>
      <c r="J105" s="51"/>
      <c r="K105" s="51"/>
      <c r="L105" s="51"/>
    </row>
    <row r="106" spans="1:12" ht="15.75" customHeight="1">
      <c r="A106" s="51"/>
      <c r="B106" s="51"/>
      <c r="C106" s="51"/>
      <c r="D106" s="51"/>
      <c r="E106" s="51"/>
      <c r="F106" s="51"/>
      <c r="G106" s="51"/>
      <c r="H106" s="51"/>
      <c r="I106" s="51"/>
      <c r="J106" s="51"/>
      <c r="K106" s="51"/>
      <c r="L106" s="51"/>
    </row>
    <row r="107" spans="1:12" ht="15.75" customHeight="1">
      <c r="A107" s="51"/>
      <c r="B107" s="39" t="s">
        <v>610</v>
      </c>
      <c r="C107" s="51"/>
      <c r="D107" s="51"/>
      <c r="E107" s="51"/>
      <c r="F107" s="51"/>
      <c r="G107" s="51"/>
      <c r="H107" s="51"/>
      <c r="I107" s="51"/>
      <c r="J107" s="51"/>
      <c r="K107" s="51"/>
      <c r="L107" s="51"/>
    </row>
    <row r="108" spans="1:12" ht="15.75" customHeight="1">
      <c r="A108" s="51"/>
      <c r="B108" s="51"/>
      <c r="C108" s="51"/>
      <c r="D108" s="51"/>
      <c r="E108" s="51"/>
      <c r="F108" s="51"/>
      <c r="G108" s="51"/>
      <c r="H108" s="51"/>
      <c r="I108" s="51"/>
      <c r="J108" s="51"/>
      <c r="K108" s="51"/>
      <c r="L108" s="51"/>
    </row>
    <row r="109" spans="1:12" ht="15.75" customHeight="1">
      <c r="A109" s="51"/>
      <c r="B109" s="39" t="s">
        <v>611</v>
      </c>
      <c r="C109" s="51"/>
      <c r="D109" s="51"/>
      <c r="E109" s="51"/>
      <c r="F109" s="51"/>
      <c r="G109" s="51"/>
      <c r="H109" s="51"/>
      <c r="I109" s="51"/>
      <c r="J109" s="51"/>
      <c r="K109" s="51"/>
      <c r="L109" s="51"/>
    </row>
    <row r="110" spans="1:12" ht="15.75" customHeight="1">
      <c r="A110" s="51"/>
      <c r="B110" s="39" t="s">
        <v>612</v>
      </c>
      <c r="C110" s="51"/>
      <c r="D110" s="51"/>
      <c r="E110" s="51"/>
      <c r="F110" s="51"/>
      <c r="G110" s="51"/>
      <c r="H110" s="51"/>
      <c r="I110" s="51"/>
      <c r="J110" s="51"/>
      <c r="K110" s="51"/>
      <c r="L110" s="51"/>
    </row>
    <row r="111" spans="1:12" ht="15.75" customHeight="1">
      <c r="A111" s="51"/>
      <c r="B111" s="39" t="s">
        <v>602</v>
      </c>
      <c r="C111" s="51"/>
      <c r="D111" s="51"/>
      <c r="E111" s="51"/>
      <c r="F111" s="51"/>
      <c r="G111" s="51"/>
      <c r="H111" s="51"/>
      <c r="I111" s="51"/>
      <c r="J111" s="51"/>
      <c r="K111" s="51"/>
      <c r="L111" s="51"/>
    </row>
    <row r="112" spans="1:12" ht="15.75" customHeight="1">
      <c r="A112" s="51"/>
      <c r="B112" s="39" t="s">
        <v>613</v>
      </c>
      <c r="C112" s="51"/>
      <c r="D112" s="51"/>
      <c r="E112" s="51"/>
      <c r="F112" s="51"/>
      <c r="G112" s="51"/>
      <c r="H112" s="51"/>
      <c r="I112" s="51"/>
      <c r="J112" s="51"/>
      <c r="K112" s="51"/>
      <c r="L112" s="51"/>
    </row>
    <row r="113" spans="1:12" ht="15.75" customHeight="1">
      <c r="A113" s="51"/>
      <c r="B113" s="51"/>
      <c r="C113" s="51"/>
      <c r="D113" s="51"/>
      <c r="E113" s="51"/>
      <c r="F113" s="51"/>
      <c r="G113" s="51"/>
      <c r="H113" s="51"/>
      <c r="I113" s="51"/>
      <c r="J113" s="51"/>
      <c r="K113" s="51"/>
      <c r="L113" s="51"/>
    </row>
    <row r="114" spans="1:12" ht="15.75" customHeight="1">
      <c r="A114" s="51"/>
      <c r="B114" s="39" t="s">
        <v>614</v>
      </c>
      <c r="C114" s="51"/>
      <c r="D114" s="51"/>
      <c r="E114" s="51"/>
      <c r="F114" s="51"/>
      <c r="G114" s="51"/>
      <c r="H114" s="51"/>
      <c r="I114" s="51"/>
      <c r="J114" s="51"/>
      <c r="K114" s="51"/>
      <c r="L114" s="51"/>
    </row>
    <row r="115" spans="1:12" ht="15.75" customHeight="1">
      <c r="A115" s="51"/>
      <c r="B115" s="51"/>
      <c r="C115" s="51"/>
      <c r="D115" s="51"/>
      <c r="E115" s="51"/>
      <c r="F115" s="51"/>
      <c r="G115" s="51"/>
      <c r="H115" s="51"/>
      <c r="I115" s="51"/>
      <c r="J115" s="51"/>
      <c r="K115" s="51"/>
      <c r="L115" s="51"/>
    </row>
    <row r="116" spans="1:12" ht="15.75" customHeight="1">
      <c r="A116" s="51"/>
      <c r="B116" s="39" t="s">
        <v>615</v>
      </c>
      <c r="C116" s="51"/>
      <c r="D116" s="51"/>
      <c r="E116" s="51"/>
      <c r="F116" s="51"/>
      <c r="G116" s="51"/>
      <c r="H116" s="51"/>
      <c r="I116" s="51"/>
      <c r="J116" s="51"/>
      <c r="K116" s="51"/>
      <c r="L116" s="51"/>
    </row>
    <row r="117" spans="1:12" ht="15.75" customHeight="1">
      <c r="A117" s="51"/>
      <c r="B117" s="39" t="s">
        <v>616</v>
      </c>
      <c r="C117" s="51"/>
      <c r="D117" s="51"/>
      <c r="E117" s="51"/>
      <c r="F117" s="51"/>
      <c r="G117" s="51"/>
      <c r="H117" s="51"/>
      <c r="I117" s="51"/>
      <c r="J117" s="51"/>
      <c r="K117" s="51"/>
      <c r="L117" s="51"/>
    </row>
    <row r="118" spans="1:12" ht="15.75" customHeight="1">
      <c r="A118" s="51"/>
      <c r="B118" s="51"/>
      <c r="C118" s="51"/>
      <c r="D118" s="51"/>
      <c r="E118" s="51"/>
      <c r="F118" s="51"/>
      <c r="G118" s="51"/>
      <c r="H118" s="51"/>
      <c r="I118" s="51"/>
      <c r="J118" s="51"/>
      <c r="K118" s="51"/>
      <c r="L118" s="51"/>
    </row>
    <row r="119" spans="1:12" ht="15.75" customHeight="1">
      <c r="A119" s="51"/>
      <c r="B119" s="39" t="s">
        <v>617</v>
      </c>
      <c r="C119" s="51"/>
      <c r="D119" s="51"/>
      <c r="E119" s="51"/>
      <c r="F119" s="51"/>
      <c r="G119" s="51"/>
      <c r="H119" s="51"/>
      <c r="I119" s="51"/>
      <c r="J119" s="51"/>
      <c r="K119" s="51"/>
      <c r="L119" s="51"/>
    </row>
    <row r="120" spans="1:12" ht="15.75" customHeight="1">
      <c r="A120" s="51"/>
      <c r="B120" s="83" t="str">
        <f>HYPERLINK("http://appweb.resources-game.ch/stats/getBoxesStat_hp.php","http://appweb.resources-game.ch/stats/getBoxesStat_hp.php")</f>
        <v>http://appweb.resources-game.ch/stats/getBoxesStat_hp.php</v>
      </c>
      <c r="C120" s="51"/>
      <c r="D120" s="51"/>
      <c r="E120" s="51"/>
      <c r="F120" s="51"/>
      <c r="G120" s="51"/>
      <c r="H120" s="51"/>
      <c r="I120" s="51"/>
      <c r="J120" s="51"/>
      <c r="K120" s="51"/>
      <c r="L120" s="51"/>
    </row>
    <row r="121" spans="1:12" ht="15.75" customHeight="1">
      <c r="A121" s="51"/>
      <c r="B121" s="51"/>
      <c r="C121" s="51"/>
      <c r="D121" s="51"/>
      <c r="E121" s="51"/>
      <c r="F121" s="51"/>
      <c r="G121" s="51"/>
      <c r="H121" s="51"/>
      <c r="I121" s="51"/>
      <c r="J121" s="51"/>
      <c r="K121" s="51"/>
      <c r="L121" s="51"/>
    </row>
    <row r="122" spans="1:12" ht="15.75" customHeight="1">
      <c r="A122" s="51"/>
      <c r="B122" s="39" t="s">
        <v>618</v>
      </c>
      <c r="C122" s="51"/>
      <c r="D122" s="51"/>
      <c r="E122" s="51"/>
      <c r="F122" s="51"/>
      <c r="G122" s="51"/>
      <c r="H122" s="51"/>
      <c r="I122" s="51"/>
      <c r="J122" s="51"/>
      <c r="K122" s="51"/>
      <c r="L122" s="51"/>
    </row>
    <row r="123" spans="1:12" ht="15.75" customHeight="1">
      <c r="A123" s="51"/>
      <c r="B123" s="83" t="str">
        <f>HYPERLINK("http://appweb.resources-game.ch/stats/masterminer_hp.php","http://appweb.resources-game.ch/stats/masterminer_hp.php")</f>
        <v>http://appweb.resources-game.ch/stats/masterminer_hp.php</v>
      </c>
      <c r="C123" s="51"/>
      <c r="D123" s="51"/>
      <c r="E123" s="51"/>
      <c r="F123" s="51"/>
      <c r="G123" s="51"/>
      <c r="H123" s="51"/>
      <c r="I123" s="51"/>
      <c r="J123" s="51"/>
      <c r="K123" s="51"/>
      <c r="L123" s="51"/>
    </row>
    <row r="124" spans="1:12" ht="15.75" customHeight="1">
      <c r="A124" s="51"/>
      <c r="B124" s="51"/>
      <c r="C124" s="51"/>
      <c r="D124" s="51"/>
      <c r="E124" s="51"/>
      <c r="F124" s="51"/>
      <c r="G124" s="51"/>
      <c r="H124" s="51"/>
      <c r="I124" s="51"/>
      <c r="J124" s="51"/>
      <c r="K124" s="51"/>
      <c r="L124" s="51"/>
    </row>
    <row r="125" spans="1:12" ht="15.75" customHeight="1">
      <c r="A125" s="51"/>
      <c r="B125" s="39" t="s">
        <v>619</v>
      </c>
      <c r="C125" s="51"/>
      <c r="D125" s="51"/>
      <c r="E125" s="51"/>
      <c r="F125" s="51"/>
      <c r="G125" s="51"/>
      <c r="H125" s="51"/>
      <c r="I125" s="51"/>
      <c r="J125" s="51"/>
      <c r="K125" s="51"/>
      <c r="L125" s="51"/>
    </row>
    <row r="126" spans="1:12" ht="15.75" customHeight="1">
      <c r="A126" s="51"/>
      <c r="B126" s="83" t="str">
        <f>HYPERLINK("http://ssl.resources-game.ch/","http://ssl.resources-game.ch/")</f>
        <v>http://ssl.resources-game.ch/</v>
      </c>
      <c r="C126" s="51"/>
      <c r="D126" s="51"/>
      <c r="E126" s="51"/>
      <c r="F126" s="51"/>
      <c r="G126" s="51"/>
      <c r="H126" s="51"/>
      <c r="I126" s="51"/>
      <c r="J126" s="51"/>
      <c r="K126" s="51"/>
      <c r="L126" s="51"/>
    </row>
    <row r="127" spans="1:12" ht="15.75" customHeight="1">
      <c r="A127" s="51"/>
      <c r="B127" s="51"/>
      <c r="C127" s="51"/>
      <c r="D127" s="51"/>
      <c r="E127" s="51"/>
      <c r="F127" s="51"/>
      <c r="G127" s="51"/>
      <c r="H127" s="51"/>
      <c r="I127" s="51"/>
      <c r="J127" s="51"/>
      <c r="K127" s="51"/>
      <c r="L127" s="51"/>
    </row>
    <row r="128" spans="1:12" ht="15.75" customHeight="1">
      <c r="A128" s="51"/>
      <c r="B128" s="39" t="s">
        <v>620</v>
      </c>
      <c r="C128" s="51"/>
      <c r="D128" s="51"/>
      <c r="E128" s="51"/>
      <c r="F128" s="51"/>
      <c r="G128" s="51"/>
      <c r="H128" s="51"/>
      <c r="I128" s="51"/>
      <c r="J128" s="51"/>
      <c r="K128" s="51"/>
      <c r="L128" s="51"/>
    </row>
    <row r="129" spans="1:12" ht="15.75" customHeight="1">
      <c r="A129" s="51"/>
      <c r="B129" s="83" t="str">
        <f>HYPERLINK("http://tinyurl.com/npa82ky","http://tinyurl.com/npa82ky")</f>
        <v>http://tinyurl.com/npa82ky</v>
      </c>
      <c r="C129" s="51"/>
      <c r="D129" s="51"/>
      <c r="E129" s="51"/>
      <c r="F129" s="51"/>
      <c r="G129" s="51"/>
      <c r="H129" s="51"/>
      <c r="I129" s="51"/>
      <c r="J129" s="51"/>
      <c r="K129" s="51"/>
      <c r="L129" s="51"/>
    </row>
    <row r="130" spans="1:12" ht="15.75" customHeight="1">
      <c r="A130" s="51"/>
      <c r="B130" s="51"/>
      <c r="C130" s="51"/>
      <c r="D130" s="51"/>
      <c r="E130" s="51"/>
      <c r="F130" s="51"/>
      <c r="G130" s="51"/>
      <c r="H130" s="51"/>
      <c r="I130" s="51"/>
      <c r="J130" s="51"/>
      <c r="K130" s="51"/>
      <c r="L130" s="51"/>
    </row>
    <row r="131" spans="1:12" ht="15.75" customHeight="1">
      <c r="A131" s="51"/>
      <c r="B131" s="39" t="s">
        <v>621</v>
      </c>
      <c r="C131" s="51"/>
      <c r="D131" s="51"/>
      <c r="E131" s="51"/>
      <c r="F131" s="51"/>
      <c r="G131" s="51"/>
      <c r="H131" s="51"/>
      <c r="I131" s="51"/>
      <c r="J131" s="51"/>
      <c r="K131" s="51"/>
      <c r="L131" s="51"/>
    </row>
    <row r="132" spans="1:12" ht="15.75" customHeight="1">
      <c r="A132" s="51"/>
      <c r="B132" s="83" t="str">
        <f>HYPERLINK("http://tinyurl.com/usabanking","http://tinyurl.com/usabanking")</f>
        <v>http://tinyurl.com/usabanking</v>
      </c>
      <c r="C132" s="51"/>
      <c r="D132" s="51"/>
      <c r="E132" s="51"/>
      <c r="F132" s="51"/>
      <c r="G132" s="51"/>
      <c r="H132" s="51"/>
      <c r="I132" s="51"/>
      <c r="J132" s="51"/>
      <c r="K132" s="51"/>
      <c r="L132" s="51"/>
    </row>
    <row r="133" spans="1:12" ht="15.75" customHeight="1">
      <c r="A133" s="51"/>
      <c r="B133" s="51"/>
      <c r="C133" s="51"/>
      <c r="D133" s="51"/>
      <c r="E133" s="51"/>
      <c r="F133" s="51"/>
      <c r="G133" s="51"/>
      <c r="H133" s="51"/>
      <c r="I133" s="51"/>
      <c r="J133" s="51"/>
      <c r="K133" s="51"/>
      <c r="L133" s="51"/>
    </row>
    <row r="134" spans="1:12" ht="15.75" customHeight="1">
      <c r="A134" s="51"/>
      <c r="B134" s="39" t="s">
        <v>622</v>
      </c>
      <c r="C134" s="51"/>
      <c r="D134" s="51"/>
      <c r="E134" s="51"/>
      <c r="F134" s="51"/>
      <c r="G134" s="51"/>
      <c r="H134" s="51"/>
      <c r="I134" s="51"/>
      <c r="J134" s="51"/>
      <c r="K134" s="51"/>
      <c r="L134" s="51"/>
    </row>
    <row r="135" spans="1:12" ht="15.75" customHeight="1">
      <c r="A135" s="51"/>
      <c r="B135" s="83" t="str">
        <f>HYPERLINK("https://docs.google.com/spreadsheets/d/1Lsno9_Jpwv4JTD14339H-yFaoUV7Kaev_FimGg6XpCM/edit?ts=566f2a7a#gid=0","https://docs.google.com/spreadsheets/d/1Lsno9_Jpwv4JTD14339H-yFaoUV7Kaev_FimGg6XpCM/edit?ts=566f2a7a#gid=0")</f>
        <v>https://docs.google.com/spreadsheets/d/1Lsno9_Jpwv4JTD14339H-yFaoUV7Kaev_FimGg6XpCM/edit?ts=566f2a7a#gid=0</v>
      </c>
      <c r="C135" s="51"/>
      <c r="D135" s="51"/>
      <c r="E135" s="51"/>
      <c r="F135" s="51"/>
      <c r="G135" s="51"/>
      <c r="H135" s="51"/>
      <c r="I135" s="51"/>
      <c r="J135" s="51"/>
      <c r="K135" s="51"/>
      <c r="L135" s="51"/>
    </row>
    <row r="136" spans="1:12" ht="15.75" customHeight="1">
      <c r="A136" s="51"/>
      <c r="B136" s="51"/>
      <c r="C136" s="51"/>
      <c r="D136" s="51"/>
      <c r="E136" s="51"/>
      <c r="F136" s="51"/>
      <c r="G136" s="51"/>
      <c r="H136" s="51"/>
      <c r="I136" s="51"/>
      <c r="J136" s="51"/>
      <c r="K136" s="51"/>
      <c r="L136" s="51"/>
    </row>
    <row r="137" spans="1:12" ht="15.75" customHeight="1">
      <c r="A137" s="51"/>
      <c r="B137" s="39" t="s">
        <v>623</v>
      </c>
      <c r="C137" s="51"/>
      <c r="D137" s="51"/>
      <c r="E137" s="51"/>
      <c r="F137" s="51"/>
      <c r="G137" s="51"/>
      <c r="H137" s="51"/>
      <c r="I137" s="51"/>
      <c r="J137" s="51"/>
      <c r="K137" s="51"/>
      <c r="L137" s="51"/>
    </row>
    <row r="138" spans="1:12" ht="15.75" customHeight="1">
      <c r="A138" s="51"/>
      <c r="B138" s="39" t="s">
        <v>624</v>
      </c>
      <c r="C138" s="51"/>
      <c r="D138" s="51"/>
      <c r="E138" s="51"/>
      <c r="F138" s="51"/>
      <c r="G138" s="51"/>
      <c r="H138" s="51"/>
      <c r="I138" s="51"/>
      <c r="J138" s="51"/>
      <c r="K138" s="51"/>
      <c r="L138" s="51"/>
    </row>
    <row r="139" spans="1:12" ht="15.75" customHeight="1">
      <c r="A139" s="51"/>
      <c r="B139" s="39" t="s">
        <v>625</v>
      </c>
      <c r="C139" s="51"/>
      <c r="D139" s="51"/>
      <c r="E139" s="51"/>
      <c r="F139" s="51"/>
      <c r="G139" s="51"/>
      <c r="H139" s="51"/>
      <c r="I139" s="51"/>
      <c r="J139" s="51"/>
      <c r="K139" s="51"/>
      <c r="L139" s="51"/>
    </row>
    <row r="140" spans="1:12" ht="15.75" customHeight="1">
      <c r="A140" s="51"/>
      <c r="B140" s="39" t="s">
        <v>626</v>
      </c>
      <c r="C140" s="51"/>
      <c r="D140" s="51"/>
      <c r="E140" s="51"/>
      <c r="F140" s="51"/>
      <c r="G140" s="51"/>
      <c r="H140" s="51"/>
      <c r="I140" s="51"/>
      <c r="J140" s="51"/>
      <c r="K140" s="51"/>
      <c r="L140" s="51"/>
    </row>
    <row r="141" spans="1:12" ht="15.75" customHeight="1">
      <c r="A141" s="51"/>
      <c r="B141" s="51"/>
      <c r="C141" s="51"/>
      <c r="D141" s="51"/>
      <c r="E141" s="51"/>
      <c r="F141" s="51"/>
      <c r="G141" s="51"/>
      <c r="H141" s="51"/>
      <c r="I141" s="51"/>
      <c r="J141" s="51"/>
      <c r="K141" s="51"/>
      <c r="L141" s="51"/>
    </row>
    <row r="142" spans="1:12" ht="15.75" customHeight="1">
      <c r="A142" s="51"/>
      <c r="B142" s="39" t="s">
        <v>627</v>
      </c>
      <c r="C142" s="51"/>
      <c r="D142" s="51"/>
      <c r="E142" s="51"/>
      <c r="F142" s="51"/>
      <c r="G142" s="51"/>
      <c r="H142" s="51"/>
      <c r="I142" s="51"/>
      <c r="J142" s="51"/>
      <c r="K142" s="51"/>
      <c r="L142" s="51"/>
    </row>
    <row r="143" spans="1:12" ht="15.75" customHeight="1">
      <c r="A143" s="51"/>
      <c r="B143" s="39" t="s">
        <v>628</v>
      </c>
      <c r="C143" s="51"/>
      <c r="D143" s="51"/>
      <c r="E143" s="51"/>
      <c r="F143" s="51"/>
      <c r="G143" s="51"/>
      <c r="H143" s="51"/>
      <c r="I143" s="51"/>
      <c r="J143" s="51"/>
      <c r="K143" s="51"/>
      <c r="L143" s="51"/>
    </row>
    <row r="144" spans="1:12" ht="15.75" customHeight="1">
      <c r="A144" s="51"/>
      <c r="B144" s="39" t="s">
        <v>629</v>
      </c>
      <c r="C144" s="51"/>
      <c r="D144" s="51"/>
      <c r="E144" s="51"/>
      <c r="F144" s="51"/>
      <c r="G144" s="51"/>
      <c r="H144" s="51"/>
      <c r="I144" s="51"/>
      <c r="J144" s="51"/>
      <c r="K144" s="51"/>
      <c r="L144" s="51"/>
    </row>
    <row r="145" spans="1:12" ht="15.75" customHeight="1">
      <c r="A145" s="51"/>
      <c r="B145" s="39" t="s">
        <v>630</v>
      </c>
      <c r="C145" s="51"/>
      <c r="D145" s="51"/>
      <c r="E145" s="51"/>
      <c r="F145" s="51"/>
      <c r="G145" s="51"/>
      <c r="H145" s="51"/>
      <c r="I145" s="51"/>
      <c r="J145" s="51"/>
      <c r="K145" s="51"/>
      <c r="L145" s="51"/>
    </row>
    <row r="146" spans="1:12" ht="15.75" customHeight="1">
      <c r="A146" s="51"/>
      <c r="B146" s="51"/>
      <c r="C146" s="51"/>
      <c r="D146" s="51"/>
      <c r="E146" s="51"/>
      <c r="F146" s="51"/>
      <c r="G146" s="51"/>
      <c r="H146" s="51"/>
      <c r="I146" s="51"/>
      <c r="J146" s="51"/>
      <c r="K146" s="51"/>
      <c r="L146" s="51"/>
    </row>
    <row r="147" spans="1:12" ht="15.75" customHeight="1">
      <c r="A147" s="51"/>
      <c r="B147" s="39" t="s">
        <v>631</v>
      </c>
      <c r="C147" s="51"/>
      <c r="D147" s="51"/>
      <c r="E147" s="51"/>
      <c r="F147" s="51"/>
      <c r="G147" s="51"/>
      <c r="H147" s="51"/>
      <c r="I147" s="51"/>
      <c r="J147" s="51"/>
      <c r="K147" s="51"/>
      <c r="L147" s="51"/>
    </row>
    <row r="148" spans="1:12" ht="15.75" customHeight="1">
      <c r="A148" s="51"/>
      <c r="B148" s="39" t="s">
        <v>632</v>
      </c>
      <c r="C148" s="51"/>
      <c r="D148" s="51"/>
      <c r="E148" s="51"/>
      <c r="F148" s="51"/>
      <c r="G148" s="51"/>
      <c r="H148" s="51"/>
      <c r="I148" s="51"/>
      <c r="J148" s="51"/>
      <c r="K148" s="51"/>
      <c r="L148" s="51"/>
    </row>
    <row r="149" spans="1:12" ht="15.75" customHeight="1">
      <c r="A149" s="51"/>
      <c r="B149" s="39" t="s">
        <v>633</v>
      </c>
      <c r="C149" s="51"/>
      <c r="D149" s="51"/>
      <c r="E149" s="51"/>
      <c r="F149" s="51"/>
      <c r="G149" s="51"/>
      <c r="H149" s="51"/>
      <c r="I149" s="51"/>
      <c r="J149" s="51"/>
      <c r="K149" s="51"/>
      <c r="L149" s="51"/>
    </row>
    <row r="150" spans="1:12" ht="15.75" customHeight="1">
      <c r="A150" s="51"/>
      <c r="B150" s="39" t="s">
        <v>634</v>
      </c>
      <c r="C150" s="51"/>
      <c r="D150" s="51"/>
      <c r="E150" s="51"/>
      <c r="F150" s="51"/>
      <c r="G150" s="51"/>
      <c r="H150" s="51"/>
      <c r="I150" s="51"/>
      <c r="J150" s="51"/>
      <c r="K150" s="51"/>
      <c r="L150" s="51"/>
    </row>
    <row r="151" spans="1:12" ht="15.75" customHeight="1">
      <c r="A151" s="51"/>
      <c r="B151" s="39" t="s">
        <v>635</v>
      </c>
      <c r="C151" s="51"/>
      <c r="D151" s="51"/>
      <c r="E151" s="51"/>
      <c r="F151" s="51"/>
      <c r="G151" s="51"/>
      <c r="H151" s="51"/>
      <c r="I151" s="51"/>
      <c r="J151" s="51"/>
      <c r="K151" s="51"/>
      <c r="L151" s="51"/>
    </row>
    <row r="152" spans="1:12" ht="15.75" customHeight="1">
      <c r="A152" s="51"/>
      <c r="B152" s="39" t="s">
        <v>636</v>
      </c>
      <c r="C152" s="51"/>
      <c r="D152" s="51"/>
      <c r="E152" s="51"/>
      <c r="F152" s="51"/>
      <c r="G152" s="51"/>
      <c r="H152" s="51"/>
      <c r="I152" s="51"/>
      <c r="J152" s="51"/>
      <c r="K152" s="51"/>
      <c r="L152" s="51"/>
    </row>
    <row r="153" spans="1:12" ht="15.75" customHeight="1">
      <c r="A153" s="51"/>
      <c r="B153" s="51"/>
      <c r="C153" s="51"/>
      <c r="D153" s="51"/>
      <c r="E153" s="51"/>
      <c r="F153" s="51"/>
      <c r="G153" s="51"/>
      <c r="H153" s="51"/>
      <c r="I153" s="51"/>
      <c r="J153" s="51"/>
      <c r="K153" s="51"/>
      <c r="L153" s="51"/>
    </row>
    <row r="154" spans="1:12" ht="15.75" customHeight="1">
      <c r="A154" s="51"/>
      <c r="B154" s="39" t="s">
        <v>637</v>
      </c>
      <c r="C154" s="51"/>
      <c r="D154" s="51"/>
      <c r="E154" s="51"/>
      <c r="F154" s="51"/>
      <c r="G154" s="51"/>
      <c r="H154" s="51"/>
      <c r="I154" s="51"/>
      <c r="J154" s="51"/>
      <c r="K154" s="51"/>
      <c r="L154" s="51"/>
    </row>
    <row r="155" spans="1:12" ht="15.75" customHeight="1">
      <c r="A155" s="51"/>
      <c r="B155" s="39" t="s">
        <v>638</v>
      </c>
      <c r="C155" s="51"/>
      <c r="D155" s="51"/>
      <c r="E155" s="51"/>
      <c r="F155" s="51"/>
      <c r="G155" s="51"/>
      <c r="H155" s="51"/>
      <c r="I155" s="51"/>
      <c r="J155" s="51"/>
      <c r="K155" s="51"/>
      <c r="L155" s="51"/>
    </row>
    <row r="156" spans="1:12" ht="15.75" customHeight="1">
      <c r="A156" s="51"/>
      <c r="B156" s="39" t="s">
        <v>639</v>
      </c>
      <c r="C156" s="51"/>
      <c r="D156" s="51"/>
      <c r="E156" s="51"/>
      <c r="F156" s="51"/>
      <c r="G156" s="51"/>
      <c r="H156" s="51"/>
      <c r="I156" s="51"/>
      <c r="J156" s="51"/>
      <c r="K156" s="51"/>
      <c r="L156" s="51"/>
    </row>
    <row r="157" spans="1:12" ht="15.75" customHeight="1">
      <c r="A157" s="51"/>
      <c r="B157" s="39" t="s">
        <v>640</v>
      </c>
      <c r="C157" s="51"/>
      <c r="D157" s="51"/>
      <c r="E157" s="51"/>
      <c r="F157" s="51"/>
      <c r="G157" s="51"/>
      <c r="H157" s="51"/>
      <c r="I157" s="51"/>
      <c r="J157" s="51"/>
      <c r="K157" s="51"/>
      <c r="L157" s="51"/>
    </row>
    <row r="158" spans="1:12" ht="15.75" customHeight="1">
      <c r="A158" s="51"/>
      <c r="B158" s="39" t="s">
        <v>641</v>
      </c>
      <c r="C158" s="51"/>
      <c r="D158" s="51"/>
      <c r="E158" s="51"/>
      <c r="F158" s="51"/>
      <c r="G158" s="51"/>
      <c r="H158" s="51"/>
      <c r="I158" s="51"/>
      <c r="J158" s="51"/>
      <c r="K158" s="51"/>
      <c r="L158" s="51"/>
    </row>
    <row r="159" spans="1:12" ht="15.75" customHeight="1">
      <c r="A159" s="51"/>
      <c r="B159" s="39" t="s">
        <v>642</v>
      </c>
      <c r="C159" s="51"/>
      <c r="D159" s="51"/>
      <c r="E159" s="51"/>
      <c r="F159" s="51"/>
      <c r="G159" s="51"/>
      <c r="H159" s="51"/>
      <c r="I159" s="51"/>
      <c r="J159" s="51"/>
      <c r="K159" s="51"/>
      <c r="L159" s="51"/>
    </row>
    <row r="160" spans="1:12" ht="15.75" customHeight="1">
      <c r="A160" s="51"/>
      <c r="B160" s="51"/>
      <c r="C160" s="51"/>
      <c r="D160" s="51"/>
      <c r="E160" s="51"/>
      <c r="F160" s="51"/>
      <c r="G160" s="51"/>
      <c r="H160" s="51"/>
      <c r="I160" s="51"/>
      <c r="J160" s="51"/>
      <c r="K160" s="51"/>
      <c r="L160" s="51"/>
    </row>
    <row r="161" spans="1:12" ht="15.75" customHeight="1">
      <c r="A161" s="51"/>
      <c r="B161" s="39" t="s">
        <v>643</v>
      </c>
      <c r="C161" s="51"/>
      <c r="D161" s="51"/>
      <c r="E161" s="51"/>
      <c r="F161" s="51"/>
      <c r="G161" s="51"/>
      <c r="H161" s="51"/>
      <c r="I161" s="51"/>
      <c r="J161" s="51"/>
      <c r="K161" s="51"/>
      <c r="L161" s="51"/>
    </row>
    <row r="162" spans="1:12" ht="15.75" customHeight="1">
      <c r="A162" s="51"/>
      <c r="B162" s="39" t="s">
        <v>644</v>
      </c>
      <c r="C162" s="51"/>
      <c r="D162" s="51"/>
      <c r="E162" s="51"/>
      <c r="F162" s="51"/>
      <c r="G162" s="51"/>
      <c r="H162" s="51"/>
      <c r="I162" s="51"/>
      <c r="J162" s="51"/>
      <c r="K162" s="51"/>
      <c r="L162" s="51"/>
    </row>
    <row r="163" spans="1:12" ht="15.75" customHeight="1">
      <c r="A163" s="51"/>
      <c r="B163" s="39" t="s">
        <v>645</v>
      </c>
      <c r="C163" s="51"/>
      <c r="D163" s="51"/>
      <c r="E163" s="51"/>
      <c r="F163" s="51"/>
      <c r="G163" s="51"/>
      <c r="H163" s="51"/>
      <c r="I163" s="51"/>
      <c r="J163" s="51"/>
      <c r="K163" s="51"/>
      <c r="L163" s="51"/>
    </row>
    <row r="164" spans="1:12" ht="15.75" customHeight="1">
      <c r="A164" s="51"/>
      <c r="B164" s="51"/>
      <c r="C164" s="51"/>
      <c r="D164" s="51"/>
      <c r="E164" s="51"/>
      <c r="F164" s="51"/>
      <c r="G164" s="51"/>
      <c r="H164" s="51"/>
      <c r="I164" s="51"/>
      <c r="J164" s="51"/>
      <c r="K164" s="51"/>
      <c r="L164" s="51"/>
    </row>
    <row r="165" spans="1:12" ht="15.75" customHeight="1">
      <c r="A165" s="51"/>
      <c r="B165" s="39" t="s">
        <v>646</v>
      </c>
      <c r="C165" s="51"/>
      <c r="D165" s="51"/>
      <c r="E165" s="51"/>
      <c r="F165" s="51"/>
      <c r="G165" s="51"/>
      <c r="H165" s="51"/>
      <c r="I165" s="51"/>
      <c r="J165" s="51"/>
      <c r="K165" s="51"/>
      <c r="L165" s="51"/>
    </row>
    <row r="166" spans="1:12" ht="15.75" customHeight="1">
      <c r="A166" s="51"/>
      <c r="B166" s="39" t="s">
        <v>647</v>
      </c>
      <c r="C166" s="51"/>
      <c r="D166" s="51"/>
      <c r="E166" s="51"/>
      <c r="F166" s="51"/>
      <c r="G166" s="51"/>
      <c r="H166" s="51"/>
      <c r="I166" s="51"/>
      <c r="J166" s="51"/>
      <c r="K166" s="51"/>
      <c r="L166" s="51"/>
    </row>
    <row r="167" spans="1:12" ht="15.75" customHeight="1">
      <c r="A167" s="51"/>
      <c r="B167" s="39" t="s">
        <v>648</v>
      </c>
      <c r="C167" s="51"/>
      <c r="D167" s="51"/>
      <c r="E167" s="51"/>
      <c r="F167" s="51"/>
      <c r="G167" s="51"/>
      <c r="H167" s="51"/>
      <c r="I167" s="51"/>
      <c r="J167" s="51"/>
      <c r="K167" s="51"/>
      <c r="L167" s="51"/>
    </row>
    <row r="168" spans="1:12" ht="15.75" customHeight="1">
      <c r="A168" s="51"/>
      <c r="B168" s="39" t="s">
        <v>649</v>
      </c>
      <c r="C168" s="51"/>
      <c r="D168" s="51"/>
      <c r="E168" s="51"/>
      <c r="F168" s="51"/>
      <c r="G168" s="51"/>
      <c r="H168" s="51"/>
      <c r="I168" s="51"/>
      <c r="J168" s="51"/>
      <c r="K168" s="51"/>
      <c r="L168" s="51"/>
    </row>
    <row r="169" spans="1:12" ht="15.75" customHeight="1">
      <c r="A169" s="51"/>
      <c r="B169" s="51"/>
      <c r="C169" s="51"/>
      <c r="D169" s="51"/>
      <c r="E169" s="51"/>
      <c r="F169" s="51"/>
      <c r="G169" s="51"/>
      <c r="H169" s="51"/>
      <c r="I169" s="51"/>
      <c r="J169" s="51"/>
      <c r="K169" s="51"/>
      <c r="L169" s="51"/>
    </row>
    <row r="170" spans="1:12" ht="15.75" customHeight="1">
      <c r="A170" s="51"/>
      <c r="B170" s="39" t="s">
        <v>650</v>
      </c>
      <c r="C170" s="51"/>
      <c r="D170" s="51"/>
      <c r="E170" s="51"/>
      <c r="F170" s="51"/>
      <c r="G170" s="51"/>
      <c r="H170" s="51"/>
      <c r="I170" s="51"/>
      <c r="J170" s="51"/>
      <c r="K170" s="51"/>
      <c r="L170" s="51"/>
    </row>
    <row r="171" spans="1:12" ht="15.75" customHeight="1">
      <c r="A171" s="51"/>
      <c r="B171" s="39" t="s">
        <v>651</v>
      </c>
      <c r="C171" s="51"/>
      <c r="D171" s="51"/>
      <c r="E171" s="51"/>
      <c r="F171" s="51"/>
      <c r="G171" s="51"/>
      <c r="H171" s="51"/>
      <c r="I171" s="51"/>
      <c r="J171" s="51"/>
      <c r="K171" s="51"/>
      <c r="L171" s="51"/>
    </row>
    <row r="172" spans="1:12" ht="15.75" customHeight="1">
      <c r="A172" s="51"/>
      <c r="B172" s="51"/>
      <c r="C172" s="51"/>
      <c r="D172" s="51"/>
      <c r="E172" s="51"/>
      <c r="F172" s="51"/>
      <c r="G172" s="51"/>
      <c r="H172" s="51"/>
      <c r="I172" s="51"/>
      <c r="J172" s="51"/>
      <c r="K172" s="51"/>
      <c r="L172" s="51"/>
    </row>
    <row r="173" spans="1:12" ht="15.75" customHeight="1">
      <c r="A173" s="51"/>
      <c r="B173" s="39" t="s">
        <v>652</v>
      </c>
      <c r="C173" s="51"/>
      <c r="D173" s="51"/>
      <c r="E173" s="51"/>
      <c r="F173" s="51"/>
      <c r="G173" s="51"/>
      <c r="H173" s="51"/>
      <c r="I173" s="51"/>
      <c r="J173" s="51"/>
      <c r="K173" s="51"/>
      <c r="L173" s="51"/>
    </row>
    <row r="174" spans="1:12" ht="15.75" customHeight="1">
      <c r="A174" s="51"/>
      <c r="B174" s="39" t="s">
        <v>653</v>
      </c>
      <c r="C174" s="51"/>
      <c r="D174" s="51"/>
      <c r="E174" s="51"/>
      <c r="F174" s="51"/>
      <c r="G174" s="51"/>
      <c r="H174" s="51"/>
      <c r="I174" s="51"/>
      <c r="J174" s="51"/>
      <c r="K174" s="51"/>
      <c r="L174" s="51"/>
    </row>
    <row r="175" spans="1:12" ht="15.75" customHeight="1">
      <c r="A175" s="51"/>
      <c r="B175" s="39" t="s">
        <v>654</v>
      </c>
      <c r="C175" s="51"/>
      <c r="D175" s="51"/>
      <c r="E175" s="51"/>
      <c r="F175" s="51"/>
      <c r="G175" s="51"/>
      <c r="H175" s="51"/>
      <c r="I175" s="51"/>
      <c r="J175" s="51"/>
      <c r="K175" s="51"/>
      <c r="L175" s="51"/>
    </row>
    <row r="176" spans="1:12" ht="15.75" customHeight="1">
      <c r="A176" s="51"/>
      <c r="B176" s="39" t="s">
        <v>655</v>
      </c>
      <c r="C176" s="51"/>
      <c r="D176" s="51"/>
      <c r="E176" s="51"/>
      <c r="F176" s="51"/>
      <c r="G176" s="51"/>
      <c r="H176" s="51"/>
      <c r="I176" s="51"/>
      <c r="J176" s="51"/>
      <c r="K176" s="51"/>
      <c r="L176" s="51"/>
    </row>
    <row r="177" spans="1:12" ht="15.75" customHeight="1">
      <c r="A177" s="51"/>
      <c r="B177" s="39" t="s">
        <v>656</v>
      </c>
      <c r="C177" s="51"/>
      <c r="D177" s="51"/>
      <c r="E177" s="51"/>
      <c r="F177" s="51"/>
      <c r="G177" s="51"/>
      <c r="H177" s="51"/>
      <c r="I177" s="51"/>
      <c r="J177" s="51"/>
      <c r="K177" s="51"/>
      <c r="L177" s="51"/>
    </row>
    <row r="178" spans="1:12" ht="15.75" customHeight="1">
      <c r="A178" s="51"/>
      <c r="B178" s="39" t="s">
        <v>657</v>
      </c>
      <c r="C178" s="51"/>
      <c r="D178" s="51"/>
      <c r="E178" s="51"/>
      <c r="F178" s="51"/>
      <c r="G178" s="51"/>
      <c r="H178" s="51"/>
      <c r="I178" s="51"/>
      <c r="J178" s="51"/>
      <c r="K178" s="51"/>
      <c r="L178" s="51"/>
    </row>
    <row r="179" spans="1:12" ht="15.75" customHeight="1">
      <c r="A179" s="51"/>
      <c r="B179" s="39" t="s">
        <v>658</v>
      </c>
      <c r="C179" s="51"/>
      <c r="D179" s="51"/>
      <c r="E179" s="51"/>
      <c r="F179" s="51"/>
      <c r="G179" s="51"/>
      <c r="H179" s="51"/>
      <c r="I179" s="51"/>
      <c r="J179" s="51"/>
      <c r="K179" s="51"/>
      <c r="L179" s="51"/>
    </row>
    <row r="180" spans="1:12" ht="15.75" customHeight="1">
      <c r="A180" s="51"/>
      <c r="B180" s="39" t="s">
        <v>659</v>
      </c>
      <c r="C180" s="51"/>
      <c r="D180" s="51"/>
      <c r="E180" s="51"/>
      <c r="F180" s="51"/>
      <c r="G180" s="51"/>
      <c r="H180" s="51"/>
      <c r="I180" s="51"/>
      <c r="J180" s="51"/>
      <c r="K180" s="51"/>
      <c r="L180" s="51"/>
    </row>
    <row r="181" spans="1:12" ht="15.75" customHeight="1">
      <c r="A181" s="51"/>
      <c r="B181" s="51"/>
      <c r="C181" s="51"/>
      <c r="D181" s="51"/>
      <c r="E181" s="51"/>
      <c r="F181" s="51"/>
      <c r="G181" s="51"/>
      <c r="H181" s="51"/>
      <c r="I181" s="51"/>
      <c r="J181" s="51"/>
      <c r="K181" s="51"/>
      <c r="L181" s="51"/>
    </row>
    <row r="182" spans="1:12" ht="15.75" customHeight="1">
      <c r="A182" s="51"/>
      <c r="B182" s="39" t="s">
        <v>660</v>
      </c>
      <c r="C182" s="51"/>
      <c r="D182" s="51"/>
      <c r="E182" s="51"/>
      <c r="F182" s="51"/>
      <c r="G182" s="51"/>
      <c r="H182" s="51"/>
      <c r="I182" s="51"/>
      <c r="J182" s="51"/>
      <c r="K182" s="51"/>
      <c r="L182" s="51"/>
    </row>
    <row r="183" spans="1:12" ht="15.75" customHeight="1">
      <c r="A183" s="51"/>
      <c r="B183" s="39" t="s">
        <v>661</v>
      </c>
      <c r="C183" s="51"/>
      <c r="D183" s="51"/>
      <c r="E183" s="51"/>
      <c r="F183" s="51"/>
      <c r="G183" s="51"/>
      <c r="H183" s="51"/>
      <c r="I183" s="51"/>
      <c r="J183" s="51"/>
      <c r="K183" s="51"/>
      <c r="L183" s="51"/>
    </row>
    <row r="184" spans="1:12" ht="15.75" customHeight="1">
      <c r="A184" s="51"/>
      <c r="B184" s="39" t="s">
        <v>662</v>
      </c>
      <c r="C184" s="51"/>
      <c r="D184" s="51"/>
      <c r="E184" s="51"/>
      <c r="F184" s="51"/>
      <c r="G184" s="51"/>
      <c r="H184" s="51"/>
      <c r="I184" s="51"/>
      <c r="J184" s="51"/>
      <c r="K184" s="51"/>
      <c r="L184" s="51"/>
    </row>
    <row r="185" spans="1:12" ht="15.75" customHeight="1">
      <c r="A185" s="51"/>
      <c r="B185" s="39" t="s">
        <v>663</v>
      </c>
      <c r="C185" s="51"/>
      <c r="D185" s="51"/>
      <c r="E185" s="51"/>
      <c r="F185" s="51"/>
      <c r="G185" s="51"/>
      <c r="H185" s="51"/>
      <c r="I185" s="51"/>
      <c r="J185" s="51"/>
      <c r="K185" s="51"/>
      <c r="L185" s="51"/>
    </row>
    <row r="186" spans="1:12" ht="15.75" customHeight="1">
      <c r="A186" s="51"/>
      <c r="B186" s="39" t="s">
        <v>664</v>
      </c>
      <c r="C186" s="51"/>
      <c r="D186" s="51"/>
      <c r="E186" s="51"/>
      <c r="F186" s="51"/>
      <c r="G186" s="51"/>
      <c r="H186" s="51"/>
      <c r="I186" s="51"/>
      <c r="J186" s="51"/>
      <c r="K186" s="51"/>
      <c r="L186" s="51"/>
    </row>
    <row r="187" spans="1:12" ht="15.75" customHeight="1">
      <c r="A187" s="51"/>
      <c r="B187" s="39" t="s">
        <v>665</v>
      </c>
      <c r="C187" s="51"/>
      <c r="D187" s="51"/>
      <c r="E187" s="51"/>
      <c r="F187" s="51"/>
      <c r="G187" s="51"/>
      <c r="H187" s="51"/>
      <c r="I187" s="51"/>
      <c r="J187" s="51"/>
      <c r="K187" s="51"/>
      <c r="L187" s="51"/>
    </row>
    <row r="188" spans="1:12" ht="15.75" customHeight="1">
      <c r="A188" s="51"/>
      <c r="B188" s="39" t="s">
        <v>666</v>
      </c>
      <c r="C188" s="51"/>
      <c r="D188" s="51"/>
      <c r="E188" s="51"/>
      <c r="F188" s="51"/>
      <c r="G188" s="51"/>
      <c r="H188" s="51"/>
      <c r="I188" s="51"/>
      <c r="J188" s="51"/>
      <c r="K188" s="51"/>
      <c r="L188" s="51"/>
    </row>
    <row r="189" spans="1:12" ht="15.75" customHeight="1">
      <c r="A189" s="51"/>
      <c r="B189" s="51"/>
      <c r="C189" s="51"/>
      <c r="D189" s="51"/>
      <c r="E189" s="51"/>
      <c r="F189" s="51"/>
      <c r="G189" s="51"/>
      <c r="H189" s="51"/>
      <c r="I189" s="51"/>
      <c r="J189" s="51"/>
      <c r="K189" s="51"/>
      <c r="L189" s="51"/>
    </row>
    <row r="190" spans="1:12" ht="15.75" customHeight="1">
      <c r="A190" s="51"/>
      <c r="B190" s="39" t="s">
        <v>667</v>
      </c>
      <c r="C190" s="51"/>
      <c r="D190" s="51"/>
      <c r="E190" s="51"/>
      <c r="F190" s="51"/>
      <c r="G190" s="51"/>
      <c r="H190" s="51"/>
      <c r="I190" s="51"/>
      <c r="J190" s="51"/>
      <c r="K190" s="51"/>
      <c r="L190" s="51"/>
    </row>
    <row r="191" spans="1:12" ht="15.75" customHeight="1">
      <c r="A191" s="51"/>
      <c r="B191" s="51"/>
      <c r="C191" s="51"/>
      <c r="D191" s="51"/>
      <c r="E191" s="51"/>
      <c r="F191" s="51"/>
      <c r="G191" s="51"/>
      <c r="H191" s="51"/>
      <c r="I191" s="51"/>
      <c r="J191" s="51"/>
      <c r="K191" s="51"/>
      <c r="L191" s="51"/>
    </row>
    <row r="192" spans="1:12" ht="15.75" customHeight="1">
      <c r="A192" s="51"/>
      <c r="B192" s="39" t="s">
        <v>668</v>
      </c>
      <c r="C192" s="51"/>
      <c r="D192" s="51"/>
      <c r="E192" s="51"/>
      <c r="F192" s="51"/>
      <c r="G192" s="51"/>
      <c r="H192" s="51"/>
      <c r="I192" s="51"/>
      <c r="J192" s="51"/>
      <c r="K192" s="51"/>
      <c r="L192" s="51"/>
    </row>
    <row r="193" spans="1:12" ht="15.75" customHeight="1">
      <c r="A193" s="51"/>
      <c r="B193" s="51"/>
      <c r="C193" s="51"/>
      <c r="D193" s="51"/>
      <c r="E193" s="51"/>
      <c r="F193" s="51"/>
      <c r="G193" s="51"/>
      <c r="H193" s="51"/>
      <c r="I193" s="51"/>
      <c r="J193" s="51"/>
      <c r="K193" s="51"/>
      <c r="L193" s="51"/>
    </row>
    <row r="194" spans="1:12" ht="15.75" customHeight="1">
      <c r="A194" s="51"/>
      <c r="B194" s="39" t="s">
        <v>669</v>
      </c>
      <c r="C194" s="51"/>
      <c r="D194" s="51"/>
      <c r="E194" s="51"/>
      <c r="F194" s="51"/>
      <c r="G194" s="51"/>
      <c r="H194" s="51"/>
      <c r="I194" s="51"/>
      <c r="J194" s="51"/>
      <c r="K194" s="51"/>
      <c r="L194" s="51"/>
    </row>
    <row r="195" spans="1:12" ht="15.75" customHeight="1">
      <c r="A195" s="51"/>
      <c r="B195" s="51"/>
      <c r="C195" s="51"/>
      <c r="D195" s="51"/>
      <c r="E195" s="51"/>
      <c r="F195" s="51"/>
      <c r="G195" s="51"/>
      <c r="H195" s="51"/>
      <c r="I195" s="51"/>
      <c r="J195" s="51"/>
      <c r="K195" s="51"/>
      <c r="L195" s="51"/>
    </row>
    <row r="196" spans="1:12" ht="15.75" customHeight="1">
      <c r="A196" s="51"/>
      <c r="B196" s="39" t="s">
        <v>670</v>
      </c>
      <c r="C196" s="51"/>
      <c r="D196" s="51"/>
      <c r="E196" s="51"/>
      <c r="F196" s="51"/>
      <c r="G196" s="51"/>
      <c r="H196" s="51"/>
      <c r="I196" s="51"/>
      <c r="J196" s="51"/>
      <c r="K196" s="51"/>
      <c r="L196" s="51"/>
    </row>
    <row r="197" spans="1:12" ht="15.75" customHeight="1">
      <c r="A197" s="51"/>
      <c r="B197" s="39" t="s">
        <v>671</v>
      </c>
      <c r="C197" s="51"/>
      <c r="D197" s="51"/>
      <c r="E197" s="51"/>
      <c r="F197" s="51"/>
      <c r="G197" s="51"/>
      <c r="H197" s="51"/>
      <c r="I197" s="51"/>
      <c r="J197" s="51"/>
      <c r="K197" s="51"/>
      <c r="L197" s="51"/>
    </row>
    <row r="198" spans="1:12" ht="15.75" customHeight="1">
      <c r="A198" s="51"/>
      <c r="B198" s="39" t="s">
        <v>672</v>
      </c>
      <c r="C198" s="51"/>
      <c r="D198" s="51"/>
      <c r="E198" s="51"/>
      <c r="F198" s="51"/>
      <c r="G198" s="51"/>
      <c r="H198" s="51"/>
      <c r="I198" s="51"/>
      <c r="J198" s="51"/>
      <c r="K198" s="51"/>
      <c r="L198" s="51"/>
    </row>
    <row r="199" spans="1:12" ht="15.75" customHeight="1">
      <c r="A199" s="51"/>
      <c r="B199" s="51"/>
      <c r="C199" s="51"/>
      <c r="D199" s="51"/>
      <c r="E199" s="51"/>
      <c r="F199" s="51"/>
      <c r="G199" s="51"/>
      <c r="H199" s="51"/>
      <c r="I199" s="51"/>
      <c r="J199" s="51"/>
      <c r="K199" s="51"/>
      <c r="L199" s="51"/>
    </row>
    <row r="200" spans="1:12" ht="15.75" customHeight="1">
      <c r="A200" s="51"/>
      <c r="B200" s="80" t="s">
        <v>673</v>
      </c>
      <c r="C200" s="51"/>
      <c r="D200" s="51"/>
      <c r="E200" s="51"/>
      <c r="F200" s="51"/>
      <c r="G200" s="51"/>
      <c r="H200" s="51"/>
      <c r="I200" s="51"/>
      <c r="J200" s="51"/>
      <c r="K200" s="51"/>
      <c r="L200" s="51"/>
    </row>
    <row r="201" spans="1:12" ht="15.75" customHeight="1">
      <c r="A201" s="51"/>
      <c r="B201" s="84"/>
      <c r="C201" s="84"/>
      <c r="D201" s="84"/>
      <c r="E201" s="84"/>
      <c r="F201" s="84"/>
      <c r="G201" s="84"/>
      <c r="H201" s="84"/>
      <c r="I201" s="84"/>
      <c r="J201" s="84"/>
      <c r="K201" s="84"/>
      <c r="L201" s="51"/>
    </row>
    <row r="202" spans="1:12" ht="15.75" customHeight="1">
      <c r="A202" s="85"/>
      <c r="B202" s="80" t="s">
        <v>21</v>
      </c>
      <c r="C202" s="51"/>
      <c r="D202" s="86" t="s">
        <v>674</v>
      </c>
      <c r="E202" s="80" t="s">
        <v>675</v>
      </c>
      <c r="F202" s="85"/>
      <c r="G202" s="80" t="str">
        <f>Calc!C4</f>
        <v>Bricks</v>
      </c>
      <c r="H202" s="51"/>
      <c r="I202" s="86" t="s">
        <v>674</v>
      </c>
      <c r="J202" s="80" t="s">
        <v>676</v>
      </c>
      <c r="K202" s="85"/>
      <c r="L202" s="51"/>
    </row>
    <row r="203" spans="1:12" ht="15.75" customHeight="1">
      <c r="A203" s="85"/>
      <c r="B203" s="80" t="s">
        <v>22</v>
      </c>
      <c r="C203" s="51"/>
      <c r="D203" s="86" t="s">
        <v>674</v>
      </c>
      <c r="E203" s="80" t="s">
        <v>677</v>
      </c>
      <c r="F203" s="85"/>
      <c r="G203" s="80" t="str">
        <f>Calc!C5</f>
        <v>Concrete</v>
      </c>
      <c r="H203" s="51"/>
      <c r="I203" s="86" t="s">
        <v>674</v>
      </c>
      <c r="J203" s="80" t="s">
        <v>678</v>
      </c>
      <c r="K203" s="85"/>
      <c r="L203" s="51"/>
    </row>
    <row r="204" spans="1:12" ht="15.75" customHeight="1">
      <c r="A204" s="85"/>
      <c r="B204" s="80" t="s">
        <v>23</v>
      </c>
      <c r="C204" s="51"/>
      <c r="D204" s="86" t="s">
        <v>674</v>
      </c>
      <c r="E204" s="80" t="s">
        <v>679</v>
      </c>
      <c r="F204" s="85"/>
      <c r="G204" s="80" t="str">
        <f>Calc!C6</f>
        <v>Fertilizer</v>
      </c>
      <c r="H204" s="51"/>
      <c r="I204" s="86" t="s">
        <v>674</v>
      </c>
      <c r="J204" s="80" t="s">
        <v>680</v>
      </c>
      <c r="K204" s="85"/>
      <c r="L204" s="51"/>
    </row>
    <row r="205" spans="1:12" ht="15.75" customHeight="1">
      <c r="A205" s="85"/>
      <c r="B205" s="80" t="s">
        <v>24</v>
      </c>
      <c r="C205" s="51"/>
      <c r="D205" s="86" t="s">
        <v>674</v>
      </c>
      <c r="E205" s="80" t="s">
        <v>681</v>
      </c>
      <c r="F205" s="85"/>
      <c r="G205" s="80" t="str">
        <f>Calc!C7</f>
        <v>Steel</v>
      </c>
      <c r="H205" s="51"/>
      <c r="I205" s="86" t="s">
        <v>674</v>
      </c>
      <c r="J205" s="80" t="s">
        <v>682</v>
      </c>
      <c r="K205" s="85"/>
      <c r="L205" s="51"/>
    </row>
    <row r="206" spans="1:12" ht="15.75" customHeight="1">
      <c r="A206" s="85"/>
      <c r="B206" s="80" t="s">
        <v>25</v>
      </c>
      <c r="C206" s="51"/>
      <c r="D206" s="86" t="s">
        <v>674</v>
      </c>
      <c r="E206" s="80" t="s">
        <v>683</v>
      </c>
      <c r="F206" s="85"/>
      <c r="G206" s="80" t="str">
        <f>Calc!C8</f>
        <v>Fossil fuel</v>
      </c>
      <c r="H206" s="51"/>
      <c r="I206" s="86" t="s">
        <v>674</v>
      </c>
      <c r="J206" s="80" t="s">
        <v>684</v>
      </c>
      <c r="K206" s="85"/>
      <c r="L206" s="51"/>
    </row>
    <row r="207" spans="1:12" ht="15.75" customHeight="1">
      <c r="A207" s="85"/>
      <c r="B207" s="80" t="s">
        <v>26</v>
      </c>
      <c r="C207" s="51"/>
      <c r="D207" s="86" t="s">
        <v>674</v>
      </c>
      <c r="E207" s="80" t="s">
        <v>685</v>
      </c>
      <c r="F207" s="85"/>
      <c r="G207" s="80" t="str">
        <f>Calc!C9</f>
        <v>Glass</v>
      </c>
      <c r="H207" s="51"/>
      <c r="I207" s="86" t="s">
        <v>674</v>
      </c>
      <c r="J207" s="80" t="s">
        <v>686</v>
      </c>
      <c r="K207" s="85"/>
      <c r="L207" s="51"/>
    </row>
    <row r="208" spans="1:12" ht="15.75" customHeight="1">
      <c r="A208" s="85"/>
      <c r="B208" s="80" t="s">
        <v>27</v>
      </c>
      <c r="C208" s="51"/>
      <c r="D208" s="86" t="s">
        <v>674</v>
      </c>
      <c r="E208" s="80" t="s">
        <v>687</v>
      </c>
      <c r="F208" s="85"/>
      <c r="G208" s="80" t="str">
        <f>Calc!C10</f>
        <v>Copper</v>
      </c>
      <c r="H208" s="51"/>
      <c r="I208" s="86" t="s">
        <v>674</v>
      </c>
      <c r="J208" s="80" t="s">
        <v>688</v>
      </c>
      <c r="K208" s="85"/>
      <c r="L208" s="51"/>
    </row>
    <row r="209" spans="1:12" ht="15.75" customHeight="1">
      <c r="A209" s="85"/>
      <c r="B209" s="80" t="s">
        <v>28</v>
      </c>
      <c r="C209" s="51"/>
      <c r="D209" s="86" t="s">
        <v>674</v>
      </c>
      <c r="E209" s="80" t="s">
        <v>689</v>
      </c>
      <c r="F209" s="85"/>
      <c r="G209" s="80" t="str">
        <f>Calc!C11</f>
        <v>Insecticides</v>
      </c>
      <c r="H209" s="51"/>
      <c r="I209" s="86" t="s">
        <v>674</v>
      </c>
      <c r="J209" s="80" t="s">
        <v>690</v>
      </c>
      <c r="K209" s="85"/>
      <c r="L209" s="51"/>
    </row>
    <row r="210" spans="1:12" ht="15.75" customHeight="1">
      <c r="A210" s="85"/>
      <c r="B210" s="80" t="s">
        <v>29</v>
      </c>
      <c r="C210" s="51"/>
      <c r="D210" s="86" t="s">
        <v>674</v>
      </c>
      <c r="E210" s="80" t="s">
        <v>691</v>
      </c>
      <c r="F210" s="85"/>
      <c r="G210" s="80" t="str">
        <f>Calc!C12</f>
        <v>Aluminium</v>
      </c>
      <c r="H210" s="51"/>
      <c r="I210" s="86" t="s">
        <v>674</v>
      </c>
      <c r="J210" s="80" t="s">
        <v>692</v>
      </c>
      <c r="K210" s="85"/>
      <c r="L210" s="51"/>
    </row>
    <row r="211" spans="1:12" ht="15.75" customHeight="1">
      <c r="A211" s="85"/>
      <c r="B211" s="80" t="s">
        <v>30</v>
      </c>
      <c r="C211" s="51"/>
      <c r="D211" s="86" t="s">
        <v>674</v>
      </c>
      <c r="E211" s="80" t="s">
        <v>693</v>
      </c>
      <c r="F211" s="85"/>
      <c r="G211" s="80" t="str">
        <f>Calc!C13</f>
        <v>Plastics</v>
      </c>
      <c r="H211" s="51"/>
      <c r="I211" s="86" t="s">
        <v>674</v>
      </c>
      <c r="J211" s="80" t="s">
        <v>694</v>
      </c>
      <c r="K211" s="85"/>
      <c r="L211" s="51"/>
    </row>
    <row r="212" spans="1:12" ht="15.75" customHeight="1">
      <c r="A212" s="85"/>
      <c r="B212" s="80" t="s">
        <v>31</v>
      </c>
      <c r="C212" s="51"/>
      <c r="D212" s="86" t="s">
        <v>674</v>
      </c>
      <c r="E212" s="80" t="s">
        <v>31</v>
      </c>
      <c r="F212" s="85"/>
      <c r="G212" s="80" t="str">
        <f>Calc!C14</f>
        <v>Lithium</v>
      </c>
      <c r="H212" s="51"/>
      <c r="I212" s="86" t="s">
        <v>674</v>
      </c>
      <c r="J212" s="80" t="s">
        <v>695</v>
      </c>
      <c r="K212" s="85"/>
      <c r="L212" s="51"/>
    </row>
    <row r="213" spans="1:12" ht="15.75" customHeight="1">
      <c r="A213" s="85"/>
      <c r="B213" s="80" t="s">
        <v>32</v>
      </c>
      <c r="C213" s="51"/>
      <c r="D213" s="86" t="s">
        <v>674</v>
      </c>
      <c r="E213" s="80" t="s">
        <v>696</v>
      </c>
      <c r="F213" s="85"/>
      <c r="G213" s="80" t="str">
        <f>Calc!C15</f>
        <v>Batteries</v>
      </c>
      <c r="H213" s="51"/>
      <c r="I213" s="86" t="s">
        <v>674</v>
      </c>
      <c r="J213" s="80" t="s">
        <v>697</v>
      </c>
      <c r="K213" s="85"/>
      <c r="L213" s="51"/>
    </row>
    <row r="214" spans="1:12" ht="15.75" customHeight="1">
      <c r="A214" s="85"/>
      <c r="B214" s="80" t="s">
        <v>33</v>
      </c>
      <c r="C214" s="51"/>
      <c r="D214" s="86" t="s">
        <v>674</v>
      </c>
      <c r="E214" s="80" t="s">
        <v>698</v>
      </c>
      <c r="F214" s="85"/>
      <c r="G214" s="80" t="str">
        <f>Calc!C16</f>
        <v>Weapons</v>
      </c>
      <c r="H214" s="51"/>
      <c r="I214" s="86" t="s">
        <v>674</v>
      </c>
      <c r="J214" s="80" t="s">
        <v>699</v>
      </c>
      <c r="K214" s="85"/>
      <c r="L214" s="51"/>
    </row>
    <row r="215" spans="1:12" ht="15.75" customHeight="1">
      <c r="A215" s="85"/>
      <c r="B215" s="87" t="s">
        <v>34</v>
      </c>
      <c r="C215" s="84"/>
      <c r="D215" s="88" t="s">
        <v>674</v>
      </c>
      <c r="E215" s="87" t="s">
        <v>700</v>
      </c>
      <c r="F215" s="89"/>
      <c r="G215" s="80" t="str">
        <f>Calc!C17</f>
        <v>Silicon</v>
      </c>
      <c r="H215" s="51"/>
      <c r="I215" s="86" t="s">
        <v>674</v>
      </c>
      <c r="J215" s="80" t="s">
        <v>701</v>
      </c>
      <c r="K215" s="85"/>
      <c r="L215" s="51"/>
    </row>
    <row r="216" spans="1:12" ht="15.75" customHeight="1">
      <c r="A216" s="51"/>
      <c r="B216" s="51"/>
      <c r="C216" s="51"/>
      <c r="D216" s="51"/>
      <c r="E216" s="51"/>
      <c r="F216" s="85"/>
      <c r="G216" s="80" t="str">
        <f>Calc!C18</f>
        <v>Electronics</v>
      </c>
      <c r="H216" s="51"/>
      <c r="I216" s="86" t="s">
        <v>674</v>
      </c>
      <c r="J216" s="80" t="s">
        <v>702</v>
      </c>
      <c r="K216" s="85"/>
      <c r="L216" s="51"/>
    </row>
    <row r="217" spans="1:12" ht="15.75" customHeight="1">
      <c r="A217" s="51"/>
      <c r="B217" s="51"/>
      <c r="C217" s="51"/>
      <c r="D217" s="51"/>
      <c r="E217" s="51"/>
      <c r="F217" s="85"/>
      <c r="G217" s="80" t="str">
        <f>Calc!C19</f>
        <v>Titanium</v>
      </c>
      <c r="H217" s="51"/>
      <c r="I217" s="86" t="s">
        <v>674</v>
      </c>
      <c r="J217" s="80" t="s">
        <v>703</v>
      </c>
      <c r="K217" s="85"/>
      <c r="L217" s="51"/>
    </row>
    <row r="218" spans="1:12" ht="15.75" customHeight="1">
      <c r="A218" s="51"/>
      <c r="B218" s="51"/>
      <c r="C218" s="51"/>
      <c r="D218" s="51"/>
      <c r="E218" s="51"/>
      <c r="F218" s="85"/>
      <c r="G218" s="80" t="str">
        <f>Calc!C20</f>
        <v>Medical technology</v>
      </c>
      <c r="H218" s="51"/>
      <c r="I218" s="86" t="s">
        <v>674</v>
      </c>
      <c r="J218" s="80" t="s">
        <v>704</v>
      </c>
      <c r="K218" s="85"/>
      <c r="L218" s="51"/>
    </row>
    <row r="219" spans="1:12" ht="15.75" customHeight="1">
      <c r="A219" s="51"/>
      <c r="B219" s="51"/>
      <c r="C219" s="51"/>
      <c r="D219" s="51"/>
      <c r="E219" s="51"/>
      <c r="F219" s="85"/>
      <c r="G219" s="80" t="str">
        <f>Calc!C21</f>
        <v>Silver</v>
      </c>
      <c r="H219" s="51"/>
      <c r="I219" s="86" t="s">
        <v>674</v>
      </c>
      <c r="J219" s="80" t="s">
        <v>705</v>
      </c>
      <c r="K219" s="85"/>
      <c r="L219" s="51"/>
    </row>
    <row r="220" spans="1:12" ht="15.75" customHeight="1">
      <c r="A220" s="51"/>
      <c r="B220" s="51"/>
      <c r="C220" s="51"/>
      <c r="D220" s="51"/>
      <c r="E220" s="51"/>
      <c r="F220" s="85"/>
      <c r="G220" s="80" t="str">
        <f>Calc!C22</f>
        <v>Gold</v>
      </c>
      <c r="H220" s="51"/>
      <c r="I220" s="86" t="s">
        <v>674</v>
      </c>
      <c r="J220" s="80" t="s">
        <v>706</v>
      </c>
      <c r="K220" s="85"/>
      <c r="L220" s="51"/>
    </row>
    <row r="221" spans="1:12" ht="15.75" customHeight="1">
      <c r="A221" s="51"/>
      <c r="B221" s="51"/>
      <c r="C221" s="51"/>
      <c r="D221" s="51"/>
      <c r="E221" s="51"/>
      <c r="F221" s="85"/>
      <c r="G221" s="80" t="str">
        <f>Calc!C23</f>
        <v>Jewellery</v>
      </c>
      <c r="H221" s="51"/>
      <c r="I221" s="86" t="s">
        <v>674</v>
      </c>
      <c r="J221" s="80" t="s">
        <v>707</v>
      </c>
      <c r="K221" s="85"/>
      <c r="L221" s="51"/>
    </row>
    <row r="222" spans="1:12" ht="15.75" customHeight="1">
      <c r="A222" s="51"/>
      <c r="B222" s="51"/>
      <c r="C222" s="51"/>
      <c r="D222" s="51"/>
      <c r="E222" s="51"/>
      <c r="F222" s="85"/>
      <c r="G222" s="80" t="str">
        <f>Calc!C24</f>
        <v>Scan drones</v>
      </c>
      <c r="H222" s="51"/>
      <c r="I222" s="86" t="s">
        <v>674</v>
      </c>
      <c r="J222" s="80" t="s">
        <v>68</v>
      </c>
      <c r="K222" s="85"/>
      <c r="L222" s="51"/>
    </row>
    <row r="223" spans="1:12" ht="15.75" customHeight="1">
      <c r="A223" s="51"/>
      <c r="B223" s="51"/>
      <c r="C223" s="51"/>
      <c r="D223" s="51"/>
      <c r="E223" s="51"/>
      <c r="F223" s="85"/>
      <c r="G223" s="87" t="s">
        <v>35</v>
      </c>
      <c r="H223" s="84"/>
      <c r="I223" s="88" t="s">
        <v>674</v>
      </c>
      <c r="J223" s="87" t="s">
        <v>708</v>
      </c>
      <c r="K223" s="89"/>
      <c r="L223" s="51"/>
    </row>
    <row r="224" spans="1:12" ht="15.75" customHeight="1">
      <c r="A224" s="51"/>
      <c r="B224" s="51"/>
      <c r="C224" s="51"/>
      <c r="D224" s="51"/>
      <c r="E224" s="51"/>
      <c r="F224" s="51"/>
      <c r="G224" s="51"/>
      <c r="H224" s="51"/>
      <c r="I224" s="51"/>
      <c r="J224" s="51"/>
      <c r="K224" s="51"/>
      <c r="L224" s="51"/>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000"/>
  <sheetViews>
    <sheetView workbookViewId="0">
      <pane ySplit="4" topLeftCell="A5" activePane="bottomLeft" state="frozen"/>
      <selection pane="bottomLeft" activeCell="B6" sqref="B6"/>
    </sheetView>
  </sheetViews>
  <sheetFormatPr defaultColWidth="15.109375" defaultRowHeight="15" customHeight="1"/>
  <cols>
    <col min="1" max="1" width="3" customWidth="1"/>
    <col min="2" max="5" width="12.6640625" customWidth="1"/>
    <col min="6" max="6" width="11.21875" customWidth="1"/>
    <col min="7" max="7" width="12.33203125" customWidth="1"/>
    <col min="8" max="8" width="15" customWidth="1"/>
    <col min="9" max="9" width="3.44140625" customWidth="1"/>
    <col min="10" max="13" width="12.6640625" customWidth="1"/>
    <col min="14" max="14" width="6" customWidth="1"/>
    <col min="15" max="15" width="3.88671875" customWidth="1"/>
    <col min="16" max="26" width="12.6640625" customWidth="1"/>
  </cols>
  <sheetData>
    <row r="1" spans="1:15" ht="15.75" customHeight="1">
      <c r="A1" s="90"/>
      <c r="B1" s="90"/>
      <c r="C1" s="90"/>
      <c r="D1" s="90"/>
      <c r="E1" s="90"/>
      <c r="F1" s="90"/>
      <c r="G1" s="91"/>
      <c r="H1" s="90"/>
      <c r="I1" s="90"/>
      <c r="J1" s="92" t="s">
        <v>709</v>
      </c>
      <c r="K1" s="93">
        <v>10</v>
      </c>
      <c r="L1" s="49"/>
      <c r="M1" s="49"/>
      <c r="N1" s="49"/>
      <c r="O1" s="49"/>
    </row>
    <row r="2" spans="1:15" ht="15.75" customHeight="1">
      <c r="A2" s="90"/>
      <c r="B2" s="1" t="s">
        <v>710</v>
      </c>
      <c r="C2" s="1" t="s">
        <v>711</v>
      </c>
      <c r="D2" s="1" t="s">
        <v>712</v>
      </c>
      <c r="E2" s="1" t="s">
        <v>713</v>
      </c>
      <c r="F2" s="1" t="s">
        <v>714</v>
      </c>
      <c r="G2" s="1" t="s">
        <v>715</v>
      </c>
      <c r="H2" s="1" t="s">
        <v>716</v>
      </c>
      <c r="I2" s="90"/>
      <c r="J2" s="187" t="s">
        <v>717</v>
      </c>
      <c r="K2" s="188"/>
      <c r="L2" s="94"/>
      <c r="M2" s="94"/>
      <c r="N2" s="49"/>
      <c r="O2" s="49"/>
    </row>
    <row r="3" spans="1:15" ht="15.75" customHeight="1">
      <c r="A3" s="90"/>
      <c r="B3" s="12">
        <f ca="1">IF(VLOOKUP(B2,TblMarket,3,FALSE)=0,VLOOKUP(B2,TblMarket,2,FALSE), VLOOKUP(B2,TblMarket,3,FALSE))</f>
        <v>88588508</v>
      </c>
      <c r="C3" s="12">
        <f ca="1">IF(VLOOKUP(C2,TblMarket,3,FALSE)=0,VLOOKUP(C2,TblMarket,2,FALSE), VLOOKUP(C2,TblMarket,3,FALSE))</f>
        <v>263741086</v>
      </c>
      <c r="D3" s="12">
        <f ca="1">IF(VLOOKUP(D2,TblMarket,3,FALSE)=0,VLOOKUP(D2,TblMarket,2,FALSE), VLOOKUP(D2,TblMarket,3,FALSE))</f>
        <v>270969163</v>
      </c>
      <c r="E3" s="12">
        <f ca="1">MAX(H29:H298)</f>
        <v>545117527</v>
      </c>
      <c r="F3" s="3"/>
      <c r="G3" s="12">
        <f ca="1">MIN(G6:G27)</f>
        <v>14654684056</v>
      </c>
      <c r="H3" s="12"/>
      <c r="I3" s="90"/>
      <c r="J3" s="95">
        <v>39</v>
      </c>
      <c r="K3" s="95">
        <v>1</v>
      </c>
      <c r="L3" s="95">
        <v>664</v>
      </c>
      <c r="M3" s="95">
        <v>27</v>
      </c>
      <c r="N3" s="94"/>
      <c r="O3" s="49"/>
    </row>
    <row r="4" spans="1:15" ht="15.75" customHeight="1">
      <c r="A4" s="90"/>
      <c r="B4" s="90"/>
      <c r="C4" s="90"/>
      <c r="D4" s="90"/>
      <c r="E4" s="90"/>
      <c r="F4" s="90"/>
      <c r="G4" s="91"/>
      <c r="H4" s="90"/>
      <c r="I4" s="90"/>
      <c r="J4" s="96" t="s">
        <v>718</v>
      </c>
      <c r="K4" s="96" t="s">
        <v>719</v>
      </c>
      <c r="L4" s="96" t="s">
        <v>720</v>
      </c>
      <c r="M4" s="96" t="s">
        <v>721</v>
      </c>
      <c r="N4" s="96" t="s">
        <v>722</v>
      </c>
      <c r="O4" s="49"/>
    </row>
    <row r="5" spans="1:15" ht="15.75" customHeight="1">
      <c r="A5" s="97"/>
      <c r="B5" s="97"/>
      <c r="C5" s="97"/>
      <c r="D5" s="97"/>
      <c r="E5" s="97"/>
      <c r="F5" s="97"/>
      <c r="G5" s="91"/>
      <c r="H5" s="90"/>
      <c r="I5" s="90"/>
    </row>
    <row r="6" spans="1:15" ht="15.75" customHeight="1">
      <c r="A6" s="97"/>
      <c r="B6" s="98">
        <v>111</v>
      </c>
      <c r="C6" s="98">
        <v>26</v>
      </c>
      <c r="D6" s="98">
        <v>0</v>
      </c>
      <c r="E6" s="98">
        <v>0</v>
      </c>
      <c r="F6" s="98">
        <v>5.0498322979157004</v>
      </c>
      <c r="G6" s="5">
        <f t="shared" ref="G6:G27" ca="1" si="0">(B6*$B$3)+(C6*$C$3)+(D6*$D$3)</f>
        <v>16690592624</v>
      </c>
      <c r="I6" s="99"/>
      <c r="J6" s="3">
        <f t="shared" ref="J6:M6" si="1">$K$1*B6</f>
        <v>1110</v>
      </c>
      <c r="K6" s="3">
        <f t="shared" si="1"/>
        <v>260</v>
      </c>
      <c r="L6" s="3">
        <f t="shared" si="1"/>
        <v>0</v>
      </c>
      <c r="M6" s="3">
        <f t="shared" si="1"/>
        <v>0</v>
      </c>
      <c r="N6">
        <f t="shared" ref="N6:N27" si="2">ROUNDDOWN(MIN($J$3/(B6+0.001),$K$3/(C6+0.001),$L$3/(D6+0.001)),0)</f>
        <v>0</v>
      </c>
    </row>
    <row r="7" spans="1:15" ht="15.75" customHeight="1">
      <c r="A7" s="97"/>
      <c r="B7" s="98">
        <v>114</v>
      </c>
      <c r="C7" s="98">
        <v>23</v>
      </c>
      <c r="D7" s="98">
        <v>1</v>
      </c>
      <c r="E7" s="98">
        <v>0</v>
      </c>
      <c r="F7" s="98">
        <v>5.0498419578123004</v>
      </c>
      <c r="G7" s="5">
        <f t="shared" ca="1" si="0"/>
        <v>16436104053</v>
      </c>
      <c r="I7" s="99"/>
      <c r="J7" s="3">
        <f t="shared" ref="J7:M7" si="3">$K$1*B7</f>
        <v>1140</v>
      </c>
      <c r="K7" s="3">
        <f t="shared" si="3"/>
        <v>230</v>
      </c>
      <c r="L7" s="3">
        <f t="shared" si="3"/>
        <v>10</v>
      </c>
      <c r="M7" s="3">
        <f t="shared" si="3"/>
        <v>0</v>
      </c>
      <c r="N7">
        <f t="shared" si="2"/>
        <v>0</v>
      </c>
    </row>
    <row r="8" spans="1:15" ht="15.75" customHeight="1">
      <c r="A8" s="97"/>
      <c r="B8" s="98">
        <v>117</v>
      </c>
      <c r="C8" s="98">
        <v>20</v>
      </c>
      <c r="D8" s="98">
        <v>2</v>
      </c>
      <c r="E8" s="98">
        <v>0</v>
      </c>
      <c r="F8" s="98">
        <v>5.0498516177274002</v>
      </c>
      <c r="G8" s="5">
        <f t="shared" ca="1" si="0"/>
        <v>16181615482</v>
      </c>
      <c r="I8" s="99"/>
      <c r="J8" s="3">
        <f t="shared" ref="J8:M8" si="4">$K$1*B8</f>
        <v>1170</v>
      </c>
      <c r="K8" s="3">
        <f t="shared" si="4"/>
        <v>200</v>
      </c>
      <c r="L8" s="3">
        <f t="shared" si="4"/>
        <v>20</v>
      </c>
      <c r="M8" s="3">
        <f t="shared" si="4"/>
        <v>0</v>
      </c>
      <c r="N8">
        <f t="shared" si="2"/>
        <v>0</v>
      </c>
    </row>
    <row r="9" spans="1:15" ht="15.75" customHeight="1">
      <c r="A9" s="97"/>
      <c r="B9" s="98">
        <v>120</v>
      </c>
      <c r="C9" s="98">
        <v>17</v>
      </c>
      <c r="D9" s="98">
        <v>3</v>
      </c>
      <c r="E9" s="98">
        <v>0</v>
      </c>
      <c r="F9" s="98">
        <v>5.0498612776609999</v>
      </c>
      <c r="G9" s="5">
        <f t="shared" ca="1" si="0"/>
        <v>15927126911</v>
      </c>
      <c r="I9" s="99"/>
      <c r="J9" s="3">
        <f t="shared" ref="J9:M9" si="5">$K$1*B9</f>
        <v>1200</v>
      </c>
      <c r="K9" s="3">
        <f t="shared" si="5"/>
        <v>170</v>
      </c>
      <c r="L9" s="3">
        <f t="shared" si="5"/>
        <v>30</v>
      </c>
      <c r="M9" s="3">
        <f t="shared" si="5"/>
        <v>0</v>
      </c>
      <c r="N9">
        <f t="shared" si="2"/>
        <v>0</v>
      </c>
    </row>
    <row r="10" spans="1:15" ht="15.75" customHeight="1">
      <c r="A10" s="97"/>
      <c r="B10" s="98">
        <v>123</v>
      </c>
      <c r="C10" s="98">
        <v>14</v>
      </c>
      <c r="D10" s="98">
        <v>4</v>
      </c>
      <c r="E10" s="98">
        <v>0</v>
      </c>
      <c r="F10" s="98">
        <v>5.049870937613</v>
      </c>
      <c r="G10" s="5">
        <f t="shared" ca="1" si="0"/>
        <v>15672638340</v>
      </c>
      <c r="I10" s="99"/>
      <c r="J10" s="3">
        <f t="shared" ref="J10:M10" si="6">$K$1*B10</f>
        <v>1230</v>
      </c>
      <c r="K10" s="3">
        <f t="shared" si="6"/>
        <v>140</v>
      </c>
      <c r="L10" s="3">
        <f t="shared" si="6"/>
        <v>40</v>
      </c>
      <c r="M10" s="3">
        <f t="shared" si="6"/>
        <v>0</v>
      </c>
      <c r="N10">
        <f t="shared" si="2"/>
        <v>0</v>
      </c>
    </row>
    <row r="11" spans="1:15" ht="15.75" customHeight="1">
      <c r="A11" s="97"/>
      <c r="B11" s="98">
        <v>126</v>
      </c>
      <c r="C11" s="98">
        <v>11</v>
      </c>
      <c r="D11" s="98">
        <v>5</v>
      </c>
      <c r="E11" s="98">
        <v>0</v>
      </c>
      <c r="F11" s="98">
        <v>5.0498805975834999</v>
      </c>
      <c r="G11" s="5">
        <f t="shared" ca="1" si="0"/>
        <v>15418149769</v>
      </c>
      <c r="I11" s="99"/>
      <c r="J11" s="3">
        <f t="shared" ref="J11:M11" si="7">$K$1*B11</f>
        <v>1260</v>
      </c>
      <c r="K11" s="3">
        <f t="shared" si="7"/>
        <v>110</v>
      </c>
      <c r="L11" s="3">
        <f t="shared" si="7"/>
        <v>50</v>
      </c>
      <c r="M11" s="3">
        <f t="shared" si="7"/>
        <v>0</v>
      </c>
      <c r="N11">
        <f t="shared" si="2"/>
        <v>0</v>
      </c>
    </row>
    <row r="12" spans="1:15" ht="15.75" customHeight="1">
      <c r="A12" s="97"/>
      <c r="B12" s="98">
        <v>129</v>
      </c>
      <c r="C12" s="98">
        <v>8</v>
      </c>
      <c r="D12" s="98">
        <v>6</v>
      </c>
      <c r="E12" s="98">
        <v>0</v>
      </c>
      <c r="F12" s="98">
        <v>5.0498902575724998</v>
      </c>
      <c r="G12" s="5">
        <f t="shared" ca="1" si="0"/>
        <v>15163661198</v>
      </c>
      <c r="I12" s="99"/>
      <c r="J12" s="3">
        <f t="shared" ref="J12:M12" si="8">$K$1*B12</f>
        <v>1290</v>
      </c>
      <c r="K12" s="3">
        <f t="shared" si="8"/>
        <v>80</v>
      </c>
      <c r="L12" s="3">
        <f t="shared" si="8"/>
        <v>60</v>
      </c>
      <c r="M12" s="3">
        <f t="shared" si="8"/>
        <v>0</v>
      </c>
      <c r="N12">
        <f t="shared" si="2"/>
        <v>0</v>
      </c>
    </row>
    <row r="13" spans="1:15" ht="15.75" customHeight="1">
      <c r="A13" s="97"/>
      <c r="B13" s="98">
        <v>132</v>
      </c>
      <c r="C13" s="98">
        <v>5</v>
      </c>
      <c r="D13" s="98">
        <v>7</v>
      </c>
      <c r="E13" s="98">
        <v>0</v>
      </c>
      <c r="F13" s="98">
        <v>5.0498999175800003</v>
      </c>
      <c r="G13" s="5">
        <f t="shared" ca="1" si="0"/>
        <v>14909172627</v>
      </c>
      <c r="I13" s="99"/>
      <c r="J13" s="3">
        <f t="shared" ref="J13:M13" si="9">$K$1*B13</f>
        <v>1320</v>
      </c>
      <c r="K13" s="3">
        <f t="shared" si="9"/>
        <v>50</v>
      </c>
      <c r="L13" s="3">
        <f t="shared" si="9"/>
        <v>70</v>
      </c>
      <c r="M13" s="3">
        <f t="shared" si="9"/>
        <v>0</v>
      </c>
      <c r="N13">
        <f t="shared" si="2"/>
        <v>0</v>
      </c>
    </row>
    <row r="14" spans="1:15" ht="15.75" customHeight="1">
      <c r="A14" s="97"/>
      <c r="B14" s="98">
        <v>135</v>
      </c>
      <c r="C14" s="98">
        <v>2</v>
      </c>
      <c r="D14" s="98">
        <v>8</v>
      </c>
      <c r="E14" s="98">
        <v>0</v>
      </c>
      <c r="F14" s="98">
        <v>5.0499095776059999</v>
      </c>
      <c r="G14" s="5">
        <f t="shared" ca="1" si="0"/>
        <v>14654684056</v>
      </c>
      <c r="I14" s="99"/>
      <c r="J14" s="3">
        <f t="shared" ref="J14:M14" si="10">$K$1*B14</f>
        <v>1350</v>
      </c>
      <c r="K14" s="3">
        <f t="shared" si="10"/>
        <v>20</v>
      </c>
      <c r="L14" s="3">
        <f t="shared" si="10"/>
        <v>80</v>
      </c>
      <c r="M14" s="3">
        <f t="shared" si="10"/>
        <v>0</v>
      </c>
      <c r="N14" s="3">
        <f t="shared" si="2"/>
        <v>0</v>
      </c>
    </row>
    <row r="15" spans="1:15" ht="15.75" customHeight="1">
      <c r="A15" s="97"/>
      <c r="B15" s="98">
        <v>1</v>
      </c>
      <c r="C15" s="98">
        <v>35</v>
      </c>
      <c r="D15" s="98">
        <v>31</v>
      </c>
      <c r="E15" s="98">
        <v>0</v>
      </c>
      <c r="F15" s="98">
        <v>5.0498834090672</v>
      </c>
      <c r="G15" s="5">
        <f t="shared" ca="1" si="0"/>
        <v>17719570571</v>
      </c>
      <c r="I15" s="99"/>
      <c r="J15" s="3">
        <f t="shared" ref="J15:M15" si="11">$K$1*B15</f>
        <v>10</v>
      </c>
      <c r="K15" s="3">
        <f t="shared" si="11"/>
        <v>350</v>
      </c>
      <c r="L15" s="3">
        <f t="shared" si="11"/>
        <v>310</v>
      </c>
      <c r="M15" s="3">
        <f t="shared" si="11"/>
        <v>0</v>
      </c>
      <c r="N15">
        <f t="shared" si="2"/>
        <v>0</v>
      </c>
    </row>
    <row r="16" spans="1:15" ht="15.75" customHeight="1">
      <c r="A16" s="97"/>
      <c r="B16" s="98">
        <v>4</v>
      </c>
      <c r="C16" s="98">
        <v>32</v>
      </c>
      <c r="D16" s="98">
        <v>32</v>
      </c>
      <c r="E16" s="98">
        <v>0</v>
      </c>
      <c r="F16" s="98">
        <v>5.0498930690616</v>
      </c>
      <c r="G16" s="5">
        <f t="shared" ca="1" si="0"/>
        <v>17465082000</v>
      </c>
      <c r="I16" s="99"/>
      <c r="J16" s="3">
        <f t="shared" ref="J16:M16" si="12">$K$1*B16</f>
        <v>40</v>
      </c>
      <c r="K16" s="3">
        <f t="shared" si="12"/>
        <v>320</v>
      </c>
      <c r="L16" s="3">
        <f t="shared" si="12"/>
        <v>320</v>
      </c>
      <c r="M16" s="3">
        <f t="shared" si="12"/>
        <v>0</v>
      </c>
      <c r="N16">
        <f t="shared" si="2"/>
        <v>0</v>
      </c>
    </row>
    <row r="17" spans="1:14" ht="15.75" customHeight="1">
      <c r="A17" s="97"/>
      <c r="B17" s="98">
        <v>7</v>
      </c>
      <c r="C17" s="98">
        <v>29</v>
      </c>
      <c r="D17" s="98">
        <v>33</v>
      </c>
      <c r="E17" s="98">
        <v>0</v>
      </c>
      <c r="F17" s="98">
        <v>5.0499027290744998</v>
      </c>
      <c r="G17" s="5">
        <f t="shared" ca="1" si="0"/>
        <v>17210593429</v>
      </c>
      <c r="I17" s="99"/>
      <c r="J17" s="3">
        <f t="shared" ref="J17:M17" si="13">$K$1*B17</f>
        <v>70</v>
      </c>
      <c r="K17" s="3">
        <f t="shared" si="13"/>
        <v>290</v>
      </c>
      <c r="L17" s="3">
        <f t="shared" si="13"/>
        <v>330</v>
      </c>
      <c r="M17" s="3">
        <f t="shared" si="13"/>
        <v>0</v>
      </c>
      <c r="N17">
        <f t="shared" si="2"/>
        <v>0</v>
      </c>
    </row>
    <row r="18" spans="1:14" ht="15.75" customHeight="1">
      <c r="A18" s="97"/>
      <c r="B18" s="98">
        <v>10</v>
      </c>
      <c r="C18" s="98">
        <v>26</v>
      </c>
      <c r="D18" s="98">
        <v>34</v>
      </c>
      <c r="E18" s="98">
        <v>0</v>
      </c>
      <c r="F18" s="98">
        <v>5.0499123891058</v>
      </c>
      <c r="G18" s="5">
        <f t="shared" ca="1" si="0"/>
        <v>16956104858</v>
      </c>
      <c r="I18" s="99"/>
      <c r="J18" s="3">
        <f t="shared" ref="J18:M18" si="14">$K$1*B18</f>
        <v>100</v>
      </c>
      <c r="K18" s="3">
        <f t="shared" si="14"/>
        <v>260</v>
      </c>
      <c r="L18" s="3">
        <f t="shared" si="14"/>
        <v>340</v>
      </c>
      <c r="M18" s="3">
        <f t="shared" si="14"/>
        <v>0</v>
      </c>
      <c r="N18">
        <f t="shared" si="2"/>
        <v>0</v>
      </c>
    </row>
    <row r="19" spans="1:14" ht="15.75" customHeight="1">
      <c r="A19" s="97"/>
      <c r="B19" s="98">
        <v>13</v>
      </c>
      <c r="C19" s="98">
        <v>23</v>
      </c>
      <c r="D19" s="98">
        <v>35</v>
      </c>
      <c r="E19" s="98">
        <v>0</v>
      </c>
      <c r="F19" s="98">
        <v>5.0499220491557004</v>
      </c>
      <c r="G19" s="5">
        <f t="shared" ca="1" si="0"/>
        <v>16701616287</v>
      </c>
      <c r="I19" s="99"/>
      <c r="J19" s="3">
        <f t="shared" ref="J19:M19" si="15">$K$1*B19</f>
        <v>130</v>
      </c>
      <c r="K19" s="3">
        <f t="shared" si="15"/>
        <v>230</v>
      </c>
      <c r="L19" s="3">
        <f t="shared" si="15"/>
        <v>350</v>
      </c>
      <c r="M19" s="3">
        <f t="shared" si="15"/>
        <v>0</v>
      </c>
      <c r="N19">
        <f t="shared" si="2"/>
        <v>0</v>
      </c>
    </row>
    <row r="20" spans="1:14" ht="15.75" customHeight="1">
      <c r="A20" s="97"/>
      <c r="B20" s="98">
        <v>16</v>
      </c>
      <c r="C20" s="98">
        <v>20</v>
      </c>
      <c r="D20" s="98">
        <v>36</v>
      </c>
      <c r="E20" s="98">
        <v>0</v>
      </c>
      <c r="F20" s="98">
        <v>5.0499317092240004</v>
      </c>
      <c r="G20" s="5">
        <f t="shared" ca="1" si="0"/>
        <v>16447127716</v>
      </c>
      <c r="I20" s="99"/>
      <c r="J20" s="3">
        <f t="shared" ref="J20:M20" si="16">$K$1*B20</f>
        <v>160</v>
      </c>
      <c r="K20" s="3">
        <f t="shared" si="16"/>
        <v>200</v>
      </c>
      <c r="L20" s="3">
        <f t="shared" si="16"/>
        <v>360</v>
      </c>
      <c r="M20" s="3">
        <f t="shared" si="16"/>
        <v>0</v>
      </c>
      <c r="N20">
        <f t="shared" si="2"/>
        <v>0</v>
      </c>
    </row>
    <row r="21" spans="1:14" ht="15.75" customHeight="1">
      <c r="A21" s="97"/>
      <c r="B21" s="98">
        <v>19</v>
      </c>
      <c r="C21" s="98">
        <v>17</v>
      </c>
      <c r="D21" s="98">
        <v>37</v>
      </c>
      <c r="E21" s="98">
        <v>0</v>
      </c>
      <c r="F21" s="98">
        <v>5.0499413693106998</v>
      </c>
      <c r="G21" s="5">
        <f t="shared" ca="1" si="0"/>
        <v>16192639145</v>
      </c>
      <c r="I21" s="99"/>
      <c r="J21" s="3">
        <f t="shared" ref="J21:M21" si="17">$K$1*B21</f>
        <v>190</v>
      </c>
      <c r="K21" s="3">
        <f t="shared" si="17"/>
        <v>170</v>
      </c>
      <c r="L21" s="3">
        <f t="shared" si="17"/>
        <v>370</v>
      </c>
      <c r="M21" s="3">
        <f t="shared" si="17"/>
        <v>0</v>
      </c>
      <c r="N21">
        <f t="shared" si="2"/>
        <v>0</v>
      </c>
    </row>
    <row r="22" spans="1:14" ht="15.75" customHeight="1">
      <c r="A22" s="97"/>
      <c r="B22" s="98">
        <v>22</v>
      </c>
      <c r="C22" s="98">
        <v>14</v>
      </c>
      <c r="D22" s="98">
        <v>38</v>
      </c>
      <c r="E22" s="98">
        <v>0</v>
      </c>
      <c r="F22" s="98">
        <v>5.0499510294160004</v>
      </c>
      <c r="G22" s="5">
        <f t="shared" ca="1" si="0"/>
        <v>15938150574</v>
      </c>
      <c r="I22" s="99"/>
      <c r="J22" s="3">
        <f t="shared" ref="J22:M22" si="18">$K$1*B22</f>
        <v>220</v>
      </c>
      <c r="K22" s="3">
        <f t="shared" si="18"/>
        <v>140</v>
      </c>
      <c r="L22" s="3">
        <f t="shared" si="18"/>
        <v>380</v>
      </c>
      <c r="M22" s="3">
        <f t="shared" si="18"/>
        <v>0</v>
      </c>
      <c r="N22">
        <f t="shared" si="2"/>
        <v>0</v>
      </c>
    </row>
    <row r="23" spans="1:14" ht="15.75" customHeight="1">
      <c r="A23" s="97"/>
      <c r="B23" s="98">
        <v>25</v>
      </c>
      <c r="C23" s="98">
        <v>11</v>
      </c>
      <c r="D23" s="98">
        <v>39</v>
      </c>
      <c r="E23" s="98">
        <v>0</v>
      </c>
      <c r="F23" s="98">
        <v>5.0499606895396996</v>
      </c>
      <c r="G23" s="5">
        <f t="shared" ca="1" si="0"/>
        <v>15683662003</v>
      </c>
      <c r="I23" s="99"/>
      <c r="J23" s="3">
        <f t="shared" ref="J23:M23" si="19">$K$1*B23</f>
        <v>250</v>
      </c>
      <c r="K23" s="3">
        <f t="shared" si="19"/>
        <v>110</v>
      </c>
      <c r="L23" s="3">
        <f t="shared" si="19"/>
        <v>390</v>
      </c>
      <c r="M23" s="3">
        <f t="shared" si="19"/>
        <v>0</v>
      </c>
      <c r="N23">
        <f t="shared" si="2"/>
        <v>0</v>
      </c>
    </row>
    <row r="24" spans="1:14" ht="15.75" customHeight="1">
      <c r="A24" s="97"/>
      <c r="B24" s="98">
        <v>28</v>
      </c>
      <c r="C24" s="98">
        <v>8</v>
      </c>
      <c r="D24" s="98">
        <v>40</v>
      </c>
      <c r="E24" s="98">
        <v>0</v>
      </c>
      <c r="F24" s="98">
        <v>5.0499703496819004</v>
      </c>
      <c r="G24" s="5">
        <f t="shared" ca="1" si="0"/>
        <v>15429173432</v>
      </c>
      <c r="I24" s="99"/>
      <c r="J24" s="3">
        <f t="shared" ref="J24:M24" si="20">$K$1*B24</f>
        <v>280</v>
      </c>
      <c r="K24" s="3">
        <f t="shared" si="20"/>
        <v>80</v>
      </c>
      <c r="L24" s="3">
        <f t="shared" si="20"/>
        <v>400</v>
      </c>
      <c r="M24" s="3">
        <f t="shared" si="20"/>
        <v>0</v>
      </c>
      <c r="N24">
        <f t="shared" si="2"/>
        <v>0</v>
      </c>
    </row>
    <row r="25" spans="1:14" ht="15.75" customHeight="1">
      <c r="A25" s="97"/>
      <c r="B25" s="98">
        <v>31</v>
      </c>
      <c r="C25" s="98">
        <v>5</v>
      </c>
      <c r="D25" s="98">
        <v>41</v>
      </c>
      <c r="E25" s="98">
        <v>0</v>
      </c>
      <c r="F25" s="98">
        <v>5.0499800098426002</v>
      </c>
      <c r="G25" s="5">
        <f t="shared" ca="1" si="0"/>
        <v>15174684861</v>
      </c>
      <c r="I25" s="99"/>
      <c r="J25" s="3">
        <f t="shared" ref="J25:M25" si="21">$K$1*B25</f>
        <v>310</v>
      </c>
      <c r="K25" s="3">
        <f t="shared" si="21"/>
        <v>50</v>
      </c>
      <c r="L25" s="3">
        <f t="shared" si="21"/>
        <v>410</v>
      </c>
      <c r="M25" s="3">
        <f t="shared" si="21"/>
        <v>0</v>
      </c>
      <c r="N25">
        <f t="shared" si="2"/>
        <v>0</v>
      </c>
    </row>
    <row r="26" spans="1:14" ht="15.75" customHeight="1">
      <c r="A26" s="97"/>
      <c r="B26" s="98">
        <v>34</v>
      </c>
      <c r="C26" s="98">
        <v>2</v>
      </c>
      <c r="D26" s="98">
        <v>42</v>
      </c>
      <c r="E26" s="98">
        <v>0</v>
      </c>
      <c r="F26" s="98">
        <v>5.0499896700217999</v>
      </c>
      <c r="G26" s="5">
        <f t="shared" ca="1" si="0"/>
        <v>14920196290</v>
      </c>
      <c r="I26" s="99"/>
      <c r="J26" s="3">
        <f t="shared" ref="J26:M26" si="22">$K$1*B26</f>
        <v>340</v>
      </c>
      <c r="K26" s="3">
        <f t="shared" si="22"/>
        <v>20</v>
      </c>
      <c r="L26" s="3">
        <f t="shared" si="22"/>
        <v>420</v>
      </c>
      <c r="M26" s="3">
        <f t="shared" si="22"/>
        <v>0</v>
      </c>
      <c r="N26">
        <f t="shared" si="2"/>
        <v>0</v>
      </c>
    </row>
    <row r="27" spans="1:14" ht="15.75" customHeight="1">
      <c r="A27" s="97"/>
      <c r="B27" s="98">
        <v>35</v>
      </c>
      <c r="C27" s="98">
        <v>0</v>
      </c>
      <c r="D27" s="98">
        <v>43</v>
      </c>
      <c r="E27" s="98">
        <v>0</v>
      </c>
      <c r="F27" s="98">
        <v>5.0495042807801997</v>
      </c>
      <c r="G27" s="5">
        <f t="shared" ca="1" si="0"/>
        <v>14752271789</v>
      </c>
      <c r="I27" s="99"/>
      <c r="J27" s="3">
        <f t="shared" ref="J27:M27" si="23">$K$1*B27</f>
        <v>350</v>
      </c>
      <c r="K27" s="3">
        <f t="shared" si="23"/>
        <v>0</v>
      </c>
      <c r="L27" s="3">
        <f t="shared" si="23"/>
        <v>430</v>
      </c>
      <c r="M27" s="3">
        <f t="shared" si="23"/>
        <v>0</v>
      </c>
      <c r="N27">
        <f t="shared" si="2"/>
        <v>1</v>
      </c>
    </row>
    <row r="28" spans="1:14" ht="15.75" customHeight="1">
      <c r="A28" s="97"/>
      <c r="B28" s="97"/>
      <c r="C28" s="97"/>
      <c r="D28" s="97"/>
      <c r="E28" s="97"/>
      <c r="F28" s="97"/>
      <c r="G28" s="91"/>
      <c r="H28" s="90"/>
      <c r="I28" s="99"/>
      <c r="J28" s="12"/>
    </row>
    <row r="29" spans="1:14" ht="15.75" customHeight="1">
      <c r="A29" s="97"/>
      <c r="B29" s="98">
        <v>126</v>
      </c>
      <c r="C29" s="98">
        <v>16</v>
      </c>
      <c r="D29" s="98">
        <v>0</v>
      </c>
      <c r="E29" s="98">
        <v>1</v>
      </c>
      <c r="F29" s="98">
        <v>5.0499275083774</v>
      </c>
      <c r="G29" s="5">
        <f t="shared" ref="G29:G49" ca="1" si="24">(B29*$B$3)+(C29*$C$3)+(D29*$D$3)</f>
        <v>15382009384</v>
      </c>
      <c r="H29" s="12">
        <f t="shared" ref="H29:H49" ca="1" si="25">($G$3-G29)/E29</f>
        <v>-727325328</v>
      </c>
      <c r="I29" s="99"/>
      <c r="J29" s="3">
        <f t="shared" ref="J29:M29" si="26">$K$1*B29</f>
        <v>1260</v>
      </c>
      <c r="K29" s="3">
        <f t="shared" si="26"/>
        <v>160</v>
      </c>
      <c r="L29" s="3">
        <f t="shared" si="26"/>
        <v>0</v>
      </c>
      <c r="M29" s="3">
        <f t="shared" si="26"/>
        <v>10</v>
      </c>
      <c r="N29">
        <f t="shared" ref="N29:N49" si="27">ROUNDDOWN(MIN($J$3/(B29+0.001),$K$3/(C29+0.001),$L$3/(D29+0.001),$M$3/(E29+0.001)),0)</f>
        <v>0</v>
      </c>
    </row>
    <row r="30" spans="1:14" ht="15.75" customHeight="1">
      <c r="A30" s="97"/>
      <c r="B30" s="98">
        <v>129</v>
      </c>
      <c r="C30" s="98">
        <v>13</v>
      </c>
      <c r="D30" s="98">
        <v>1</v>
      </c>
      <c r="E30" s="98">
        <v>1</v>
      </c>
      <c r="F30" s="98">
        <v>5.0499371684562</v>
      </c>
      <c r="G30" s="5">
        <f t="shared" ca="1" si="24"/>
        <v>15127520813</v>
      </c>
      <c r="H30" s="12">
        <f t="shared" ca="1" si="25"/>
        <v>-472836757</v>
      </c>
      <c r="I30" s="99"/>
      <c r="J30" s="3">
        <f t="shared" ref="J30:M30" si="28">$K$1*B30</f>
        <v>1290</v>
      </c>
      <c r="K30" s="3">
        <f t="shared" si="28"/>
        <v>130</v>
      </c>
      <c r="L30" s="3">
        <f t="shared" si="28"/>
        <v>10</v>
      </c>
      <c r="M30" s="3">
        <f t="shared" si="28"/>
        <v>10</v>
      </c>
      <c r="N30">
        <f t="shared" si="27"/>
        <v>0</v>
      </c>
    </row>
    <row r="31" spans="1:14" ht="15.75" customHeight="1">
      <c r="A31" s="97"/>
      <c r="B31" s="98">
        <v>132</v>
      </c>
      <c r="C31" s="98">
        <v>10</v>
      </c>
      <c r="D31" s="98">
        <v>2</v>
      </c>
      <c r="E31" s="98">
        <v>1</v>
      </c>
      <c r="F31" s="98">
        <v>5.0499468285534004</v>
      </c>
      <c r="G31" s="5">
        <f t="shared" ca="1" si="24"/>
        <v>14873032242</v>
      </c>
      <c r="H31" s="12">
        <f t="shared" ca="1" si="25"/>
        <v>-218348186</v>
      </c>
      <c r="I31" s="99"/>
      <c r="J31" s="3">
        <f t="shared" ref="J31:M31" si="29">$K$1*B31</f>
        <v>1320</v>
      </c>
      <c r="K31" s="3">
        <f t="shared" si="29"/>
        <v>100</v>
      </c>
      <c r="L31" s="3">
        <f t="shared" si="29"/>
        <v>20</v>
      </c>
      <c r="M31" s="3">
        <f t="shared" si="29"/>
        <v>10</v>
      </c>
      <c r="N31">
        <f t="shared" si="27"/>
        <v>0</v>
      </c>
    </row>
    <row r="32" spans="1:14" ht="15.75" customHeight="1">
      <c r="A32" s="97"/>
      <c r="B32" s="98">
        <v>135</v>
      </c>
      <c r="C32" s="98">
        <v>7</v>
      </c>
      <c r="D32" s="98">
        <v>3</v>
      </c>
      <c r="E32" s="98">
        <v>1</v>
      </c>
      <c r="F32" s="98">
        <v>5.0499564886690997</v>
      </c>
      <c r="G32" s="5">
        <f t="shared" ca="1" si="24"/>
        <v>14618543671</v>
      </c>
      <c r="H32" s="12">
        <f t="shared" ca="1" si="25"/>
        <v>36140385</v>
      </c>
      <c r="I32" s="99"/>
      <c r="J32" s="3">
        <f t="shared" ref="J32:M32" si="30">$K$1*B32</f>
        <v>1350</v>
      </c>
      <c r="K32" s="3">
        <f t="shared" si="30"/>
        <v>70</v>
      </c>
      <c r="L32" s="3">
        <f t="shared" si="30"/>
        <v>30</v>
      </c>
      <c r="M32" s="3">
        <f t="shared" si="30"/>
        <v>10</v>
      </c>
      <c r="N32">
        <f t="shared" si="27"/>
        <v>0</v>
      </c>
    </row>
    <row r="33" spans="1:14" ht="15.75" customHeight="1">
      <c r="A33" s="97"/>
      <c r="B33" s="98">
        <v>138</v>
      </c>
      <c r="C33" s="98">
        <v>4</v>
      </c>
      <c r="D33" s="98">
        <v>4</v>
      </c>
      <c r="E33" s="98">
        <v>1</v>
      </c>
      <c r="F33" s="98">
        <v>5.0499661488032999</v>
      </c>
      <c r="G33" s="5">
        <f t="shared" ca="1" si="24"/>
        <v>14364055100</v>
      </c>
      <c r="H33" s="12">
        <f t="shared" ca="1" si="25"/>
        <v>290628956</v>
      </c>
      <c r="I33" s="99"/>
      <c r="J33" s="3">
        <f t="shared" ref="J33:M33" si="31">$K$1*B33</f>
        <v>1380</v>
      </c>
      <c r="K33" s="3">
        <f t="shared" si="31"/>
        <v>40</v>
      </c>
      <c r="L33" s="3">
        <f t="shared" si="31"/>
        <v>40</v>
      </c>
      <c r="M33" s="3">
        <f t="shared" si="31"/>
        <v>10</v>
      </c>
      <c r="N33">
        <f t="shared" si="27"/>
        <v>0</v>
      </c>
    </row>
    <row r="34" spans="1:14" ht="15.75" customHeight="1">
      <c r="A34" s="97"/>
      <c r="B34" s="98">
        <v>141</v>
      </c>
      <c r="C34" s="98">
        <v>1</v>
      </c>
      <c r="D34" s="98">
        <v>5</v>
      </c>
      <c r="E34" s="98">
        <v>1</v>
      </c>
      <c r="F34" s="98">
        <v>5.0499758089559004</v>
      </c>
      <c r="G34" s="5">
        <f t="shared" ca="1" si="24"/>
        <v>14109566529</v>
      </c>
      <c r="H34" s="12">
        <f t="shared" ca="1" si="25"/>
        <v>545117527</v>
      </c>
      <c r="I34" s="99"/>
      <c r="J34" s="3">
        <f t="shared" ref="J34:M34" si="32">$K$1*B34</f>
        <v>1410</v>
      </c>
      <c r="K34" s="3">
        <f t="shared" si="32"/>
        <v>10</v>
      </c>
      <c r="L34" s="3">
        <f t="shared" si="32"/>
        <v>50</v>
      </c>
      <c r="M34" s="3">
        <f t="shared" si="32"/>
        <v>10</v>
      </c>
      <c r="N34">
        <f t="shared" si="27"/>
        <v>0</v>
      </c>
    </row>
    <row r="35" spans="1:14" ht="15.75" customHeight="1">
      <c r="A35" s="97"/>
      <c r="B35" s="98">
        <v>1</v>
      </c>
      <c r="C35" s="98">
        <v>40</v>
      </c>
      <c r="D35" s="98">
        <v>26</v>
      </c>
      <c r="E35" s="98">
        <v>1</v>
      </c>
      <c r="F35" s="98">
        <v>5.0499303198872001</v>
      </c>
      <c r="G35" s="5">
        <f t="shared" ca="1" si="24"/>
        <v>17683430186</v>
      </c>
      <c r="H35" s="12">
        <f t="shared" ca="1" si="25"/>
        <v>-3028746130</v>
      </c>
      <c r="I35" s="99"/>
      <c r="J35" s="3">
        <f t="shared" ref="J35:M35" si="33">$K$1*B35</f>
        <v>10</v>
      </c>
      <c r="K35" s="3">
        <f t="shared" si="33"/>
        <v>400</v>
      </c>
      <c r="L35" s="3">
        <f t="shared" si="33"/>
        <v>260</v>
      </c>
      <c r="M35" s="3">
        <f t="shared" si="33"/>
        <v>10</v>
      </c>
      <c r="N35">
        <f t="shared" si="27"/>
        <v>0</v>
      </c>
    </row>
    <row r="36" spans="1:14" ht="15.75" customHeight="1">
      <c r="A36" s="97"/>
      <c r="B36" s="98">
        <v>4</v>
      </c>
      <c r="C36" s="98">
        <v>37</v>
      </c>
      <c r="D36" s="98">
        <v>27</v>
      </c>
      <c r="E36" s="98">
        <v>1</v>
      </c>
      <c r="F36" s="98">
        <v>5.0499399799714002</v>
      </c>
      <c r="G36" s="5">
        <f t="shared" ca="1" si="24"/>
        <v>17428941615</v>
      </c>
      <c r="H36" s="12">
        <f t="shared" ca="1" si="25"/>
        <v>-2774257559</v>
      </c>
      <c r="I36" s="99"/>
      <c r="J36" s="3">
        <f t="shared" ref="J36:M36" si="34">$K$1*B36</f>
        <v>40</v>
      </c>
      <c r="K36" s="3">
        <f t="shared" si="34"/>
        <v>370</v>
      </c>
      <c r="L36" s="3">
        <f t="shared" si="34"/>
        <v>270</v>
      </c>
      <c r="M36" s="3">
        <f t="shared" si="34"/>
        <v>10</v>
      </c>
      <c r="N36">
        <f t="shared" si="27"/>
        <v>0</v>
      </c>
    </row>
    <row r="37" spans="1:14" ht="15.75" customHeight="1">
      <c r="A37" s="97"/>
      <c r="B37" s="98">
        <v>7</v>
      </c>
      <c r="C37" s="98">
        <v>34</v>
      </c>
      <c r="D37" s="98">
        <v>28</v>
      </c>
      <c r="E37" s="98">
        <v>1</v>
      </c>
      <c r="F37" s="98">
        <v>5.0499496400739998</v>
      </c>
      <c r="G37" s="5">
        <f t="shared" ca="1" si="24"/>
        <v>17174453044</v>
      </c>
      <c r="H37" s="12">
        <f t="shared" ca="1" si="25"/>
        <v>-2519768988</v>
      </c>
      <c r="I37" s="99"/>
      <c r="J37" s="3">
        <f t="shared" ref="J37:M37" si="35">$K$1*B37</f>
        <v>70</v>
      </c>
      <c r="K37" s="3">
        <f t="shared" si="35"/>
        <v>340</v>
      </c>
      <c r="L37" s="3">
        <f t="shared" si="35"/>
        <v>280</v>
      </c>
      <c r="M37" s="3">
        <f t="shared" si="35"/>
        <v>10</v>
      </c>
      <c r="N37">
        <f t="shared" si="27"/>
        <v>0</v>
      </c>
    </row>
    <row r="38" spans="1:14" ht="15.75" customHeight="1">
      <c r="A38" s="97"/>
      <c r="B38" s="98">
        <v>10</v>
      </c>
      <c r="C38" s="98">
        <v>31</v>
      </c>
      <c r="D38" s="98">
        <v>29</v>
      </c>
      <c r="E38" s="98">
        <v>1</v>
      </c>
      <c r="F38" s="98">
        <v>5.0499593001949998</v>
      </c>
      <c r="G38" s="5">
        <f t="shared" ca="1" si="24"/>
        <v>16919964473</v>
      </c>
      <c r="H38" s="12">
        <f t="shared" ca="1" si="25"/>
        <v>-2265280417</v>
      </c>
      <c r="I38" s="99"/>
      <c r="J38" s="3">
        <f t="shared" ref="J38:M38" si="36">$K$1*B38</f>
        <v>100</v>
      </c>
      <c r="K38" s="3">
        <f t="shared" si="36"/>
        <v>310</v>
      </c>
      <c r="L38" s="3">
        <f t="shared" si="36"/>
        <v>290</v>
      </c>
      <c r="M38" s="3">
        <f t="shared" si="36"/>
        <v>10</v>
      </c>
      <c r="N38">
        <f t="shared" si="27"/>
        <v>0</v>
      </c>
    </row>
    <row r="39" spans="1:14" ht="15.75" customHeight="1">
      <c r="A39" s="97"/>
      <c r="B39" s="98">
        <v>13</v>
      </c>
      <c r="C39" s="98">
        <v>28</v>
      </c>
      <c r="D39" s="98">
        <v>30</v>
      </c>
      <c r="E39" s="98">
        <v>1</v>
      </c>
      <c r="F39" s="98">
        <v>5.0499689603346001</v>
      </c>
      <c r="G39" s="5">
        <f t="shared" ca="1" si="24"/>
        <v>16665475902</v>
      </c>
      <c r="H39" s="12">
        <f t="shared" ca="1" si="25"/>
        <v>-2010791846</v>
      </c>
      <c r="I39" s="99"/>
      <c r="J39" s="3">
        <f t="shared" ref="J39:M39" si="37">$K$1*B39</f>
        <v>130</v>
      </c>
      <c r="K39" s="3">
        <f t="shared" si="37"/>
        <v>280</v>
      </c>
      <c r="L39" s="3">
        <f t="shared" si="37"/>
        <v>300</v>
      </c>
      <c r="M39" s="3">
        <f t="shared" si="37"/>
        <v>10</v>
      </c>
      <c r="N39">
        <f t="shared" si="27"/>
        <v>0</v>
      </c>
    </row>
    <row r="40" spans="1:14" ht="15.75" customHeight="1">
      <c r="A40" s="97"/>
      <c r="B40" s="98">
        <v>16</v>
      </c>
      <c r="C40" s="98">
        <v>25</v>
      </c>
      <c r="D40" s="98">
        <v>31</v>
      </c>
      <c r="E40" s="98">
        <v>1</v>
      </c>
      <c r="F40" s="98">
        <v>5.0499786204925998</v>
      </c>
      <c r="G40" s="5">
        <f t="shared" ca="1" si="24"/>
        <v>16410987331</v>
      </c>
      <c r="H40" s="12">
        <f t="shared" ca="1" si="25"/>
        <v>-1756303275</v>
      </c>
      <c r="I40" s="99"/>
      <c r="J40" s="3">
        <f t="shared" ref="J40:M40" si="38">$K$1*B40</f>
        <v>160</v>
      </c>
      <c r="K40" s="3">
        <f t="shared" si="38"/>
        <v>250</v>
      </c>
      <c r="L40" s="3">
        <f t="shared" si="38"/>
        <v>310</v>
      </c>
      <c r="M40" s="3">
        <f t="shared" si="38"/>
        <v>10</v>
      </c>
      <c r="N40">
        <f t="shared" si="27"/>
        <v>0</v>
      </c>
    </row>
    <row r="41" spans="1:14" ht="15.75" customHeight="1">
      <c r="A41" s="97"/>
      <c r="B41" s="98">
        <v>19</v>
      </c>
      <c r="C41" s="98">
        <v>22</v>
      </c>
      <c r="D41" s="98">
        <v>32</v>
      </c>
      <c r="E41" s="98">
        <v>1</v>
      </c>
      <c r="F41" s="98">
        <v>5.0499882806691998</v>
      </c>
      <c r="G41" s="5">
        <f t="shared" ca="1" si="24"/>
        <v>16156498760</v>
      </c>
      <c r="H41" s="12">
        <f t="shared" ca="1" si="25"/>
        <v>-1501814704</v>
      </c>
      <c r="I41" s="99"/>
      <c r="J41" s="3">
        <f t="shared" ref="J41:M41" si="39">$K$1*B41</f>
        <v>190</v>
      </c>
      <c r="K41" s="3">
        <f t="shared" si="39"/>
        <v>220</v>
      </c>
      <c r="L41" s="3">
        <f t="shared" si="39"/>
        <v>320</v>
      </c>
      <c r="M41" s="3">
        <f t="shared" si="39"/>
        <v>10</v>
      </c>
      <c r="N41">
        <f t="shared" si="27"/>
        <v>0</v>
      </c>
    </row>
    <row r="42" spans="1:14" ht="15.75" customHeight="1">
      <c r="A42" s="97"/>
      <c r="B42" s="98">
        <v>20</v>
      </c>
      <c r="C42" s="98">
        <v>20</v>
      </c>
      <c r="D42" s="98">
        <v>33</v>
      </c>
      <c r="E42" s="98">
        <v>1</v>
      </c>
      <c r="F42" s="98">
        <v>5.0495028915611</v>
      </c>
      <c r="G42" s="5">
        <f t="shared" ca="1" si="24"/>
        <v>15988574259</v>
      </c>
      <c r="H42" s="12">
        <f t="shared" ca="1" si="25"/>
        <v>-1333890203</v>
      </c>
      <c r="I42" s="99"/>
      <c r="J42" s="3">
        <f t="shared" ref="J42:M42" si="40">$K$1*B42</f>
        <v>200</v>
      </c>
      <c r="K42" s="3">
        <f t="shared" si="40"/>
        <v>200</v>
      </c>
      <c r="L42" s="3">
        <f t="shared" si="40"/>
        <v>330</v>
      </c>
      <c r="M42" s="3">
        <f t="shared" si="40"/>
        <v>10</v>
      </c>
      <c r="N42">
        <f t="shared" si="27"/>
        <v>0</v>
      </c>
    </row>
    <row r="43" spans="1:14" ht="15.75" customHeight="1">
      <c r="A43" s="97"/>
      <c r="B43" s="98">
        <v>22</v>
      </c>
      <c r="C43" s="98">
        <v>19</v>
      </c>
      <c r="D43" s="98">
        <v>33</v>
      </c>
      <c r="E43" s="98">
        <v>1</v>
      </c>
      <c r="F43" s="98">
        <v>5.0499979408640998</v>
      </c>
      <c r="G43" s="5">
        <f t="shared" ca="1" si="24"/>
        <v>15902010189</v>
      </c>
      <c r="H43" s="12">
        <f t="shared" ca="1" si="25"/>
        <v>-1247326133</v>
      </c>
      <c r="I43" s="99"/>
      <c r="J43" s="3">
        <f t="shared" ref="J43:M43" si="41">$K$1*B43</f>
        <v>220</v>
      </c>
      <c r="K43" s="3">
        <f t="shared" si="41"/>
        <v>190</v>
      </c>
      <c r="L43" s="3">
        <f t="shared" si="41"/>
        <v>330</v>
      </c>
      <c r="M43" s="3">
        <f t="shared" si="41"/>
        <v>10</v>
      </c>
      <c r="N43">
        <f t="shared" si="27"/>
        <v>0</v>
      </c>
    </row>
    <row r="44" spans="1:14" ht="15.75" customHeight="1">
      <c r="A44" s="97"/>
      <c r="B44" s="98">
        <v>23</v>
      </c>
      <c r="C44" s="98">
        <v>17</v>
      </c>
      <c r="D44" s="98">
        <v>34</v>
      </c>
      <c r="E44" s="98">
        <v>1</v>
      </c>
      <c r="F44" s="98">
        <v>5.0495125508275001</v>
      </c>
      <c r="G44" s="5">
        <f t="shared" ca="1" si="24"/>
        <v>15734085688</v>
      </c>
      <c r="H44" s="12">
        <f t="shared" ca="1" si="25"/>
        <v>-1079401632</v>
      </c>
      <c r="I44" s="99"/>
      <c r="J44" s="3">
        <f t="shared" ref="J44:M44" si="42">$K$1*B44</f>
        <v>230</v>
      </c>
      <c r="K44" s="3">
        <f t="shared" si="42"/>
        <v>170</v>
      </c>
      <c r="L44" s="3">
        <f t="shared" si="42"/>
        <v>340</v>
      </c>
      <c r="M44" s="3">
        <f t="shared" si="42"/>
        <v>10</v>
      </c>
      <c r="N44">
        <f t="shared" si="27"/>
        <v>0</v>
      </c>
    </row>
    <row r="45" spans="1:14" ht="15.75" customHeight="1">
      <c r="A45" s="97"/>
      <c r="B45" s="98">
        <v>26</v>
      </c>
      <c r="C45" s="98">
        <v>14</v>
      </c>
      <c r="D45" s="98">
        <v>35</v>
      </c>
      <c r="E45" s="98">
        <v>1</v>
      </c>
      <c r="F45" s="98">
        <v>5.0495222101125004</v>
      </c>
      <c r="G45" s="5">
        <f t="shared" ca="1" si="24"/>
        <v>15479597117</v>
      </c>
      <c r="H45" s="12">
        <f t="shared" ca="1" si="25"/>
        <v>-824913061</v>
      </c>
      <c r="I45" s="99"/>
      <c r="J45" s="3">
        <f t="shared" ref="J45:M45" si="43">$K$1*B45</f>
        <v>260</v>
      </c>
      <c r="K45" s="3">
        <f t="shared" si="43"/>
        <v>140</v>
      </c>
      <c r="L45" s="3">
        <f t="shared" si="43"/>
        <v>350</v>
      </c>
      <c r="M45" s="3">
        <f t="shared" si="43"/>
        <v>10</v>
      </c>
      <c r="N45">
        <f t="shared" si="27"/>
        <v>0</v>
      </c>
    </row>
    <row r="46" spans="1:14" ht="15.75" customHeight="1">
      <c r="A46" s="97"/>
      <c r="B46" s="98">
        <v>29</v>
      </c>
      <c r="C46" s="98">
        <v>11</v>
      </c>
      <c r="D46" s="98">
        <v>36</v>
      </c>
      <c r="E46" s="98">
        <v>1</v>
      </c>
      <c r="F46" s="98">
        <v>5.0495318694159002</v>
      </c>
      <c r="G46" s="5">
        <f t="shared" ca="1" si="24"/>
        <v>15225108546</v>
      </c>
      <c r="H46" s="12">
        <f t="shared" ca="1" si="25"/>
        <v>-570424490</v>
      </c>
      <c r="I46" s="99"/>
      <c r="J46" s="3">
        <f t="shared" ref="J46:M46" si="44">$K$1*B46</f>
        <v>290</v>
      </c>
      <c r="K46" s="3">
        <f t="shared" si="44"/>
        <v>110</v>
      </c>
      <c r="L46" s="3">
        <f t="shared" si="44"/>
        <v>360</v>
      </c>
      <c r="M46" s="3">
        <f t="shared" si="44"/>
        <v>10</v>
      </c>
      <c r="N46">
        <f t="shared" si="27"/>
        <v>0</v>
      </c>
    </row>
    <row r="47" spans="1:14" ht="15.75" customHeight="1">
      <c r="A47" s="97"/>
      <c r="B47" s="98">
        <v>32</v>
      </c>
      <c r="C47" s="98">
        <v>8</v>
      </c>
      <c r="D47" s="98">
        <v>37</v>
      </c>
      <c r="E47" s="98">
        <v>1</v>
      </c>
      <c r="F47" s="98">
        <v>5.0495415287379002</v>
      </c>
      <c r="G47" s="5">
        <f t="shared" ca="1" si="24"/>
        <v>14970619975</v>
      </c>
      <c r="H47" s="12">
        <f t="shared" ca="1" si="25"/>
        <v>-315935919</v>
      </c>
      <c r="I47" s="99"/>
      <c r="J47" s="3">
        <f t="shared" ref="J47:M47" si="45">$K$1*B47</f>
        <v>320</v>
      </c>
      <c r="K47" s="3">
        <f t="shared" si="45"/>
        <v>80</v>
      </c>
      <c r="L47" s="3">
        <f t="shared" si="45"/>
        <v>370</v>
      </c>
      <c r="M47" s="3">
        <f t="shared" si="45"/>
        <v>10</v>
      </c>
      <c r="N47">
        <f t="shared" si="27"/>
        <v>0</v>
      </c>
    </row>
    <row r="48" spans="1:14" ht="15.75" customHeight="1">
      <c r="A48" s="97"/>
      <c r="B48" s="98">
        <v>35</v>
      </c>
      <c r="C48" s="98">
        <v>5</v>
      </c>
      <c r="D48" s="98">
        <v>38</v>
      </c>
      <c r="E48" s="98">
        <v>1</v>
      </c>
      <c r="F48" s="98">
        <v>5.0495511880782997</v>
      </c>
      <c r="G48" s="5">
        <f t="shared" ca="1" si="24"/>
        <v>14716131404</v>
      </c>
      <c r="H48" s="12">
        <f t="shared" ca="1" si="25"/>
        <v>-61447348</v>
      </c>
      <c r="I48" s="99"/>
      <c r="J48" s="3">
        <f t="shared" ref="J48:M48" si="46">$K$1*B48</f>
        <v>350</v>
      </c>
      <c r="K48" s="3">
        <f t="shared" si="46"/>
        <v>50</v>
      </c>
      <c r="L48" s="3">
        <f t="shared" si="46"/>
        <v>380</v>
      </c>
      <c r="M48" s="3">
        <f t="shared" si="46"/>
        <v>10</v>
      </c>
      <c r="N48">
        <f t="shared" si="27"/>
        <v>0</v>
      </c>
    </row>
    <row r="49" spans="1:14" ht="15.75" customHeight="1">
      <c r="A49" s="97"/>
      <c r="B49" s="98">
        <v>38</v>
      </c>
      <c r="C49" s="98">
        <v>2</v>
      </c>
      <c r="D49" s="98">
        <v>39</v>
      </c>
      <c r="E49" s="98">
        <v>1</v>
      </c>
      <c r="F49" s="98">
        <v>5.0495608474370997</v>
      </c>
      <c r="G49" s="5">
        <f t="shared" ca="1" si="24"/>
        <v>14461642833</v>
      </c>
      <c r="H49" s="12">
        <f t="shared" ca="1" si="25"/>
        <v>193041223</v>
      </c>
      <c r="I49" s="99"/>
      <c r="J49" s="3">
        <f t="shared" ref="J49:M49" si="47">$K$1*B49</f>
        <v>380</v>
      </c>
      <c r="K49" s="3">
        <f t="shared" si="47"/>
        <v>20</v>
      </c>
      <c r="L49" s="3">
        <f t="shared" si="47"/>
        <v>390</v>
      </c>
      <c r="M49" s="3">
        <f t="shared" si="47"/>
        <v>10</v>
      </c>
      <c r="N49">
        <f t="shared" si="27"/>
        <v>0</v>
      </c>
    </row>
    <row r="50" spans="1:14" ht="15.75" customHeight="1">
      <c r="A50" s="97"/>
      <c r="B50" s="97"/>
      <c r="C50" s="97"/>
      <c r="D50" s="97"/>
      <c r="E50" s="97"/>
      <c r="F50" s="97"/>
      <c r="G50" s="91"/>
      <c r="H50" s="100"/>
      <c r="I50" s="99"/>
      <c r="J50" s="12"/>
    </row>
    <row r="51" spans="1:14" ht="15.75" customHeight="1">
      <c r="A51" s="97"/>
      <c r="B51" s="98">
        <v>139</v>
      </c>
      <c r="C51" s="98">
        <v>7</v>
      </c>
      <c r="D51" s="98">
        <v>0</v>
      </c>
      <c r="E51" s="98">
        <v>2</v>
      </c>
      <c r="F51" s="98">
        <v>5.0495276689019999</v>
      </c>
      <c r="G51" s="5">
        <f t="shared" ref="G51:G70" ca="1" si="48">(B51*$B$3)+(C51*$C$3)+(D51*$D$3)</f>
        <v>14159990214</v>
      </c>
      <c r="H51" s="12">
        <f t="shared" ref="H51:H70" ca="1" si="49">($G$3-G51)/E51</f>
        <v>247346921</v>
      </c>
      <c r="I51" s="99"/>
      <c r="J51" s="3">
        <f t="shared" ref="J51:M51" si="50">$K$1*B51</f>
        <v>1390</v>
      </c>
      <c r="K51" s="3">
        <f t="shared" si="50"/>
        <v>70</v>
      </c>
      <c r="L51" s="3">
        <f t="shared" si="50"/>
        <v>0</v>
      </c>
      <c r="M51" s="3">
        <f t="shared" si="50"/>
        <v>20</v>
      </c>
      <c r="N51">
        <f t="shared" ref="N51:N70" si="51">ROUNDDOWN(MIN($J$3/(B51+0.001),$K$3/(C51+0.001),$L$3/(D51+0.001),$M$3/(E51+0.001)),0)</f>
        <v>0</v>
      </c>
    </row>
    <row r="52" spans="1:14" ht="15.75" customHeight="1">
      <c r="A52" s="97"/>
      <c r="B52" s="98">
        <v>142</v>
      </c>
      <c r="C52" s="98">
        <v>4</v>
      </c>
      <c r="D52" s="98">
        <v>1</v>
      </c>
      <c r="E52" s="98">
        <v>2</v>
      </c>
      <c r="F52" s="98">
        <v>5.0495373282158997</v>
      </c>
      <c r="G52" s="5">
        <f t="shared" ca="1" si="48"/>
        <v>13905501643</v>
      </c>
      <c r="H52" s="12">
        <f t="shared" ca="1" si="49"/>
        <v>374591206.5</v>
      </c>
      <c r="I52" s="99"/>
      <c r="J52" s="3">
        <f t="shared" ref="J52:M52" si="52">$K$1*B52</f>
        <v>1420</v>
      </c>
      <c r="K52" s="3">
        <f t="shared" si="52"/>
        <v>40</v>
      </c>
      <c r="L52" s="3">
        <f t="shared" si="52"/>
        <v>10</v>
      </c>
      <c r="M52" s="3">
        <f t="shared" si="52"/>
        <v>20</v>
      </c>
      <c r="N52">
        <f t="shared" si="51"/>
        <v>0</v>
      </c>
    </row>
    <row r="53" spans="1:14" ht="15.75" customHeight="1">
      <c r="A53" s="97"/>
      <c r="B53" s="98">
        <v>145</v>
      </c>
      <c r="C53" s="98">
        <v>1</v>
      </c>
      <c r="D53" s="98">
        <v>2</v>
      </c>
      <c r="E53" s="98">
        <v>2</v>
      </c>
      <c r="F53" s="98">
        <v>5.0495469875483003</v>
      </c>
      <c r="G53" s="5">
        <f t="shared" ca="1" si="48"/>
        <v>13651013072</v>
      </c>
      <c r="H53" s="12">
        <f t="shared" ca="1" si="49"/>
        <v>501835492</v>
      </c>
      <c r="I53" s="99"/>
      <c r="J53" s="3">
        <f t="shared" ref="J53:M53" si="53">$K$1*B53</f>
        <v>1450</v>
      </c>
      <c r="K53" s="3">
        <f t="shared" si="53"/>
        <v>10</v>
      </c>
      <c r="L53" s="3">
        <f t="shared" si="53"/>
        <v>20</v>
      </c>
      <c r="M53" s="3">
        <f t="shared" si="53"/>
        <v>20</v>
      </c>
      <c r="N53">
        <f t="shared" si="51"/>
        <v>0</v>
      </c>
    </row>
    <row r="54" spans="1:14" ht="15.75" customHeight="1">
      <c r="A54" s="97"/>
      <c r="B54" s="98">
        <v>1</v>
      </c>
      <c r="C54" s="98">
        <v>45</v>
      </c>
      <c r="D54" s="98">
        <v>21</v>
      </c>
      <c r="E54" s="98">
        <v>2</v>
      </c>
      <c r="F54" s="98">
        <v>5.049977231143</v>
      </c>
      <c r="G54" s="5">
        <f t="shared" ca="1" si="48"/>
        <v>17647289801</v>
      </c>
      <c r="H54" s="12">
        <f t="shared" ca="1" si="49"/>
        <v>-1496302872.5</v>
      </c>
      <c r="I54" s="99"/>
      <c r="J54" s="3">
        <f t="shared" ref="J54:M54" si="54">$K$1*B54</f>
        <v>10</v>
      </c>
      <c r="K54" s="3">
        <f t="shared" si="54"/>
        <v>450</v>
      </c>
      <c r="L54" s="3">
        <f t="shared" si="54"/>
        <v>210</v>
      </c>
      <c r="M54" s="3">
        <f t="shared" si="54"/>
        <v>20</v>
      </c>
      <c r="N54">
        <f t="shared" si="51"/>
        <v>0</v>
      </c>
    </row>
    <row r="55" spans="1:14" ht="15.75" customHeight="1">
      <c r="A55" s="97"/>
      <c r="B55" s="98">
        <v>4</v>
      </c>
      <c r="C55" s="98">
        <v>42</v>
      </c>
      <c r="D55" s="98">
        <v>22</v>
      </c>
      <c r="E55" s="98">
        <v>2</v>
      </c>
      <c r="F55" s="98">
        <v>5.0499868913168999</v>
      </c>
      <c r="G55" s="5">
        <f t="shared" ca="1" si="48"/>
        <v>17392801230</v>
      </c>
      <c r="H55" s="12">
        <f t="shared" ca="1" si="49"/>
        <v>-1369058587</v>
      </c>
      <c r="I55" s="99"/>
      <c r="J55" s="3">
        <f t="shared" ref="J55:M55" si="55">$K$1*B55</f>
        <v>40</v>
      </c>
      <c r="K55" s="3">
        <f t="shared" si="55"/>
        <v>420</v>
      </c>
      <c r="L55" s="3">
        <f t="shared" si="55"/>
        <v>220</v>
      </c>
      <c r="M55" s="3">
        <f t="shared" si="55"/>
        <v>20</v>
      </c>
      <c r="N55">
        <f t="shared" si="51"/>
        <v>0</v>
      </c>
    </row>
    <row r="56" spans="1:14" ht="15.75" customHeight="1">
      <c r="A56" s="97"/>
      <c r="B56" s="98">
        <v>5</v>
      </c>
      <c r="C56" s="98">
        <v>40</v>
      </c>
      <c r="D56" s="98">
        <v>23</v>
      </c>
      <c r="E56" s="98">
        <v>2</v>
      </c>
      <c r="F56" s="98">
        <v>5.0495015023423004</v>
      </c>
      <c r="G56" s="5">
        <f t="shared" ca="1" si="48"/>
        <v>17224876729</v>
      </c>
      <c r="H56" s="12">
        <f t="shared" ca="1" si="49"/>
        <v>-1285096336.5</v>
      </c>
      <c r="I56" s="99"/>
      <c r="J56" s="3">
        <f t="shared" ref="J56:M56" si="56">$K$1*B56</f>
        <v>50</v>
      </c>
      <c r="K56" s="3">
        <f t="shared" si="56"/>
        <v>400</v>
      </c>
      <c r="L56" s="3">
        <f t="shared" si="56"/>
        <v>230</v>
      </c>
      <c r="M56" s="3">
        <f t="shared" si="56"/>
        <v>20</v>
      </c>
      <c r="N56">
        <f t="shared" si="51"/>
        <v>0</v>
      </c>
    </row>
    <row r="57" spans="1:14" ht="15.75" customHeight="1">
      <c r="A57" s="97"/>
      <c r="B57" s="98">
        <v>7</v>
      </c>
      <c r="C57" s="98">
        <v>39</v>
      </c>
      <c r="D57" s="98">
        <v>23</v>
      </c>
      <c r="E57" s="98">
        <v>2</v>
      </c>
      <c r="F57" s="98">
        <v>5.0499965515092002</v>
      </c>
      <c r="G57" s="5">
        <f t="shared" ca="1" si="48"/>
        <v>17138312659</v>
      </c>
      <c r="H57" s="12">
        <f t="shared" ca="1" si="49"/>
        <v>-1241814301.5</v>
      </c>
      <c r="I57" s="99"/>
      <c r="J57" s="3">
        <f t="shared" ref="J57:M57" si="57">$K$1*B57</f>
        <v>70</v>
      </c>
      <c r="K57" s="3">
        <f t="shared" si="57"/>
        <v>390</v>
      </c>
      <c r="L57" s="3">
        <f t="shared" si="57"/>
        <v>230</v>
      </c>
      <c r="M57" s="3">
        <f t="shared" si="57"/>
        <v>20</v>
      </c>
      <c r="N57">
        <f t="shared" si="51"/>
        <v>0</v>
      </c>
    </row>
    <row r="58" spans="1:14" ht="15.75" customHeight="1">
      <c r="A58" s="97"/>
      <c r="B58" s="98">
        <v>8</v>
      </c>
      <c r="C58" s="98">
        <v>37</v>
      </c>
      <c r="D58" s="98">
        <v>24</v>
      </c>
      <c r="E58" s="98">
        <v>2</v>
      </c>
      <c r="F58" s="98">
        <v>5.0495111616060999</v>
      </c>
      <c r="G58" s="5">
        <f t="shared" ca="1" si="48"/>
        <v>16970388158</v>
      </c>
      <c r="H58" s="12">
        <f t="shared" ca="1" si="49"/>
        <v>-1157852051</v>
      </c>
      <c r="I58" s="99"/>
      <c r="J58" s="3">
        <f t="shared" ref="J58:M58" si="58">$K$1*B58</f>
        <v>80</v>
      </c>
      <c r="K58" s="3">
        <f t="shared" si="58"/>
        <v>370</v>
      </c>
      <c r="L58" s="3">
        <f t="shared" si="58"/>
        <v>240</v>
      </c>
      <c r="M58" s="3">
        <f t="shared" si="58"/>
        <v>20</v>
      </c>
      <c r="N58">
        <f t="shared" si="51"/>
        <v>0</v>
      </c>
    </row>
    <row r="59" spans="1:14" ht="15.75" customHeight="1">
      <c r="A59" s="97"/>
      <c r="B59" s="98">
        <v>11</v>
      </c>
      <c r="C59" s="98">
        <v>34</v>
      </c>
      <c r="D59" s="98">
        <v>25</v>
      </c>
      <c r="E59" s="98">
        <v>2</v>
      </c>
      <c r="F59" s="98">
        <v>5.0495208208884002</v>
      </c>
      <c r="G59" s="5">
        <f t="shared" ca="1" si="48"/>
        <v>16715899587</v>
      </c>
      <c r="H59" s="12">
        <f t="shared" ca="1" si="49"/>
        <v>-1030607765.5</v>
      </c>
      <c r="I59" s="99"/>
      <c r="J59" s="3">
        <f t="shared" ref="J59:M59" si="59">$K$1*B59</f>
        <v>110</v>
      </c>
      <c r="K59" s="3">
        <f t="shared" si="59"/>
        <v>340</v>
      </c>
      <c r="L59" s="3">
        <f t="shared" si="59"/>
        <v>250</v>
      </c>
      <c r="M59" s="3">
        <f t="shared" si="59"/>
        <v>20</v>
      </c>
      <c r="N59">
        <f t="shared" si="51"/>
        <v>0</v>
      </c>
    </row>
    <row r="60" spans="1:14" ht="15.75" customHeight="1">
      <c r="A60" s="97"/>
      <c r="B60" s="98">
        <v>14</v>
      </c>
      <c r="C60" s="98">
        <v>31</v>
      </c>
      <c r="D60" s="98">
        <v>26</v>
      </c>
      <c r="E60" s="98">
        <v>2</v>
      </c>
      <c r="F60" s="98">
        <v>5.0495304801892003</v>
      </c>
      <c r="G60" s="5">
        <f t="shared" ca="1" si="48"/>
        <v>16461411016</v>
      </c>
      <c r="H60" s="12">
        <f t="shared" ca="1" si="49"/>
        <v>-903363480</v>
      </c>
      <c r="I60" s="99"/>
      <c r="J60" s="3">
        <f t="shared" ref="J60:M60" si="60">$K$1*B60</f>
        <v>140</v>
      </c>
      <c r="K60" s="3">
        <f t="shared" si="60"/>
        <v>310</v>
      </c>
      <c r="L60" s="3">
        <f t="shared" si="60"/>
        <v>260</v>
      </c>
      <c r="M60" s="3">
        <f t="shared" si="60"/>
        <v>20</v>
      </c>
      <c r="N60">
        <f t="shared" si="51"/>
        <v>0</v>
      </c>
    </row>
    <row r="61" spans="1:14" ht="15.75" customHeight="1">
      <c r="A61" s="97"/>
      <c r="B61" s="98">
        <v>17</v>
      </c>
      <c r="C61" s="98">
        <v>28</v>
      </c>
      <c r="D61" s="98">
        <v>27</v>
      </c>
      <c r="E61" s="98">
        <v>2</v>
      </c>
      <c r="F61" s="98">
        <v>5.0495401395085002</v>
      </c>
      <c r="G61" s="5">
        <f t="shared" ca="1" si="48"/>
        <v>16206922445</v>
      </c>
      <c r="H61" s="12">
        <f t="shared" ca="1" si="49"/>
        <v>-776119194.5</v>
      </c>
      <c r="I61" s="99"/>
      <c r="J61" s="3">
        <f t="shared" ref="J61:M61" si="61">$K$1*B61</f>
        <v>170</v>
      </c>
      <c r="K61" s="3">
        <f t="shared" si="61"/>
        <v>280</v>
      </c>
      <c r="L61" s="3">
        <f t="shared" si="61"/>
        <v>270</v>
      </c>
      <c r="M61" s="3">
        <f t="shared" si="61"/>
        <v>20</v>
      </c>
      <c r="N61">
        <f t="shared" si="51"/>
        <v>0</v>
      </c>
    </row>
    <row r="62" spans="1:14" ht="15.75" customHeight="1">
      <c r="A62" s="97"/>
      <c r="B62" s="98">
        <v>20</v>
      </c>
      <c r="C62" s="98">
        <v>25</v>
      </c>
      <c r="D62" s="98">
        <v>28</v>
      </c>
      <c r="E62" s="98">
        <v>2</v>
      </c>
      <c r="F62" s="98">
        <v>5.0495497988461997</v>
      </c>
      <c r="G62" s="5">
        <f t="shared" ca="1" si="48"/>
        <v>15952433874</v>
      </c>
      <c r="H62" s="12">
        <f t="shared" ca="1" si="49"/>
        <v>-648874909</v>
      </c>
      <c r="I62" s="99"/>
      <c r="J62" s="3">
        <f t="shared" ref="J62:M62" si="62">$K$1*B62</f>
        <v>200</v>
      </c>
      <c r="K62" s="3">
        <f t="shared" si="62"/>
        <v>250</v>
      </c>
      <c r="L62" s="3">
        <f t="shared" si="62"/>
        <v>280</v>
      </c>
      <c r="M62" s="3">
        <f t="shared" si="62"/>
        <v>20</v>
      </c>
      <c r="N62">
        <f t="shared" si="51"/>
        <v>0</v>
      </c>
    </row>
    <row r="63" spans="1:14" ht="15.75" customHeight="1">
      <c r="A63" s="97"/>
      <c r="B63" s="98">
        <v>23</v>
      </c>
      <c r="C63" s="98">
        <v>22</v>
      </c>
      <c r="D63" s="98">
        <v>29</v>
      </c>
      <c r="E63" s="98">
        <v>2</v>
      </c>
      <c r="F63" s="98">
        <v>5.0495594582023999</v>
      </c>
      <c r="G63" s="5">
        <f t="shared" ca="1" si="48"/>
        <v>15697945303</v>
      </c>
      <c r="H63" s="12">
        <f t="shared" ca="1" si="49"/>
        <v>-521630623.5</v>
      </c>
      <c r="I63" s="99"/>
      <c r="J63" s="3">
        <f t="shared" ref="J63:M63" si="63">$K$1*B63</f>
        <v>230</v>
      </c>
      <c r="K63" s="3">
        <f t="shared" si="63"/>
        <v>220</v>
      </c>
      <c r="L63" s="3">
        <f t="shared" si="63"/>
        <v>290</v>
      </c>
      <c r="M63" s="3">
        <f t="shared" si="63"/>
        <v>20</v>
      </c>
      <c r="N63">
        <f t="shared" si="51"/>
        <v>0</v>
      </c>
    </row>
    <row r="64" spans="1:14" ht="15.75" customHeight="1">
      <c r="A64" s="97"/>
      <c r="B64" s="98">
        <v>26</v>
      </c>
      <c r="C64" s="98">
        <v>19</v>
      </c>
      <c r="D64" s="98">
        <v>30</v>
      </c>
      <c r="E64" s="98">
        <v>2</v>
      </c>
      <c r="F64" s="98">
        <v>5.0495691175771</v>
      </c>
      <c r="G64" s="5">
        <f t="shared" ca="1" si="48"/>
        <v>15443456732</v>
      </c>
      <c r="H64" s="12">
        <f t="shared" ca="1" si="49"/>
        <v>-394386338</v>
      </c>
      <c r="I64" s="99"/>
      <c r="J64" s="3">
        <f t="shared" ref="J64:M64" si="64">$K$1*B64</f>
        <v>260</v>
      </c>
      <c r="K64" s="3">
        <f t="shared" si="64"/>
        <v>190</v>
      </c>
      <c r="L64" s="3">
        <f t="shared" si="64"/>
        <v>300</v>
      </c>
      <c r="M64" s="3">
        <f t="shared" si="64"/>
        <v>20</v>
      </c>
      <c r="N64">
        <f t="shared" si="51"/>
        <v>0</v>
      </c>
    </row>
    <row r="65" spans="1:15" ht="15.75" customHeight="1">
      <c r="A65" s="97"/>
      <c r="B65" s="98">
        <v>29</v>
      </c>
      <c r="C65" s="98">
        <v>16</v>
      </c>
      <c r="D65" s="98">
        <v>31</v>
      </c>
      <c r="E65" s="98">
        <v>2</v>
      </c>
      <c r="F65" s="98">
        <v>5.0495787769703</v>
      </c>
      <c r="G65" s="5">
        <f t="shared" ca="1" si="48"/>
        <v>15188968161</v>
      </c>
      <c r="H65" s="12">
        <f t="shared" ca="1" si="49"/>
        <v>-267142052.5</v>
      </c>
      <c r="I65" s="99"/>
      <c r="J65" s="3">
        <f t="shared" ref="J65:M65" si="65">$K$1*B65</f>
        <v>290</v>
      </c>
      <c r="K65" s="3">
        <f t="shared" si="65"/>
        <v>160</v>
      </c>
      <c r="L65" s="3">
        <f t="shared" si="65"/>
        <v>310</v>
      </c>
      <c r="M65" s="3">
        <f t="shared" si="65"/>
        <v>20</v>
      </c>
      <c r="N65">
        <f t="shared" si="51"/>
        <v>0</v>
      </c>
    </row>
    <row r="66" spans="1:15" ht="15.75" customHeight="1">
      <c r="A66" s="97"/>
      <c r="B66" s="98">
        <v>32</v>
      </c>
      <c r="C66" s="98">
        <v>13</v>
      </c>
      <c r="D66" s="98">
        <v>32</v>
      </c>
      <c r="E66" s="98">
        <v>2</v>
      </c>
      <c r="F66" s="98">
        <v>5.0495884363819998</v>
      </c>
      <c r="G66" s="5">
        <f t="shared" ca="1" si="48"/>
        <v>14934479590</v>
      </c>
      <c r="H66" s="12">
        <f t="shared" ca="1" si="49"/>
        <v>-139897767</v>
      </c>
      <c r="I66" s="99"/>
      <c r="J66" s="3">
        <f t="shared" ref="J66:M66" si="66">$K$1*B66</f>
        <v>320</v>
      </c>
      <c r="K66" s="3">
        <f t="shared" si="66"/>
        <v>130</v>
      </c>
      <c r="L66" s="3">
        <f t="shared" si="66"/>
        <v>320</v>
      </c>
      <c r="M66" s="3">
        <f t="shared" si="66"/>
        <v>20</v>
      </c>
      <c r="N66">
        <f t="shared" si="51"/>
        <v>0</v>
      </c>
    </row>
    <row r="67" spans="1:15" ht="15.75" customHeight="1">
      <c r="A67" s="97"/>
      <c r="B67" s="98">
        <v>35</v>
      </c>
      <c r="C67" s="98">
        <v>10</v>
      </c>
      <c r="D67" s="98">
        <v>33</v>
      </c>
      <c r="E67" s="98">
        <v>2</v>
      </c>
      <c r="F67" s="98">
        <v>5.0495980958121001</v>
      </c>
      <c r="G67" s="5">
        <f t="shared" ca="1" si="48"/>
        <v>14679991019</v>
      </c>
      <c r="H67" s="12">
        <f t="shared" ca="1" si="49"/>
        <v>-12653481.5</v>
      </c>
      <c r="I67" s="99"/>
      <c r="J67" s="3">
        <f t="shared" ref="J67:M67" si="67">$K$1*B67</f>
        <v>350</v>
      </c>
      <c r="K67" s="3">
        <f t="shared" si="67"/>
        <v>100</v>
      </c>
      <c r="L67" s="3">
        <f t="shared" si="67"/>
        <v>330</v>
      </c>
      <c r="M67" s="3">
        <f t="shared" si="67"/>
        <v>20</v>
      </c>
      <c r="N67">
        <f t="shared" si="51"/>
        <v>0</v>
      </c>
    </row>
    <row r="68" spans="1:15" ht="15.75" customHeight="1">
      <c r="A68" s="97"/>
      <c r="B68" s="98">
        <v>38</v>
      </c>
      <c r="C68" s="98">
        <v>7</v>
      </c>
      <c r="D68" s="98">
        <v>34</v>
      </c>
      <c r="E68" s="98">
        <v>2</v>
      </c>
      <c r="F68" s="98">
        <v>5.0496077552607002</v>
      </c>
      <c r="G68" s="5">
        <f t="shared" ca="1" si="48"/>
        <v>14425502448</v>
      </c>
      <c r="H68" s="12">
        <f t="shared" ca="1" si="49"/>
        <v>114590804</v>
      </c>
      <c r="I68" s="99"/>
      <c r="J68" s="3">
        <f t="shared" ref="J68:M68" si="68">$K$1*B68</f>
        <v>380</v>
      </c>
      <c r="K68" s="3">
        <f t="shared" si="68"/>
        <v>70</v>
      </c>
      <c r="L68" s="3">
        <f t="shared" si="68"/>
        <v>340</v>
      </c>
      <c r="M68" s="3">
        <f t="shared" si="68"/>
        <v>20</v>
      </c>
      <c r="N68">
        <f t="shared" si="51"/>
        <v>0</v>
      </c>
    </row>
    <row r="69" spans="1:15" ht="15.75" customHeight="1">
      <c r="A69" s="97"/>
      <c r="B69" s="98">
        <v>41</v>
      </c>
      <c r="C69" s="98">
        <v>4</v>
      </c>
      <c r="D69" s="98">
        <v>35</v>
      </c>
      <c r="E69" s="98">
        <v>2</v>
      </c>
      <c r="F69" s="98">
        <v>5.0496174147278001</v>
      </c>
      <c r="G69" s="5">
        <f t="shared" ca="1" si="48"/>
        <v>14171013877</v>
      </c>
      <c r="H69" s="12">
        <f t="shared" ca="1" si="49"/>
        <v>241835089.5</v>
      </c>
      <c r="I69" s="99"/>
      <c r="J69" s="3">
        <f t="shared" ref="J69:M69" si="69">$K$1*B69</f>
        <v>410</v>
      </c>
      <c r="K69" s="3">
        <f t="shared" si="69"/>
        <v>40</v>
      </c>
      <c r="L69" s="3">
        <f t="shared" si="69"/>
        <v>350</v>
      </c>
      <c r="M69" s="3">
        <f t="shared" si="69"/>
        <v>20</v>
      </c>
      <c r="N69">
        <f t="shared" si="51"/>
        <v>0</v>
      </c>
    </row>
    <row r="70" spans="1:15" ht="15.75" customHeight="1">
      <c r="A70" s="97"/>
      <c r="B70" s="98">
        <v>44</v>
      </c>
      <c r="C70" s="98">
        <v>1</v>
      </c>
      <c r="D70" s="98">
        <v>36</v>
      </c>
      <c r="E70" s="98">
        <v>2</v>
      </c>
      <c r="F70" s="98">
        <v>5.0496270742132996</v>
      </c>
      <c r="G70" s="5">
        <f t="shared" ca="1" si="48"/>
        <v>13916525306</v>
      </c>
      <c r="H70" s="12">
        <f t="shared" ca="1" si="49"/>
        <v>369079375</v>
      </c>
      <c r="I70" s="99"/>
      <c r="J70" s="3">
        <f t="shared" ref="J70:M70" si="70">$K$1*B70</f>
        <v>440</v>
      </c>
      <c r="K70" s="3">
        <f t="shared" si="70"/>
        <v>10</v>
      </c>
      <c r="L70" s="3">
        <f t="shared" si="70"/>
        <v>360</v>
      </c>
      <c r="M70" s="3">
        <f t="shared" si="70"/>
        <v>20</v>
      </c>
      <c r="N70">
        <f t="shared" si="51"/>
        <v>0</v>
      </c>
    </row>
    <row r="71" spans="1:15" ht="15.75" customHeight="1">
      <c r="A71" s="97"/>
      <c r="B71" s="97"/>
      <c r="C71" s="97"/>
      <c r="D71" s="97"/>
      <c r="E71" s="97"/>
      <c r="F71" s="97"/>
      <c r="G71" s="91"/>
      <c r="H71" s="100"/>
      <c r="I71" s="99"/>
      <c r="J71" s="12"/>
      <c r="K71" s="12"/>
      <c r="L71" s="12"/>
      <c r="M71" s="12"/>
      <c r="N71" s="12"/>
      <c r="O71" s="12"/>
    </row>
    <row r="72" spans="1:15" ht="15.75" customHeight="1">
      <c r="A72" s="97"/>
      <c r="B72" s="98">
        <v>2</v>
      </c>
      <c r="C72" s="98">
        <v>48</v>
      </c>
      <c r="D72" s="98">
        <v>17</v>
      </c>
      <c r="E72" s="98">
        <v>3</v>
      </c>
      <c r="F72" s="98">
        <v>5.0495387502794999</v>
      </c>
      <c r="G72" s="5">
        <f t="shared" ref="G72:G88" ca="1" si="71">(B72*$B$3)+(C72*$C$3)+(D72*$D$3)</f>
        <v>17443224915</v>
      </c>
      <c r="H72" s="12">
        <f t="shared" ref="H72:H88" ca="1" si="72">($G$3-G72)/E72</f>
        <v>-929513619.66666663</v>
      </c>
      <c r="I72" s="99"/>
      <c r="J72" s="3">
        <f t="shared" ref="J72:M72" si="73">$K$1*B72</f>
        <v>20</v>
      </c>
      <c r="K72" s="3">
        <f t="shared" si="73"/>
        <v>480</v>
      </c>
      <c r="L72" s="3">
        <f t="shared" si="73"/>
        <v>170</v>
      </c>
      <c r="M72" s="3">
        <f t="shared" si="73"/>
        <v>30</v>
      </c>
      <c r="N72">
        <f t="shared" ref="N72:N88" si="74">ROUNDDOWN(MIN($J$3/(B72+0.001),$K$3/(C72+0.001),$L$3/(D72+0.001),$M$3/(E72+0.001)),0)</f>
        <v>0</v>
      </c>
    </row>
    <row r="73" spans="1:15" ht="15.75" customHeight="1">
      <c r="A73" s="97"/>
      <c r="B73" s="98">
        <v>5</v>
      </c>
      <c r="C73" s="98">
        <v>45</v>
      </c>
      <c r="D73" s="98">
        <v>18</v>
      </c>
      <c r="E73" s="98">
        <v>3</v>
      </c>
      <c r="F73" s="98">
        <v>5.0495484096145997</v>
      </c>
      <c r="G73" s="5">
        <f t="shared" ca="1" si="71"/>
        <v>17188736344</v>
      </c>
      <c r="H73" s="12">
        <f t="shared" ca="1" si="72"/>
        <v>-844684096</v>
      </c>
      <c r="I73" s="99"/>
      <c r="J73" s="3">
        <f t="shared" ref="J73:M73" si="75">$K$1*B73</f>
        <v>50</v>
      </c>
      <c r="K73" s="3">
        <f t="shared" si="75"/>
        <v>450</v>
      </c>
      <c r="L73" s="3">
        <f t="shared" si="75"/>
        <v>180</v>
      </c>
      <c r="M73" s="3">
        <f t="shared" si="75"/>
        <v>30</v>
      </c>
      <c r="N73">
        <f t="shared" si="74"/>
        <v>0</v>
      </c>
    </row>
    <row r="74" spans="1:15" ht="15.75" customHeight="1">
      <c r="A74" s="97"/>
      <c r="B74" s="98">
        <v>8</v>
      </c>
      <c r="C74" s="98">
        <v>42</v>
      </c>
      <c r="D74" s="98">
        <v>19</v>
      </c>
      <c r="E74" s="98">
        <v>3</v>
      </c>
      <c r="F74" s="98">
        <v>5.0495580689682003</v>
      </c>
      <c r="G74" s="5">
        <f t="shared" ca="1" si="71"/>
        <v>16934247773</v>
      </c>
      <c r="H74" s="12">
        <f t="shared" ca="1" si="72"/>
        <v>-759854572.33333337</v>
      </c>
      <c r="I74" s="99"/>
      <c r="J74" s="3">
        <f t="shared" ref="J74:M74" si="76">$K$1*B74</f>
        <v>80</v>
      </c>
      <c r="K74" s="3">
        <f t="shared" si="76"/>
        <v>420</v>
      </c>
      <c r="L74" s="3">
        <f t="shared" si="76"/>
        <v>190</v>
      </c>
      <c r="M74" s="3">
        <f t="shared" si="76"/>
        <v>30</v>
      </c>
      <c r="N74">
        <f t="shared" si="74"/>
        <v>0</v>
      </c>
    </row>
    <row r="75" spans="1:15" ht="15.75" customHeight="1">
      <c r="A75" s="97"/>
      <c r="B75" s="98">
        <v>11</v>
      </c>
      <c r="C75" s="98">
        <v>39</v>
      </c>
      <c r="D75" s="98">
        <v>20</v>
      </c>
      <c r="E75" s="98">
        <v>3</v>
      </c>
      <c r="F75" s="98">
        <v>5.0495677283402003</v>
      </c>
      <c r="G75" s="5">
        <f t="shared" ca="1" si="71"/>
        <v>16679759202</v>
      </c>
      <c r="H75" s="12">
        <f t="shared" ca="1" si="72"/>
        <v>-675025048.66666663</v>
      </c>
      <c r="I75" s="99"/>
      <c r="J75" s="3">
        <f t="shared" ref="J75:M75" si="77">$K$1*B75</f>
        <v>110</v>
      </c>
      <c r="K75" s="3">
        <f t="shared" si="77"/>
        <v>390</v>
      </c>
      <c r="L75" s="3">
        <f t="shared" si="77"/>
        <v>200</v>
      </c>
      <c r="M75" s="3">
        <f t="shared" si="77"/>
        <v>30</v>
      </c>
      <c r="N75">
        <f t="shared" si="74"/>
        <v>0</v>
      </c>
    </row>
    <row r="76" spans="1:15" ht="15.75" customHeight="1">
      <c r="A76" s="97"/>
      <c r="B76" s="98">
        <v>14</v>
      </c>
      <c r="C76" s="98">
        <v>36</v>
      </c>
      <c r="D76" s="98">
        <v>21</v>
      </c>
      <c r="E76" s="98">
        <v>3</v>
      </c>
      <c r="F76" s="98">
        <v>5.0495773877307002</v>
      </c>
      <c r="G76" s="5">
        <f t="shared" ca="1" si="71"/>
        <v>16425270631</v>
      </c>
      <c r="H76" s="12">
        <f t="shared" ca="1" si="72"/>
        <v>-590195525</v>
      </c>
      <c r="I76" s="99"/>
      <c r="J76" s="3">
        <f t="shared" ref="J76:M76" si="78">$K$1*B76</f>
        <v>140</v>
      </c>
      <c r="K76" s="3">
        <f t="shared" si="78"/>
        <v>360</v>
      </c>
      <c r="L76" s="3">
        <f t="shared" si="78"/>
        <v>210</v>
      </c>
      <c r="M76" s="3">
        <f t="shared" si="78"/>
        <v>30</v>
      </c>
      <c r="N76">
        <f t="shared" si="74"/>
        <v>0</v>
      </c>
    </row>
    <row r="77" spans="1:15" ht="15.75" customHeight="1">
      <c r="A77" s="97"/>
      <c r="B77" s="98">
        <v>17</v>
      </c>
      <c r="C77" s="98">
        <v>33</v>
      </c>
      <c r="D77" s="98">
        <v>22</v>
      </c>
      <c r="E77" s="98">
        <v>3</v>
      </c>
      <c r="F77" s="98">
        <v>5.0495870471397</v>
      </c>
      <c r="G77" s="5">
        <f t="shared" ca="1" si="71"/>
        <v>16170782060</v>
      </c>
      <c r="H77" s="12">
        <f t="shared" ca="1" si="72"/>
        <v>-505366001.33333331</v>
      </c>
      <c r="I77" s="99"/>
      <c r="J77" s="3">
        <f t="shared" ref="J77:M77" si="79">$K$1*B77</f>
        <v>170</v>
      </c>
      <c r="K77" s="3">
        <f t="shared" si="79"/>
        <v>330</v>
      </c>
      <c r="L77" s="3">
        <f t="shared" si="79"/>
        <v>220</v>
      </c>
      <c r="M77" s="3">
        <f t="shared" si="79"/>
        <v>30</v>
      </c>
      <c r="N77">
        <f t="shared" si="74"/>
        <v>0</v>
      </c>
    </row>
    <row r="78" spans="1:15" ht="15.75" customHeight="1">
      <c r="A78" s="97"/>
      <c r="B78" s="98">
        <v>20</v>
      </c>
      <c r="C78" s="98">
        <v>30</v>
      </c>
      <c r="D78" s="98">
        <v>23</v>
      </c>
      <c r="E78" s="98">
        <v>3</v>
      </c>
      <c r="F78" s="98">
        <v>5.0495967065671996</v>
      </c>
      <c r="G78" s="5">
        <f t="shared" ca="1" si="71"/>
        <v>15916293489</v>
      </c>
      <c r="H78" s="12">
        <f t="shared" ca="1" si="72"/>
        <v>-420536477.66666669</v>
      </c>
      <c r="I78" s="99"/>
      <c r="J78" s="3">
        <f t="shared" ref="J78:M78" si="80">$K$1*B78</f>
        <v>200</v>
      </c>
      <c r="K78" s="3">
        <f t="shared" si="80"/>
        <v>300</v>
      </c>
      <c r="L78" s="3">
        <f t="shared" si="80"/>
        <v>230</v>
      </c>
      <c r="M78" s="3">
        <f t="shared" si="80"/>
        <v>30</v>
      </c>
      <c r="N78">
        <f t="shared" si="74"/>
        <v>0</v>
      </c>
    </row>
    <row r="79" spans="1:15" ht="15.75" customHeight="1">
      <c r="A79" s="97"/>
      <c r="B79" s="98">
        <v>23</v>
      </c>
      <c r="C79" s="98">
        <v>27</v>
      </c>
      <c r="D79" s="98">
        <v>24</v>
      </c>
      <c r="E79" s="98">
        <v>3</v>
      </c>
      <c r="F79" s="98">
        <v>5.0496063660130996</v>
      </c>
      <c r="G79" s="5">
        <f t="shared" ca="1" si="71"/>
        <v>15661804918</v>
      </c>
      <c r="H79" s="12">
        <f t="shared" ca="1" si="72"/>
        <v>-335706954</v>
      </c>
      <c r="I79" s="99"/>
      <c r="J79" s="3">
        <f t="shared" ref="J79:M79" si="81">$K$1*B79</f>
        <v>230</v>
      </c>
      <c r="K79" s="3">
        <f t="shared" si="81"/>
        <v>270</v>
      </c>
      <c r="L79" s="3">
        <f t="shared" si="81"/>
        <v>240</v>
      </c>
      <c r="M79" s="3">
        <f t="shared" si="81"/>
        <v>30</v>
      </c>
      <c r="N79">
        <f t="shared" si="74"/>
        <v>0</v>
      </c>
    </row>
    <row r="80" spans="1:15" ht="15.75" customHeight="1">
      <c r="A80" s="97"/>
      <c r="B80" s="98">
        <v>26</v>
      </c>
      <c r="C80" s="98">
        <v>24</v>
      </c>
      <c r="D80" s="98">
        <v>25</v>
      </c>
      <c r="E80" s="98">
        <v>3</v>
      </c>
      <c r="F80" s="98">
        <v>5.0496160254775004</v>
      </c>
      <c r="G80" s="5">
        <f t="shared" ca="1" si="71"/>
        <v>15407316347</v>
      </c>
      <c r="H80" s="12">
        <f t="shared" ca="1" si="72"/>
        <v>-250877430.33333334</v>
      </c>
      <c r="I80" s="99"/>
      <c r="J80" s="3">
        <f t="shared" ref="J80:M80" si="82">$K$1*B80</f>
        <v>260</v>
      </c>
      <c r="K80" s="3">
        <f t="shared" si="82"/>
        <v>240</v>
      </c>
      <c r="L80" s="3">
        <f t="shared" si="82"/>
        <v>250</v>
      </c>
      <c r="M80" s="3">
        <f t="shared" si="82"/>
        <v>30</v>
      </c>
      <c r="N80">
        <f t="shared" si="74"/>
        <v>0</v>
      </c>
    </row>
    <row r="81" spans="1:15" ht="15.75" customHeight="1">
      <c r="A81" s="97"/>
      <c r="B81" s="98">
        <v>29</v>
      </c>
      <c r="C81" s="98">
        <v>21</v>
      </c>
      <c r="D81" s="98">
        <v>26</v>
      </c>
      <c r="E81" s="98">
        <v>3</v>
      </c>
      <c r="F81" s="98">
        <v>5.0496256849604002</v>
      </c>
      <c r="G81" s="5">
        <f t="shared" ca="1" si="71"/>
        <v>15152827776</v>
      </c>
      <c r="H81" s="12">
        <f t="shared" ca="1" si="72"/>
        <v>-166047906.66666666</v>
      </c>
      <c r="I81" s="99"/>
      <c r="J81" s="3">
        <f t="shared" ref="J81:M81" si="83">$K$1*B81</f>
        <v>290</v>
      </c>
      <c r="K81" s="3">
        <f t="shared" si="83"/>
        <v>210</v>
      </c>
      <c r="L81" s="3">
        <f t="shared" si="83"/>
        <v>260</v>
      </c>
      <c r="M81" s="3">
        <f t="shared" si="83"/>
        <v>30</v>
      </c>
      <c r="N81">
        <f t="shared" si="74"/>
        <v>0</v>
      </c>
    </row>
    <row r="82" spans="1:15" ht="15.75" customHeight="1">
      <c r="A82" s="97"/>
      <c r="B82" s="98">
        <v>32</v>
      </c>
      <c r="C82" s="98">
        <v>18</v>
      </c>
      <c r="D82" s="98">
        <v>27</v>
      </c>
      <c r="E82" s="98">
        <v>3</v>
      </c>
      <c r="F82" s="98">
        <v>5.0496353444617998</v>
      </c>
      <c r="G82" s="5">
        <f t="shared" ca="1" si="71"/>
        <v>14898339205</v>
      </c>
      <c r="H82" s="12">
        <f t="shared" ca="1" si="72"/>
        <v>-81218383</v>
      </c>
      <c r="I82" s="99"/>
      <c r="J82" s="3">
        <f t="shared" ref="J82:M82" si="84">$K$1*B82</f>
        <v>320</v>
      </c>
      <c r="K82" s="3">
        <f t="shared" si="84"/>
        <v>180</v>
      </c>
      <c r="L82" s="3">
        <f t="shared" si="84"/>
        <v>270</v>
      </c>
      <c r="M82" s="3">
        <f t="shared" si="84"/>
        <v>30</v>
      </c>
      <c r="N82">
        <f t="shared" si="74"/>
        <v>0</v>
      </c>
    </row>
    <row r="83" spans="1:15" ht="15.75" customHeight="1">
      <c r="A83" s="97"/>
      <c r="B83" s="98">
        <v>35</v>
      </c>
      <c r="C83" s="98">
        <v>15</v>
      </c>
      <c r="D83" s="98">
        <v>28</v>
      </c>
      <c r="E83" s="98">
        <v>3</v>
      </c>
      <c r="F83" s="98">
        <v>5.0496450039817002</v>
      </c>
      <c r="G83" s="5">
        <f t="shared" ca="1" si="71"/>
        <v>14643850634</v>
      </c>
      <c r="H83" s="12">
        <f t="shared" ca="1" si="72"/>
        <v>3611140.6666666665</v>
      </c>
      <c r="I83" s="99"/>
      <c r="J83" s="3">
        <f t="shared" ref="J83:M83" si="85">$K$1*B83</f>
        <v>350</v>
      </c>
      <c r="K83" s="3">
        <f t="shared" si="85"/>
        <v>150</v>
      </c>
      <c r="L83" s="3">
        <f t="shared" si="85"/>
        <v>280</v>
      </c>
      <c r="M83" s="3">
        <f t="shared" si="85"/>
        <v>30</v>
      </c>
      <c r="N83">
        <f t="shared" si="74"/>
        <v>0</v>
      </c>
    </row>
    <row r="84" spans="1:15" ht="15.75" customHeight="1">
      <c r="A84" s="97"/>
      <c r="B84" s="98">
        <v>38</v>
      </c>
      <c r="C84" s="98">
        <v>12</v>
      </c>
      <c r="D84" s="98">
        <v>29</v>
      </c>
      <c r="E84" s="98">
        <v>3</v>
      </c>
      <c r="F84" s="98">
        <v>5.0496546635200001</v>
      </c>
      <c r="G84" s="5">
        <f t="shared" ca="1" si="71"/>
        <v>14389362063</v>
      </c>
      <c r="H84" s="12">
        <f t="shared" ca="1" si="72"/>
        <v>88440664.333333328</v>
      </c>
      <c r="I84" s="99"/>
      <c r="J84" s="3">
        <f t="shared" ref="J84:M84" si="86">$K$1*B84</f>
        <v>380</v>
      </c>
      <c r="K84" s="3">
        <f t="shared" si="86"/>
        <v>120</v>
      </c>
      <c r="L84" s="3">
        <f t="shared" si="86"/>
        <v>290</v>
      </c>
      <c r="M84" s="3">
        <f t="shared" si="86"/>
        <v>30</v>
      </c>
      <c r="N84">
        <f t="shared" si="74"/>
        <v>0</v>
      </c>
    </row>
    <row r="85" spans="1:15" ht="15.75" customHeight="1">
      <c r="A85" s="97"/>
      <c r="B85" s="98">
        <v>41</v>
      </c>
      <c r="C85" s="98">
        <v>9</v>
      </c>
      <c r="D85" s="98">
        <v>30</v>
      </c>
      <c r="E85" s="98">
        <v>3</v>
      </c>
      <c r="F85" s="98">
        <v>5.0496643230767999</v>
      </c>
      <c r="G85" s="5">
        <f t="shared" ca="1" si="71"/>
        <v>14134873492</v>
      </c>
      <c r="H85" s="12">
        <f t="shared" ca="1" si="72"/>
        <v>173270188</v>
      </c>
      <c r="I85" s="99"/>
      <c r="J85" s="3">
        <f t="shared" ref="J85:M85" si="87">$K$1*B85</f>
        <v>410</v>
      </c>
      <c r="K85" s="3">
        <f t="shared" si="87"/>
        <v>90</v>
      </c>
      <c r="L85" s="3">
        <f t="shared" si="87"/>
        <v>300</v>
      </c>
      <c r="M85" s="3">
        <f t="shared" si="87"/>
        <v>30</v>
      </c>
      <c r="N85">
        <f t="shared" si="74"/>
        <v>0</v>
      </c>
    </row>
    <row r="86" spans="1:15" ht="15.75" customHeight="1">
      <c r="A86" s="97"/>
      <c r="B86" s="98">
        <v>44</v>
      </c>
      <c r="C86" s="98">
        <v>6</v>
      </c>
      <c r="D86" s="98">
        <v>31</v>
      </c>
      <c r="E86" s="98">
        <v>3</v>
      </c>
      <c r="F86" s="98">
        <v>5.0496739826521004</v>
      </c>
      <c r="G86" s="5">
        <f t="shared" ca="1" si="71"/>
        <v>13880384921</v>
      </c>
      <c r="H86" s="12">
        <f t="shared" ca="1" si="72"/>
        <v>258099711.66666666</v>
      </c>
      <c r="I86" s="99"/>
      <c r="J86" s="3">
        <f t="shared" ref="J86:M86" si="88">$K$1*B86</f>
        <v>440</v>
      </c>
      <c r="K86" s="3">
        <f t="shared" si="88"/>
        <v>60</v>
      </c>
      <c r="L86" s="3">
        <f t="shared" si="88"/>
        <v>310</v>
      </c>
      <c r="M86" s="3">
        <f t="shared" si="88"/>
        <v>30</v>
      </c>
      <c r="N86">
        <f t="shared" si="74"/>
        <v>0</v>
      </c>
    </row>
    <row r="87" spans="1:15" ht="15.75" customHeight="1">
      <c r="A87" s="97"/>
      <c r="B87" s="98">
        <v>47</v>
      </c>
      <c r="C87" s="98">
        <v>3</v>
      </c>
      <c r="D87" s="98">
        <v>32</v>
      </c>
      <c r="E87" s="98">
        <v>3</v>
      </c>
      <c r="F87" s="98">
        <v>5.0496836422458999</v>
      </c>
      <c r="G87" s="5">
        <f t="shared" ca="1" si="71"/>
        <v>13625896350</v>
      </c>
      <c r="H87" s="12">
        <f t="shared" ca="1" si="72"/>
        <v>342929235.33333331</v>
      </c>
      <c r="I87" s="99"/>
      <c r="J87" s="3">
        <f t="shared" ref="J87:M87" si="89">$K$1*B87</f>
        <v>470</v>
      </c>
      <c r="K87" s="3">
        <f t="shared" si="89"/>
        <v>30</v>
      </c>
      <c r="L87" s="3">
        <f t="shared" si="89"/>
        <v>320</v>
      </c>
      <c r="M87" s="3">
        <f t="shared" si="89"/>
        <v>30</v>
      </c>
      <c r="N87">
        <f t="shared" si="74"/>
        <v>0</v>
      </c>
    </row>
    <row r="88" spans="1:15" ht="15.75" customHeight="1">
      <c r="A88" s="97"/>
      <c r="B88" s="98">
        <v>50</v>
      </c>
      <c r="C88" s="98">
        <v>0</v>
      </c>
      <c r="D88" s="98">
        <v>33</v>
      </c>
      <c r="E88" s="98">
        <v>3</v>
      </c>
      <c r="F88" s="98">
        <v>5.0496933018580998</v>
      </c>
      <c r="G88" s="5">
        <f t="shared" ca="1" si="71"/>
        <v>13371407779</v>
      </c>
      <c r="H88" s="12">
        <f t="shared" ca="1" si="72"/>
        <v>427758759</v>
      </c>
      <c r="I88" s="99"/>
      <c r="J88" s="3">
        <f t="shared" ref="J88:M88" si="90">$K$1*B88</f>
        <v>500</v>
      </c>
      <c r="K88" s="3">
        <f t="shared" si="90"/>
        <v>0</v>
      </c>
      <c r="L88" s="3">
        <f t="shared" si="90"/>
        <v>330</v>
      </c>
      <c r="M88" s="3">
        <f t="shared" si="90"/>
        <v>30</v>
      </c>
      <c r="N88">
        <f t="shared" si="74"/>
        <v>0</v>
      </c>
    </row>
    <row r="89" spans="1:15" ht="15.75" customHeight="1">
      <c r="A89" s="97"/>
      <c r="B89" s="97"/>
      <c r="C89" s="97"/>
      <c r="D89" s="97"/>
      <c r="E89" s="97"/>
      <c r="F89" s="97"/>
      <c r="G89" s="91"/>
      <c r="H89" s="100"/>
      <c r="I89" s="99"/>
      <c r="J89" s="12"/>
      <c r="K89" s="12"/>
      <c r="L89" s="12"/>
      <c r="M89" s="12"/>
      <c r="N89" s="12"/>
      <c r="O89" s="12"/>
    </row>
    <row r="90" spans="1:15" ht="15.75" customHeight="1">
      <c r="A90" s="97"/>
      <c r="B90" s="98">
        <v>2</v>
      </c>
      <c r="C90" s="98">
        <v>53</v>
      </c>
      <c r="D90" s="98">
        <v>12</v>
      </c>
      <c r="E90" s="98">
        <v>4</v>
      </c>
      <c r="F90" s="98">
        <v>5.0495856578977998</v>
      </c>
      <c r="G90" s="5">
        <f t="shared" ref="G90:G107" ca="1" si="91">(B90*$B$3)+(C90*$C$3)+(D90*$D$3)</f>
        <v>17407084530</v>
      </c>
      <c r="H90" s="12">
        <f t="shared" ref="H90:H107" ca="1" si="92">($G$3-G90)/E90</f>
        <v>-688100118.5</v>
      </c>
      <c r="I90" s="99"/>
      <c r="J90" s="3">
        <f t="shared" ref="J90:M90" si="93">$K$1*B90</f>
        <v>20</v>
      </c>
      <c r="K90" s="3">
        <f t="shared" si="93"/>
        <v>530</v>
      </c>
      <c r="L90" s="3">
        <f t="shared" si="93"/>
        <v>120</v>
      </c>
      <c r="M90" s="3">
        <f t="shared" si="93"/>
        <v>40</v>
      </c>
      <c r="N90">
        <f t="shared" ref="N90:N107" si="94">ROUNDDOWN(MIN($J$3/(B90+0.001),$K$3/(C90+0.001),$L$3/(D90+0.001),$M$3/(E90+0.001)),0)</f>
        <v>0</v>
      </c>
    </row>
    <row r="91" spans="1:15" ht="15.75" customHeight="1">
      <c r="A91" s="97"/>
      <c r="B91" s="98">
        <v>5</v>
      </c>
      <c r="C91" s="98">
        <v>50</v>
      </c>
      <c r="D91" s="98">
        <v>13</v>
      </c>
      <c r="E91" s="98">
        <v>4</v>
      </c>
      <c r="F91" s="98">
        <v>5.0495953173226003</v>
      </c>
      <c r="G91" s="5">
        <f t="shared" ca="1" si="91"/>
        <v>17152595959</v>
      </c>
      <c r="H91" s="12">
        <f t="shared" ca="1" si="92"/>
        <v>-624477975.75</v>
      </c>
      <c r="I91" s="99"/>
      <c r="J91" s="3">
        <f t="shared" ref="J91:M91" si="95">$K$1*B91</f>
        <v>50</v>
      </c>
      <c r="K91" s="3">
        <f t="shared" si="95"/>
        <v>500</v>
      </c>
      <c r="L91" s="3">
        <f t="shared" si="95"/>
        <v>130</v>
      </c>
      <c r="M91" s="3">
        <f t="shared" si="95"/>
        <v>40</v>
      </c>
      <c r="N91">
        <f t="shared" si="94"/>
        <v>0</v>
      </c>
    </row>
    <row r="92" spans="1:15" ht="15.75" customHeight="1">
      <c r="A92" s="97"/>
      <c r="B92" s="98">
        <v>8</v>
      </c>
      <c r="C92" s="98">
        <v>47</v>
      </c>
      <c r="D92" s="98">
        <v>14</v>
      </c>
      <c r="E92" s="98">
        <v>4</v>
      </c>
      <c r="F92" s="98">
        <v>5.0496049767658997</v>
      </c>
      <c r="G92" s="5">
        <f t="shared" ca="1" si="91"/>
        <v>16898107388</v>
      </c>
      <c r="H92" s="12">
        <f t="shared" ca="1" si="92"/>
        <v>-560855833</v>
      </c>
      <c r="I92" s="99"/>
      <c r="J92" s="3">
        <f t="shared" ref="J92:M92" si="96">$K$1*B92</f>
        <v>80</v>
      </c>
      <c r="K92" s="3">
        <f t="shared" si="96"/>
        <v>470</v>
      </c>
      <c r="L92" s="3">
        <f t="shared" si="96"/>
        <v>140</v>
      </c>
      <c r="M92" s="3">
        <f t="shared" si="96"/>
        <v>40</v>
      </c>
      <c r="N92">
        <f t="shared" si="94"/>
        <v>0</v>
      </c>
    </row>
    <row r="93" spans="1:15" ht="15.75" customHeight="1">
      <c r="A93" s="97"/>
      <c r="B93" s="98">
        <v>11</v>
      </c>
      <c r="C93" s="98">
        <v>44</v>
      </c>
      <c r="D93" s="98">
        <v>15</v>
      </c>
      <c r="E93" s="98">
        <v>4</v>
      </c>
      <c r="F93" s="98">
        <v>5.0496146362276999</v>
      </c>
      <c r="G93" s="5">
        <f t="shared" ca="1" si="91"/>
        <v>16643618817</v>
      </c>
      <c r="H93" s="12">
        <f t="shared" ca="1" si="92"/>
        <v>-497233690.25</v>
      </c>
      <c r="I93" s="99"/>
      <c r="J93" s="3">
        <f t="shared" ref="J93:M93" si="97">$K$1*B93</f>
        <v>110</v>
      </c>
      <c r="K93" s="3">
        <f t="shared" si="97"/>
        <v>440</v>
      </c>
      <c r="L93" s="3">
        <f t="shared" si="97"/>
        <v>150</v>
      </c>
      <c r="M93" s="3">
        <f t="shared" si="97"/>
        <v>40</v>
      </c>
      <c r="N93">
        <f t="shared" si="94"/>
        <v>0</v>
      </c>
    </row>
    <row r="94" spans="1:15" ht="15.75" customHeight="1">
      <c r="A94" s="97"/>
      <c r="B94" s="98">
        <v>14</v>
      </c>
      <c r="C94" s="98">
        <v>41</v>
      </c>
      <c r="D94" s="98">
        <v>16</v>
      </c>
      <c r="E94" s="98">
        <v>4</v>
      </c>
      <c r="F94" s="98">
        <v>5.0496242957078996</v>
      </c>
      <c r="G94" s="5">
        <f t="shared" ca="1" si="91"/>
        <v>16389130246</v>
      </c>
      <c r="H94" s="12">
        <f t="shared" ca="1" si="92"/>
        <v>-433611547.5</v>
      </c>
      <c r="I94" s="99"/>
      <c r="J94" s="3">
        <f t="shared" ref="J94:M94" si="98">$K$1*B94</f>
        <v>140</v>
      </c>
      <c r="K94" s="3">
        <f t="shared" si="98"/>
        <v>410</v>
      </c>
      <c r="L94" s="3">
        <f t="shared" si="98"/>
        <v>160</v>
      </c>
      <c r="M94" s="3">
        <f t="shared" si="98"/>
        <v>40</v>
      </c>
      <c r="N94">
        <f t="shared" si="94"/>
        <v>0</v>
      </c>
    </row>
    <row r="95" spans="1:15" ht="15.75" customHeight="1">
      <c r="A95" s="97"/>
      <c r="B95" s="98">
        <v>17</v>
      </c>
      <c r="C95" s="98">
        <v>38</v>
      </c>
      <c r="D95" s="98">
        <v>17</v>
      </c>
      <c r="E95" s="98">
        <v>4</v>
      </c>
      <c r="F95" s="98">
        <v>5.0496339552066001</v>
      </c>
      <c r="G95" s="5">
        <f t="shared" ca="1" si="91"/>
        <v>16134641675</v>
      </c>
      <c r="H95" s="12">
        <f t="shared" ca="1" si="92"/>
        <v>-369989404.75</v>
      </c>
      <c r="I95" s="99"/>
      <c r="J95" s="3">
        <f t="shared" ref="J95:M95" si="99">$K$1*B95</f>
        <v>170</v>
      </c>
      <c r="K95" s="3">
        <f t="shared" si="99"/>
        <v>380</v>
      </c>
      <c r="L95" s="3">
        <f t="shared" si="99"/>
        <v>170</v>
      </c>
      <c r="M95" s="3">
        <f t="shared" si="99"/>
        <v>40</v>
      </c>
      <c r="N95">
        <f t="shared" si="94"/>
        <v>0</v>
      </c>
    </row>
    <row r="96" spans="1:15" ht="15.75" customHeight="1">
      <c r="A96" s="97"/>
      <c r="B96" s="98">
        <v>20</v>
      </c>
      <c r="C96" s="98">
        <v>35</v>
      </c>
      <c r="D96" s="98">
        <v>18</v>
      </c>
      <c r="E96" s="98">
        <v>4</v>
      </c>
      <c r="F96" s="98">
        <v>5.0496436147238004</v>
      </c>
      <c r="G96" s="5">
        <f t="shared" ca="1" si="91"/>
        <v>15880153104</v>
      </c>
      <c r="H96" s="12">
        <f t="shared" ca="1" si="92"/>
        <v>-306367262</v>
      </c>
      <c r="I96" s="99"/>
      <c r="J96" s="3">
        <f t="shared" ref="J96:M96" si="100">$K$1*B96</f>
        <v>200</v>
      </c>
      <c r="K96" s="3">
        <f t="shared" si="100"/>
        <v>350</v>
      </c>
      <c r="L96" s="3">
        <f t="shared" si="100"/>
        <v>180</v>
      </c>
      <c r="M96" s="3">
        <f t="shared" si="100"/>
        <v>40</v>
      </c>
      <c r="N96">
        <f t="shared" si="94"/>
        <v>0</v>
      </c>
    </row>
    <row r="97" spans="1:15" ht="15.75" customHeight="1">
      <c r="A97" s="97"/>
      <c r="B97" s="98">
        <v>23</v>
      </c>
      <c r="C97" s="98">
        <v>32</v>
      </c>
      <c r="D97" s="98">
        <v>19</v>
      </c>
      <c r="E97" s="98">
        <v>4</v>
      </c>
      <c r="F97" s="98">
        <v>5.0496532742594997</v>
      </c>
      <c r="G97" s="5">
        <f t="shared" ca="1" si="91"/>
        <v>15625664533</v>
      </c>
      <c r="H97" s="12">
        <f t="shared" ca="1" si="92"/>
        <v>-242745119.25</v>
      </c>
      <c r="I97" s="99"/>
      <c r="J97" s="3">
        <f t="shared" ref="J97:M97" si="101">$K$1*B97</f>
        <v>230</v>
      </c>
      <c r="K97" s="3">
        <f t="shared" si="101"/>
        <v>320</v>
      </c>
      <c r="L97" s="3">
        <f t="shared" si="101"/>
        <v>190</v>
      </c>
      <c r="M97" s="3">
        <f t="shared" si="101"/>
        <v>40</v>
      </c>
      <c r="N97">
        <f t="shared" si="94"/>
        <v>0</v>
      </c>
    </row>
    <row r="98" spans="1:15" ht="15.75" customHeight="1">
      <c r="A98" s="97"/>
      <c r="B98" s="98">
        <v>26</v>
      </c>
      <c r="C98" s="98">
        <v>29</v>
      </c>
      <c r="D98" s="98">
        <v>20</v>
      </c>
      <c r="E98" s="98">
        <v>4</v>
      </c>
      <c r="F98" s="98">
        <v>5.0496629338136998</v>
      </c>
      <c r="G98" s="5">
        <f t="shared" ca="1" si="91"/>
        <v>15371175962</v>
      </c>
      <c r="H98" s="12">
        <f t="shared" ca="1" si="92"/>
        <v>-179122976.5</v>
      </c>
      <c r="I98" s="99"/>
      <c r="J98" s="3">
        <f t="shared" ref="J98:M98" si="102">$K$1*B98</f>
        <v>260</v>
      </c>
      <c r="K98" s="3">
        <f t="shared" si="102"/>
        <v>290</v>
      </c>
      <c r="L98" s="3">
        <f t="shared" si="102"/>
        <v>200</v>
      </c>
      <c r="M98" s="3">
        <f t="shared" si="102"/>
        <v>40</v>
      </c>
      <c r="N98">
        <f t="shared" si="94"/>
        <v>0</v>
      </c>
    </row>
    <row r="99" spans="1:15" ht="15.75" customHeight="1">
      <c r="A99" s="97"/>
      <c r="B99" s="98">
        <v>29</v>
      </c>
      <c r="C99" s="98">
        <v>26</v>
      </c>
      <c r="D99" s="98">
        <v>21</v>
      </c>
      <c r="E99" s="98">
        <v>4</v>
      </c>
      <c r="F99" s="98">
        <v>5.0496725933863003</v>
      </c>
      <c r="G99" s="5">
        <f t="shared" ca="1" si="91"/>
        <v>15116687391</v>
      </c>
      <c r="H99" s="12">
        <f t="shared" ca="1" si="92"/>
        <v>-115500833.75</v>
      </c>
      <c r="I99" s="99"/>
      <c r="J99" s="3">
        <f t="shared" ref="J99:M99" si="103">$K$1*B99</f>
        <v>290</v>
      </c>
      <c r="K99" s="3">
        <f t="shared" si="103"/>
        <v>260</v>
      </c>
      <c r="L99" s="3">
        <f t="shared" si="103"/>
        <v>210</v>
      </c>
      <c r="M99" s="3">
        <f t="shared" si="103"/>
        <v>40</v>
      </c>
      <c r="N99">
        <f t="shared" si="94"/>
        <v>0</v>
      </c>
    </row>
    <row r="100" spans="1:15" ht="15.75" customHeight="1">
      <c r="A100" s="97"/>
      <c r="B100" s="98">
        <v>32</v>
      </c>
      <c r="C100" s="98">
        <v>23</v>
      </c>
      <c r="D100" s="98">
        <v>22</v>
      </c>
      <c r="E100" s="98">
        <v>4</v>
      </c>
      <c r="F100" s="98">
        <v>5.0496822529773997</v>
      </c>
      <c r="G100" s="5">
        <f t="shared" ca="1" si="91"/>
        <v>14862198820</v>
      </c>
      <c r="H100" s="12">
        <f t="shared" ca="1" si="92"/>
        <v>-51878691</v>
      </c>
      <c r="I100" s="99"/>
      <c r="J100" s="3">
        <f t="shared" ref="J100:M100" si="104">$K$1*B100</f>
        <v>320</v>
      </c>
      <c r="K100" s="3">
        <f t="shared" si="104"/>
        <v>230</v>
      </c>
      <c r="L100" s="3">
        <f t="shared" si="104"/>
        <v>220</v>
      </c>
      <c r="M100" s="3">
        <f t="shared" si="104"/>
        <v>40</v>
      </c>
      <c r="N100">
        <f t="shared" si="94"/>
        <v>0</v>
      </c>
    </row>
    <row r="101" spans="1:15" ht="15.75" customHeight="1">
      <c r="A101" s="97"/>
      <c r="B101" s="98">
        <v>35</v>
      </c>
      <c r="C101" s="98">
        <v>20</v>
      </c>
      <c r="D101" s="98">
        <v>23</v>
      </c>
      <c r="E101" s="98">
        <v>4</v>
      </c>
      <c r="F101" s="98">
        <v>5.0496919125869999</v>
      </c>
      <c r="G101" s="5">
        <f t="shared" ca="1" si="91"/>
        <v>14607710249</v>
      </c>
      <c r="H101" s="12">
        <f t="shared" ca="1" si="92"/>
        <v>11743451.75</v>
      </c>
      <c r="I101" s="99"/>
      <c r="J101" s="3">
        <f t="shared" ref="J101:M101" si="105">$K$1*B101</f>
        <v>350</v>
      </c>
      <c r="K101" s="3">
        <f t="shared" si="105"/>
        <v>200</v>
      </c>
      <c r="L101" s="3">
        <f t="shared" si="105"/>
        <v>230</v>
      </c>
      <c r="M101" s="3">
        <f t="shared" si="105"/>
        <v>40</v>
      </c>
      <c r="N101">
        <f t="shared" si="94"/>
        <v>0</v>
      </c>
    </row>
    <row r="102" spans="1:15" ht="15.75" customHeight="1">
      <c r="A102" s="97"/>
      <c r="B102" s="98">
        <v>38</v>
      </c>
      <c r="C102" s="98">
        <v>17</v>
      </c>
      <c r="D102" s="98">
        <v>24</v>
      </c>
      <c r="E102" s="98">
        <v>4</v>
      </c>
      <c r="F102" s="98">
        <v>5.0497015722151</v>
      </c>
      <c r="G102" s="5">
        <f t="shared" ca="1" si="91"/>
        <v>14353221678</v>
      </c>
      <c r="H102" s="12">
        <f t="shared" ca="1" si="92"/>
        <v>75365594.5</v>
      </c>
      <c r="I102" s="99"/>
      <c r="J102" s="3">
        <f t="shared" ref="J102:M102" si="106">$K$1*B102</f>
        <v>380</v>
      </c>
      <c r="K102" s="3">
        <f t="shared" si="106"/>
        <v>170</v>
      </c>
      <c r="L102" s="3">
        <f t="shared" si="106"/>
        <v>240</v>
      </c>
      <c r="M102" s="3">
        <f t="shared" si="106"/>
        <v>40</v>
      </c>
      <c r="N102">
        <f t="shared" si="94"/>
        <v>0</v>
      </c>
    </row>
    <row r="103" spans="1:15" ht="15.75" customHeight="1">
      <c r="A103" s="97"/>
      <c r="B103" s="98">
        <v>41</v>
      </c>
      <c r="C103" s="98">
        <v>14</v>
      </c>
      <c r="D103" s="98">
        <v>25</v>
      </c>
      <c r="E103" s="98">
        <v>4</v>
      </c>
      <c r="F103" s="98">
        <v>5.0497112318616004</v>
      </c>
      <c r="G103" s="5">
        <f t="shared" ca="1" si="91"/>
        <v>14098733107</v>
      </c>
      <c r="H103" s="12">
        <f t="shared" ca="1" si="92"/>
        <v>138987737.25</v>
      </c>
      <c r="I103" s="99"/>
      <c r="J103" s="3">
        <f t="shared" ref="J103:M103" si="107">$K$1*B103</f>
        <v>410</v>
      </c>
      <c r="K103" s="3">
        <f t="shared" si="107"/>
        <v>140</v>
      </c>
      <c r="L103" s="3">
        <f t="shared" si="107"/>
        <v>250</v>
      </c>
      <c r="M103" s="3">
        <f t="shared" si="107"/>
        <v>40</v>
      </c>
      <c r="N103">
        <f t="shared" si="94"/>
        <v>0</v>
      </c>
    </row>
    <row r="104" spans="1:15" ht="15.75" customHeight="1">
      <c r="A104" s="97"/>
      <c r="B104" s="98">
        <v>44</v>
      </c>
      <c r="C104" s="98">
        <v>11</v>
      </c>
      <c r="D104" s="98">
        <v>26</v>
      </c>
      <c r="E104" s="98">
        <v>4</v>
      </c>
      <c r="F104" s="98">
        <v>5.0497208915265999</v>
      </c>
      <c r="G104" s="5">
        <f t="shared" ca="1" si="91"/>
        <v>13844244536</v>
      </c>
      <c r="H104" s="12">
        <f t="shared" ca="1" si="92"/>
        <v>202609880</v>
      </c>
      <c r="I104" s="99"/>
      <c r="J104" s="3">
        <f t="shared" ref="J104:M104" si="108">$K$1*B104</f>
        <v>440</v>
      </c>
      <c r="K104" s="3">
        <f t="shared" si="108"/>
        <v>110</v>
      </c>
      <c r="L104" s="3">
        <f t="shared" si="108"/>
        <v>260</v>
      </c>
      <c r="M104" s="3">
        <f t="shared" si="108"/>
        <v>40</v>
      </c>
      <c r="N104">
        <f t="shared" si="94"/>
        <v>0</v>
      </c>
    </row>
    <row r="105" spans="1:15" ht="15.75" customHeight="1">
      <c r="A105" s="97"/>
      <c r="B105" s="98">
        <v>47</v>
      </c>
      <c r="C105" s="98">
        <v>8</v>
      </c>
      <c r="D105" s="98">
        <v>27</v>
      </c>
      <c r="E105" s="98">
        <v>4</v>
      </c>
      <c r="F105" s="98">
        <v>5.0497305512101001</v>
      </c>
      <c r="G105" s="5">
        <f t="shared" ca="1" si="91"/>
        <v>13589755965</v>
      </c>
      <c r="H105" s="12">
        <f t="shared" ca="1" si="92"/>
        <v>266232022.75</v>
      </c>
      <c r="I105" s="99"/>
      <c r="J105" s="3">
        <f t="shared" ref="J105:M105" si="109">$K$1*B105</f>
        <v>470</v>
      </c>
      <c r="K105" s="3">
        <f t="shared" si="109"/>
        <v>80</v>
      </c>
      <c r="L105" s="3">
        <f t="shared" si="109"/>
        <v>270</v>
      </c>
      <c r="M105" s="3">
        <f t="shared" si="109"/>
        <v>40</v>
      </c>
      <c r="N105">
        <f t="shared" si="94"/>
        <v>0</v>
      </c>
    </row>
    <row r="106" spans="1:15" ht="15.75" customHeight="1">
      <c r="A106" s="97"/>
      <c r="B106" s="98">
        <v>50</v>
      </c>
      <c r="C106" s="98">
        <v>5</v>
      </c>
      <c r="D106" s="98">
        <v>28</v>
      </c>
      <c r="E106" s="98">
        <v>4</v>
      </c>
      <c r="F106" s="98">
        <v>5.0497402109121001</v>
      </c>
      <c r="G106" s="5">
        <f t="shared" ca="1" si="91"/>
        <v>13335267394</v>
      </c>
      <c r="H106" s="12">
        <f t="shared" ca="1" si="92"/>
        <v>329854165.5</v>
      </c>
      <c r="I106" s="99"/>
      <c r="J106" s="3">
        <f t="shared" ref="J106:M106" si="110">$K$1*B106</f>
        <v>500</v>
      </c>
      <c r="K106" s="3">
        <f t="shared" si="110"/>
        <v>50</v>
      </c>
      <c r="L106" s="3">
        <f t="shared" si="110"/>
        <v>280</v>
      </c>
      <c r="M106" s="3">
        <f t="shared" si="110"/>
        <v>40</v>
      </c>
      <c r="N106">
        <f t="shared" si="94"/>
        <v>0</v>
      </c>
    </row>
    <row r="107" spans="1:15" ht="15.75" customHeight="1">
      <c r="A107" s="97"/>
      <c r="B107" s="98">
        <v>53</v>
      </c>
      <c r="C107" s="98">
        <v>2</v>
      </c>
      <c r="D107" s="98">
        <v>29</v>
      </c>
      <c r="E107" s="98">
        <v>4</v>
      </c>
      <c r="F107" s="98">
        <v>5.0497498706326001</v>
      </c>
      <c r="G107" s="5">
        <f t="shared" ca="1" si="91"/>
        <v>13080778823</v>
      </c>
      <c r="H107" s="12">
        <f t="shared" ca="1" si="92"/>
        <v>393476308.25</v>
      </c>
      <c r="I107" s="99"/>
      <c r="J107" s="3">
        <f t="shared" ref="J107:M107" si="111">$K$1*B107</f>
        <v>530</v>
      </c>
      <c r="K107" s="3">
        <f t="shared" si="111"/>
        <v>20</v>
      </c>
      <c r="L107" s="3">
        <f t="shared" si="111"/>
        <v>290</v>
      </c>
      <c r="M107" s="3">
        <f t="shared" si="111"/>
        <v>40</v>
      </c>
      <c r="N107">
        <f t="shared" si="94"/>
        <v>0</v>
      </c>
    </row>
    <row r="108" spans="1:15" ht="15.75" customHeight="1">
      <c r="A108" s="97"/>
      <c r="B108" s="97"/>
      <c r="C108" s="97"/>
      <c r="D108" s="97"/>
      <c r="E108" s="97"/>
      <c r="F108" s="97"/>
      <c r="G108" s="91"/>
      <c r="H108" s="100"/>
      <c r="I108" s="99"/>
      <c r="J108" s="12"/>
      <c r="K108" s="12"/>
      <c r="L108" s="12"/>
      <c r="M108" s="12"/>
      <c r="N108" s="12"/>
      <c r="O108" s="12"/>
    </row>
    <row r="109" spans="1:15" ht="15.75" customHeight="1">
      <c r="A109" s="97"/>
      <c r="B109" s="98">
        <v>2</v>
      </c>
      <c r="C109" s="98">
        <v>58</v>
      </c>
      <c r="D109" s="98">
        <v>7</v>
      </c>
      <c r="E109" s="98">
        <v>5</v>
      </c>
      <c r="F109" s="98">
        <v>5.0496325659518</v>
      </c>
      <c r="G109" s="5">
        <f t="shared" ref="G109:G128" ca="1" si="112">(B109*$B$3)+(C109*$C$3)+(D109*$D$3)</f>
        <v>17370944145</v>
      </c>
      <c r="H109" s="12">
        <f t="shared" ref="H109:H128" ca="1" si="113">($G$3-G109)/E109</f>
        <v>-543252017.79999995</v>
      </c>
      <c r="I109" s="99"/>
      <c r="J109" s="3">
        <f t="shared" ref="J109:M109" si="114">$K$1*B109</f>
        <v>20</v>
      </c>
      <c r="K109" s="3">
        <f t="shared" si="114"/>
        <v>580</v>
      </c>
      <c r="L109" s="3">
        <f t="shared" si="114"/>
        <v>70</v>
      </c>
      <c r="M109" s="3">
        <f t="shared" si="114"/>
        <v>50</v>
      </c>
      <c r="N109">
        <f t="shared" ref="N109:N128" si="115">ROUNDDOWN(MIN($J$3/(B109+0.001),$K$3/(C109+0.001),$L$3/(D109+0.001),$M$3/(E109+0.001)),0)</f>
        <v>0</v>
      </c>
    </row>
    <row r="110" spans="1:15" ht="15.75" customHeight="1">
      <c r="A110" s="97"/>
      <c r="B110" s="98">
        <v>5</v>
      </c>
      <c r="C110" s="98">
        <v>55</v>
      </c>
      <c r="D110" s="98">
        <v>8</v>
      </c>
      <c r="E110" s="98">
        <v>5</v>
      </c>
      <c r="F110" s="98">
        <v>5.0496422254663997</v>
      </c>
      <c r="G110" s="5">
        <f t="shared" ca="1" si="112"/>
        <v>17116455574</v>
      </c>
      <c r="H110" s="12">
        <f t="shared" ca="1" si="113"/>
        <v>-492354303.60000002</v>
      </c>
      <c r="I110" s="99"/>
      <c r="J110" s="3">
        <f t="shared" ref="J110:M110" si="116">$K$1*B110</f>
        <v>50</v>
      </c>
      <c r="K110" s="3">
        <f t="shared" si="116"/>
        <v>550</v>
      </c>
      <c r="L110" s="3">
        <f t="shared" si="116"/>
        <v>80</v>
      </c>
      <c r="M110" s="3">
        <f t="shared" si="116"/>
        <v>50</v>
      </c>
      <c r="N110">
        <f t="shared" si="115"/>
        <v>0</v>
      </c>
    </row>
    <row r="111" spans="1:15" ht="15.75" customHeight="1">
      <c r="A111" s="97"/>
      <c r="B111" s="98">
        <v>8</v>
      </c>
      <c r="C111" s="98">
        <v>52</v>
      </c>
      <c r="D111" s="98">
        <v>9</v>
      </c>
      <c r="E111" s="98">
        <v>5</v>
      </c>
      <c r="F111" s="98">
        <v>5.0496518849993999</v>
      </c>
      <c r="G111" s="5">
        <f t="shared" ca="1" si="112"/>
        <v>16861967003</v>
      </c>
      <c r="H111" s="12">
        <f t="shared" ca="1" si="113"/>
        <v>-441456589.39999998</v>
      </c>
      <c r="I111" s="99"/>
      <c r="J111" s="3">
        <f t="shared" ref="J111:M111" si="117">$K$1*B111</f>
        <v>80</v>
      </c>
      <c r="K111" s="3">
        <f t="shared" si="117"/>
        <v>520</v>
      </c>
      <c r="L111" s="3">
        <f t="shared" si="117"/>
        <v>90</v>
      </c>
      <c r="M111" s="3">
        <f t="shared" si="117"/>
        <v>50</v>
      </c>
      <c r="N111">
        <f t="shared" si="115"/>
        <v>0</v>
      </c>
    </row>
    <row r="112" spans="1:15" ht="15.75" customHeight="1">
      <c r="A112" s="97"/>
      <c r="B112" s="98">
        <v>11</v>
      </c>
      <c r="C112" s="98">
        <v>49</v>
      </c>
      <c r="D112" s="98">
        <v>10</v>
      </c>
      <c r="E112" s="98">
        <v>5</v>
      </c>
      <c r="F112" s="98">
        <v>5.0496615445508999</v>
      </c>
      <c r="G112" s="5">
        <f t="shared" ca="1" si="112"/>
        <v>16607478432</v>
      </c>
      <c r="H112" s="12">
        <f t="shared" ca="1" si="113"/>
        <v>-390558875.19999999</v>
      </c>
      <c r="I112" s="99"/>
      <c r="J112" s="3">
        <f t="shared" ref="J112:M112" si="118">$K$1*B112</f>
        <v>110</v>
      </c>
      <c r="K112" s="3">
        <f t="shared" si="118"/>
        <v>490</v>
      </c>
      <c r="L112" s="3">
        <f t="shared" si="118"/>
        <v>100</v>
      </c>
      <c r="M112" s="3">
        <f t="shared" si="118"/>
        <v>50</v>
      </c>
      <c r="N112">
        <f t="shared" si="115"/>
        <v>0</v>
      </c>
    </row>
    <row r="113" spans="1:14" ht="15.75" customHeight="1">
      <c r="A113" s="97"/>
      <c r="B113" s="98">
        <v>14</v>
      </c>
      <c r="C113" s="98">
        <v>46</v>
      </c>
      <c r="D113" s="98">
        <v>11</v>
      </c>
      <c r="E113" s="98">
        <v>5</v>
      </c>
      <c r="F113" s="98">
        <v>5.0496712041208998</v>
      </c>
      <c r="G113" s="5">
        <f t="shared" ca="1" si="112"/>
        <v>16352989861</v>
      </c>
      <c r="H113" s="12">
        <f t="shared" ca="1" si="113"/>
        <v>-339661161</v>
      </c>
      <c r="I113" s="99"/>
      <c r="J113" s="3">
        <f t="shared" ref="J113:M113" si="119">$K$1*B113</f>
        <v>140</v>
      </c>
      <c r="K113" s="3">
        <f t="shared" si="119"/>
        <v>460</v>
      </c>
      <c r="L113" s="3">
        <f t="shared" si="119"/>
        <v>110</v>
      </c>
      <c r="M113" s="3">
        <f t="shared" si="119"/>
        <v>50</v>
      </c>
      <c r="N113">
        <f t="shared" si="115"/>
        <v>0</v>
      </c>
    </row>
    <row r="114" spans="1:14" ht="15.75" customHeight="1">
      <c r="A114" s="97"/>
      <c r="B114" s="98">
        <v>17</v>
      </c>
      <c r="C114" s="98">
        <v>43</v>
      </c>
      <c r="D114" s="98">
        <v>12</v>
      </c>
      <c r="E114" s="98">
        <v>5</v>
      </c>
      <c r="F114" s="98">
        <v>5.0496808637093</v>
      </c>
      <c r="G114" s="5">
        <f t="shared" ca="1" si="112"/>
        <v>16098501290</v>
      </c>
      <c r="H114" s="12">
        <f t="shared" ca="1" si="113"/>
        <v>-288763446.80000001</v>
      </c>
      <c r="I114" s="99"/>
      <c r="J114" s="3">
        <f t="shared" ref="J114:M114" si="120">$K$1*B114</f>
        <v>170</v>
      </c>
      <c r="K114" s="3">
        <f t="shared" si="120"/>
        <v>430</v>
      </c>
      <c r="L114" s="3">
        <f t="shared" si="120"/>
        <v>120</v>
      </c>
      <c r="M114" s="3">
        <f t="shared" si="120"/>
        <v>50</v>
      </c>
      <c r="N114">
        <f t="shared" si="115"/>
        <v>0</v>
      </c>
    </row>
    <row r="115" spans="1:14" ht="15.75" customHeight="1">
      <c r="A115" s="97"/>
      <c r="B115" s="98">
        <v>20</v>
      </c>
      <c r="C115" s="98">
        <v>40</v>
      </c>
      <c r="D115" s="98">
        <v>13</v>
      </c>
      <c r="E115" s="98">
        <v>5</v>
      </c>
      <c r="F115" s="98">
        <v>5.0496905233162996</v>
      </c>
      <c r="G115" s="5">
        <f t="shared" ca="1" si="112"/>
        <v>15844012719</v>
      </c>
      <c r="H115" s="12">
        <f t="shared" ca="1" si="113"/>
        <v>-237865732.59999999</v>
      </c>
      <c r="I115" s="99"/>
      <c r="J115" s="3">
        <f t="shared" ref="J115:M115" si="121">$K$1*B115</f>
        <v>200</v>
      </c>
      <c r="K115" s="3">
        <f t="shared" si="121"/>
        <v>400</v>
      </c>
      <c r="L115" s="3">
        <f t="shared" si="121"/>
        <v>130</v>
      </c>
      <c r="M115" s="3">
        <f t="shared" si="121"/>
        <v>50</v>
      </c>
      <c r="N115">
        <f t="shared" si="115"/>
        <v>0</v>
      </c>
    </row>
    <row r="116" spans="1:14" ht="15.75" customHeight="1">
      <c r="A116" s="97"/>
      <c r="B116" s="98">
        <v>23</v>
      </c>
      <c r="C116" s="98">
        <v>37</v>
      </c>
      <c r="D116" s="98">
        <v>14</v>
      </c>
      <c r="E116" s="98">
        <v>5</v>
      </c>
      <c r="F116" s="98">
        <v>5.0497001829416996</v>
      </c>
      <c r="G116" s="5">
        <f t="shared" ca="1" si="112"/>
        <v>15589524148</v>
      </c>
      <c r="H116" s="12">
        <f t="shared" ca="1" si="113"/>
        <v>-186968018.40000001</v>
      </c>
      <c r="I116" s="99"/>
      <c r="J116" s="3">
        <f t="shared" ref="J116:M116" si="122">$K$1*B116</f>
        <v>230</v>
      </c>
      <c r="K116" s="3">
        <f t="shared" si="122"/>
        <v>370</v>
      </c>
      <c r="L116" s="3">
        <f t="shared" si="122"/>
        <v>140</v>
      </c>
      <c r="M116" s="3">
        <f t="shared" si="122"/>
        <v>50</v>
      </c>
      <c r="N116">
        <f t="shared" si="115"/>
        <v>0</v>
      </c>
    </row>
    <row r="117" spans="1:14" ht="15.75" customHeight="1">
      <c r="A117" s="97"/>
      <c r="B117" s="98">
        <v>26</v>
      </c>
      <c r="C117" s="98">
        <v>34</v>
      </c>
      <c r="D117" s="98">
        <v>15</v>
      </c>
      <c r="E117" s="98">
        <v>5</v>
      </c>
      <c r="F117" s="98">
        <v>5.0497098425856004</v>
      </c>
      <c r="G117" s="5">
        <f t="shared" ca="1" si="112"/>
        <v>15335035577</v>
      </c>
      <c r="H117" s="12">
        <f t="shared" ca="1" si="113"/>
        <v>-136070304.19999999</v>
      </c>
      <c r="I117" s="99"/>
      <c r="J117" s="3">
        <f t="shared" ref="J117:M117" si="123">$K$1*B117</f>
        <v>260</v>
      </c>
      <c r="K117" s="3">
        <f t="shared" si="123"/>
        <v>340</v>
      </c>
      <c r="L117" s="3">
        <f t="shared" si="123"/>
        <v>150</v>
      </c>
      <c r="M117" s="3">
        <f t="shared" si="123"/>
        <v>50</v>
      </c>
      <c r="N117">
        <f t="shared" si="115"/>
        <v>0</v>
      </c>
    </row>
    <row r="118" spans="1:14" ht="15.75" customHeight="1">
      <c r="A118" s="97"/>
      <c r="B118" s="98">
        <v>29</v>
      </c>
      <c r="C118" s="98">
        <v>31</v>
      </c>
      <c r="D118" s="98">
        <v>16</v>
      </c>
      <c r="E118" s="98">
        <v>5</v>
      </c>
      <c r="F118" s="98">
        <v>5.0497195022478998</v>
      </c>
      <c r="G118" s="5">
        <f t="shared" ca="1" si="112"/>
        <v>15080547006</v>
      </c>
      <c r="H118" s="12">
        <f t="shared" ca="1" si="113"/>
        <v>-85172590</v>
      </c>
      <c r="I118" s="99"/>
      <c r="J118" s="3">
        <f t="shared" ref="J118:M118" si="124">$K$1*B118</f>
        <v>290</v>
      </c>
      <c r="K118" s="3">
        <f t="shared" si="124"/>
        <v>310</v>
      </c>
      <c r="L118" s="3">
        <f t="shared" si="124"/>
        <v>160</v>
      </c>
      <c r="M118" s="3">
        <f t="shared" si="124"/>
        <v>50</v>
      </c>
      <c r="N118">
        <f t="shared" si="115"/>
        <v>0</v>
      </c>
    </row>
    <row r="119" spans="1:14" ht="15.75" customHeight="1">
      <c r="A119" s="97"/>
      <c r="B119" s="98">
        <v>32</v>
      </c>
      <c r="C119" s="98">
        <v>28</v>
      </c>
      <c r="D119" s="98">
        <v>17</v>
      </c>
      <c r="E119" s="98">
        <v>5</v>
      </c>
      <c r="F119" s="98">
        <v>5.0497291619288003</v>
      </c>
      <c r="G119" s="5">
        <f t="shared" ca="1" si="112"/>
        <v>14826058435</v>
      </c>
      <c r="H119" s="12">
        <f t="shared" ca="1" si="113"/>
        <v>-34274875.799999997</v>
      </c>
      <c r="I119" s="99"/>
      <c r="J119" s="3">
        <f t="shared" ref="J119:M119" si="125">$K$1*B119</f>
        <v>320</v>
      </c>
      <c r="K119" s="3">
        <f t="shared" si="125"/>
        <v>280</v>
      </c>
      <c r="L119" s="3">
        <f t="shared" si="125"/>
        <v>170</v>
      </c>
      <c r="M119" s="3">
        <f t="shared" si="125"/>
        <v>50</v>
      </c>
      <c r="N119">
        <f t="shared" si="115"/>
        <v>0</v>
      </c>
    </row>
    <row r="120" spans="1:14" ht="15.75" customHeight="1">
      <c r="A120" s="97"/>
      <c r="B120" s="98">
        <v>35</v>
      </c>
      <c r="C120" s="98">
        <v>25</v>
      </c>
      <c r="D120" s="98">
        <v>18</v>
      </c>
      <c r="E120" s="98">
        <v>5</v>
      </c>
      <c r="F120" s="98">
        <v>5.0497388216281003</v>
      </c>
      <c r="G120" s="5">
        <f t="shared" ca="1" si="112"/>
        <v>14571569864</v>
      </c>
      <c r="H120" s="12">
        <f t="shared" ca="1" si="113"/>
        <v>16622838.4</v>
      </c>
      <c r="I120" s="99"/>
      <c r="J120" s="3">
        <f t="shared" ref="J120:M120" si="126">$K$1*B120</f>
        <v>350</v>
      </c>
      <c r="K120" s="3">
        <f t="shared" si="126"/>
        <v>250</v>
      </c>
      <c r="L120" s="3">
        <f t="shared" si="126"/>
        <v>180</v>
      </c>
      <c r="M120" s="3">
        <f t="shared" si="126"/>
        <v>50</v>
      </c>
      <c r="N120">
        <f t="shared" si="115"/>
        <v>0</v>
      </c>
    </row>
    <row r="121" spans="1:14" ht="15.75" customHeight="1">
      <c r="A121" s="97"/>
      <c r="B121" s="98">
        <v>38</v>
      </c>
      <c r="C121" s="98">
        <v>22</v>
      </c>
      <c r="D121" s="98">
        <v>19</v>
      </c>
      <c r="E121" s="98">
        <v>5</v>
      </c>
      <c r="F121" s="98">
        <v>5.0497484813459002</v>
      </c>
      <c r="G121" s="5">
        <f t="shared" ca="1" si="112"/>
        <v>14317081293</v>
      </c>
      <c r="H121" s="12">
        <f t="shared" ca="1" si="113"/>
        <v>67520552.599999994</v>
      </c>
      <c r="I121" s="99"/>
      <c r="J121" s="3">
        <f t="shared" ref="J121:M121" si="127">$K$1*B121</f>
        <v>380</v>
      </c>
      <c r="K121" s="3">
        <f t="shared" si="127"/>
        <v>220</v>
      </c>
      <c r="L121" s="3">
        <f t="shared" si="127"/>
        <v>190</v>
      </c>
      <c r="M121" s="3">
        <f t="shared" si="127"/>
        <v>50</v>
      </c>
      <c r="N121">
        <f t="shared" si="115"/>
        <v>0</v>
      </c>
    </row>
    <row r="122" spans="1:14" ht="15.75" customHeight="1">
      <c r="A122" s="97"/>
      <c r="B122" s="98">
        <v>41</v>
      </c>
      <c r="C122" s="98">
        <v>19</v>
      </c>
      <c r="D122" s="98">
        <v>20</v>
      </c>
      <c r="E122" s="98">
        <v>5</v>
      </c>
      <c r="F122" s="98">
        <v>5.0497581410821999</v>
      </c>
      <c r="G122" s="5">
        <f t="shared" ca="1" si="112"/>
        <v>14062592722</v>
      </c>
      <c r="H122" s="12">
        <f t="shared" ca="1" si="113"/>
        <v>118418266.8</v>
      </c>
      <c r="I122" s="99"/>
      <c r="J122" s="3">
        <f t="shared" ref="J122:M122" si="128">$K$1*B122</f>
        <v>410</v>
      </c>
      <c r="K122" s="3">
        <f t="shared" si="128"/>
        <v>190</v>
      </c>
      <c r="L122" s="3">
        <f t="shared" si="128"/>
        <v>200</v>
      </c>
      <c r="M122" s="3">
        <f t="shared" si="128"/>
        <v>50</v>
      </c>
      <c r="N122">
        <f t="shared" si="115"/>
        <v>0</v>
      </c>
    </row>
    <row r="123" spans="1:14" ht="15.75" customHeight="1">
      <c r="A123" s="97"/>
      <c r="B123" s="98">
        <v>44</v>
      </c>
      <c r="C123" s="98">
        <v>16</v>
      </c>
      <c r="D123" s="98">
        <v>21</v>
      </c>
      <c r="E123" s="98">
        <v>5</v>
      </c>
      <c r="F123" s="98">
        <v>5.0497678008369</v>
      </c>
      <c r="G123" s="5">
        <f t="shared" ca="1" si="112"/>
        <v>13808104151</v>
      </c>
      <c r="H123" s="12">
        <f t="shared" ca="1" si="113"/>
        <v>169315981</v>
      </c>
      <c r="I123" s="99"/>
      <c r="J123" s="3">
        <f t="shared" ref="J123:M123" si="129">$K$1*B123</f>
        <v>440</v>
      </c>
      <c r="K123" s="3">
        <f t="shared" si="129"/>
        <v>160</v>
      </c>
      <c r="L123" s="3">
        <f t="shared" si="129"/>
        <v>210</v>
      </c>
      <c r="M123" s="3">
        <f t="shared" si="129"/>
        <v>50</v>
      </c>
      <c r="N123">
        <f t="shared" si="115"/>
        <v>0</v>
      </c>
    </row>
    <row r="124" spans="1:14" ht="15.75" customHeight="1">
      <c r="A124" s="97"/>
      <c r="B124" s="98">
        <v>47</v>
      </c>
      <c r="C124" s="98">
        <v>13</v>
      </c>
      <c r="D124" s="98">
        <v>22</v>
      </c>
      <c r="E124" s="98">
        <v>5</v>
      </c>
      <c r="F124" s="98">
        <v>5.0497774606102004</v>
      </c>
      <c r="G124" s="5">
        <f t="shared" ca="1" si="112"/>
        <v>13553615580</v>
      </c>
      <c r="H124" s="12">
        <f t="shared" ca="1" si="113"/>
        <v>220213695.19999999</v>
      </c>
      <c r="I124" s="99"/>
      <c r="J124" s="3">
        <f t="shared" ref="J124:M124" si="130">$K$1*B124</f>
        <v>470</v>
      </c>
      <c r="K124" s="3">
        <f t="shared" si="130"/>
        <v>130</v>
      </c>
      <c r="L124" s="3">
        <f t="shared" si="130"/>
        <v>220</v>
      </c>
      <c r="M124" s="3">
        <f t="shared" si="130"/>
        <v>50</v>
      </c>
      <c r="N124">
        <f t="shared" si="115"/>
        <v>0</v>
      </c>
    </row>
    <row r="125" spans="1:14" ht="15.75" customHeight="1">
      <c r="A125" s="97"/>
      <c r="B125" s="98">
        <v>50</v>
      </c>
      <c r="C125" s="98">
        <v>10</v>
      </c>
      <c r="D125" s="98">
        <v>23</v>
      </c>
      <c r="E125" s="98">
        <v>5</v>
      </c>
      <c r="F125" s="98">
        <v>5.0497871204019003</v>
      </c>
      <c r="G125" s="5">
        <f t="shared" ca="1" si="112"/>
        <v>13299127009</v>
      </c>
      <c r="H125" s="12">
        <f t="shared" ca="1" si="113"/>
        <v>271111409.39999998</v>
      </c>
      <c r="I125" s="99"/>
      <c r="J125" s="3">
        <f t="shared" ref="J125:M125" si="131">$K$1*B125</f>
        <v>500</v>
      </c>
      <c r="K125" s="3">
        <f t="shared" si="131"/>
        <v>100</v>
      </c>
      <c r="L125" s="3">
        <f t="shared" si="131"/>
        <v>230</v>
      </c>
      <c r="M125" s="3">
        <f t="shared" si="131"/>
        <v>50</v>
      </c>
      <c r="N125">
        <f t="shared" si="115"/>
        <v>0</v>
      </c>
    </row>
    <row r="126" spans="1:14" ht="15.75" customHeight="1">
      <c r="A126" s="97"/>
      <c r="B126" s="98">
        <v>53</v>
      </c>
      <c r="C126" s="98">
        <v>7</v>
      </c>
      <c r="D126" s="98">
        <v>24</v>
      </c>
      <c r="E126" s="98">
        <v>5</v>
      </c>
      <c r="F126" s="98">
        <v>5.0497967802121</v>
      </c>
      <c r="G126" s="5">
        <f t="shared" ca="1" si="112"/>
        <v>13044638438</v>
      </c>
      <c r="H126" s="12">
        <f t="shared" ca="1" si="113"/>
        <v>322009123.60000002</v>
      </c>
      <c r="I126" s="99"/>
      <c r="J126" s="3">
        <f t="shared" ref="J126:M126" si="132">$K$1*B126</f>
        <v>530</v>
      </c>
      <c r="K126" s="3">
        <f t="shared" si="132"/>
        <v>70</v>
      </c>
      <c r="L126" s="3">
        <f t="shared" si="132"/>
        <v>240</v>
      </c>
      <c r="M126" s="3">
        <f t="shared" si="132"/>
        <v>50</v>
      </c>
      <c r="N126">
        <f t="shared" si="115"/>
        <v>0</v>
      </c>
    </row>
    <row r="127" spans="1:14" ht="15.75" customHeight="1">
      <c r="A127" s="97"/>
      <c r="B127" s="98">
        <v>56</v>
      </c>
      <c r="C127" s="98">
        <v>4</v>
      </c>
      <c r="D127" s="98">
        <v>25</v>
      </c>
      <c r="E127" s="98">
        <v>5</v>
      </c>
      <c r="F127" s="98">
        <v>5.0498064400407001</v>
      </c>
      <c r="G127" s="5">
        <f t="shared" ca="1" si="112"/>
        <v>12790149867</v>
      </c>
      <c r="H127" s="12">
        <f t="shared" ca="1" si="113"/>
        <v>372906837.80000001</v>
      </c>
      <c r="I127" s="99"/>
      <c r="J127" s="3">
        <f t="shared" ref="J127:M127" si="133">$K$1*B127</f>
        <v>560</v>
      </c>
      <c r="K127" s="3">
        <f t="shared" si="133"/>
        <v>40</v>
      </c>
      <c r="L127" s="3">
        <f t="shared" si="133"/>
        <v>250</v>
      </c>
      <c r="M127" s="3">
        <f t="shared" si="133"/>
        <v>50</v>
      </c>
      <c r="N127">
        <f t="shared" si="115"/>
        <v>0</v>
      </c>
    </row>
    <row r="128" spans="1:14" ht="15.75" customHeight="1">
      <c r="A128" s="97"/>
      <c r="B128" s="98">
        <v>59</v>
      </c>
      <c r="C128" s="98">
        <v>1</v>
      </c>
      <c r="D128" s="98">
        <v>26</v>
      </c>
      <c r="E128" s="98">
        <v>5</v>
      </c>
      <c r="F128" s="98">
        <v>5.0498160998878996</v>
      </c>
      <c r="G128" s="5">
        <f t="shared" ca="1" si="112"/>
        <v>12535661296</v>
      </c>
      <c r="H128" s="12">
        <f t="shared" ca="1" si="113"/>
        <v>423804552</v>
      </c>
      <c r="I128" s="99"/>
      <c r="J128" s="3">
        <f t="shared" ref="J128:M128" si="134">$K$1*B128</f>
        <v>590</v>
      </c>
      <c r="K128" s="3">
        <f t="shared" si="134"/>
        <v>10</v>
      </c>
      <c r="L128" s="3">
        <f t="shared" si="134"/>
        <v>260</v>
      </c>
      <c r="M128" s="3">
        <f t="shared" si="134"/>
        <v>50</v>
      </c>
      <c r="N128">
        <f t="shared" si="115"/>
        <v>0</v>
      </c>
    </row>
    <row r="129" spans="1:14" ht="15.75" customHeight="1">
      <c r="A129" s="97"/>
      <c r="B129" s="97"/>
      <c r="C129" s="97"/>
      <c r="D129" s="97"/>
      <c r="E129" s="97"/>
      <c r="F129" s="97"/>
      <c r="G129" s="91"/>
      <c r="H129" s="100"/>
      <c r="I129" s="99"/>
      <c r="J129" s="12"/>
      <c r="K129" s="12"/>
      <c r="L129" s="12"/>
      <c r="M129" s="12"/>
      <c r="N129" s="12"/>
    </row>
    <row r="130" spans="1:14" ht="15.75" customHeight="1">
      <c r="A130" s="97"/>
      <c r="B130" s="98">
        <v>2</v>
      </c>
      <c r="C130" s="98">
        <v>63</v>
      </c>
      <c r="D130" s="98">
        <v>2</v>
      </c>
      <c r="E130" s="98">
        <v>6</v>
      </c>
      <c r="F130" s="98">
        <v>5.0496794744416</v>
      </c>
      <c r="G130" s="5">
        <f t="shared" ref="G130:G151" ca="1" si="135">(B130*$B$3)+(C130*$C$3)+(D130*$D$3)</f>
        <v>17334803760</v>
      </c>
      <c r="H130" s="12">
        <f t="shared" ref="H130:H151" ca="1" si="136">($G$3-G130)/E130</f>
        <v>-446686617.33333331</v>
      </c>
      <c r="I130" s="99"/>
      <c r="J130" s="3">
        <f t="shared" ref="J130:M130" si="137">$K$1*B130</f>
        <v>20</v>
      </c>
      <c r="K130" s="3">
        <f t="shared" si="137"/>
        <v>630</v>
      </c>
      <c r="L130" s="3">
        <f t="shared" si="137"/>
        <v>20</v>
      </c>
      <c r="M130" s="3">
        <f t="shared" si="137"/>
        <v>60</v>
      </c>
      <c r="N130">
        <f t="shared" ref="N130:N151" si="138">ROUNDDOWN(MIN($J$3/(B130+0.001),$K$3/(C130+0.001),$L$3/(D130+0.001),$M$3/(E130+0.001)),0)</f>
        <v>0</v>
      </c>
    </row>
    <row r="131" spans="1:14" ht="15.75" customHeight="1">
      <c r="A131" s="97"/>
      <c r="B131" s="98">
        <v>5</v>
      </c>
      <c r="C131" s="98">
        <v>60</v>
      </c>
      <c r="D131" s="98">
        <v>3</v>
      </c>
      <c r="E131" s="98">
        <v>6</v>
      </c>
      <c r="F131" s="98">
        <v>5.0496891340458996</v>
      </c>
      <c r="G131" s="5">
        <f t="shared" ca="1" si="135"/>
        <v>17080315189</v>
      </c>
      <c r="H131" s="12">
        <f t="shared" ca="1" si="136"/>
        <v>-404271855.5</v>
      </c>
      <c r="I131" s="99"/>
      <c r="J131" s="3">
        <f t="shared" ref="J131:M131" si="139">$K$1*B131</f>
        <v>50</v>
      </c>
      <c r="K131" s="3">
        <f t="shared" si="139"/>
        <v>600</v>
      </c>
      <c r="L131" s="3">
        <f t="shared" si="139"/>
        <v>30</v>
      </c>
      <c r="M131" s="3">
        <f t="shared" si="139"/>
        <v>60</v>
      </c>
      <c r="N131">
        <f t="shared" si="138"/>
        <v>0</v>
      </c>
    </row>
    <row r="132" spans="1:14" ht="15.75" customHeight="1">
      <c r="A132" s="97"/>
      <c r="B132" s="98">
        <v>8</v>
      </c>
      <c r="C132" s="98">
        <v>57</v>
      </c>
      <c r="D132" s="98">
        <v>4</v>
      </c>
      <c r="E132" s="98">
        <v>6</v>
      </c>
      <c r="F132" s="98">
        <v>5.0496987936686999</v>
      </c>
      <c r="G132" s="5">
        <f t="shared" ca="1" si="135"/>
        <v>16825826618</v>
      </c>
      <c r="H132" s="12">
        <f t="shared" ca="1" si="136"/>
        <v>-361857093.66666669</v>
      </c>
      <c r="I132" s="99"/>
      <c r="J132" s="3">
        <f t="shared" ref="J132:M132" si="140">$K$1*B132</f>
        <v>80</v>
      </c>
      <c r="K132" s="3">
        <f t="shared" si="140"/>
        <v>570</v>
      </c>
      <c r="L132" s="3">
        <f t="shared" si="140"/>
        <v>40</v>
      </c>
      <c r="M132" s="3">
        <f t="shared" si="140"/>
        <v>60</v>
      </c>
      <c r="N132">
        <f t="shared" si="138"/>
        <v>0</v>
      </c>
    </row>
    <row r="133" spans="1:14" ht="15.75" customHeight="1">
      <c r="A133" s="97"/>
      <c r="B133" s="98">
        <v>11</v>
      </c>
      <c r="C133" s="98">
        <v>54</v>
      </c>
      <c r="D133" s="98">
        <v>5</v>
      </c>
      <c r="E133" s="98">
        <v>6</v>
      </c>
      <c r="F133" s="98">
        <v>5.0497084533098997</v>
      </c>
      <c r="G133" s="5">
        <f t="shared" ca="1" si="135"/>
        <v>16571338047</v>
      </c>
      <c r="H133" s="12">
        <f t="shared" ca="1" si="136"/>
        <v>-319442331.83333331</v>
      </c>
      <c r="I133" s="99"/>
      <c r="J133" s="3">
        <f t="shared" ref="J133:M133" si="141">$K$1*B133</f>
        <v>110</v>
      </c>
      <c r="K133" s="3">
        <f t="shared" si="141"/>
        <v>540</v>
      </c>
      <c r="L133" s="3">
        <f t="shared" si="141"/>
        <v>50</v>
      </c>
      <c r="M133" s="3">
        <f t="shared" si="141"/>
        <v>60</v>
      </c>
      <c r="N133">
        <f t="shared" si="138"/>
        <v>0</v>
      </c>
    </row>
    <row r="134" spans="1:14" ht="15.75" customHeight="1">
      <c r="A134" s="97"/>
      <c r="B134" s="98">
        <v>14</v>
      </c>
      <c r="C134" s="98">
        <v>51</v>
      </c>
      <c r="D134" s="98">
        <v>6</v>
      </c>
      <c r="E134" s="98">
        <v>6</v>
      </c>
      <c r="F134" s="98">
        <v>5.0497181129696003</v>
      </c>
      <c r="G134" s="5">
        <f t="shared" ca="1" si="135"/>
        <v>16316849476</v>
      </c>
      <c r="H134" s="12">
        <f t="shared" ca="1" si="136"/>
        <v>-277027570</v>
      </c>
      <c r="I134" s="99"/>
      <c r="J134" s="3">
        <f t="shared" ref="J134:M134" si="142">$K$1*B134</f>
        <v>140</v>
      </c>
      <c r="K134" s="3">
        <f t="shared" si="142"/>
        <v>510</v>
      </c>
      <c r="L134" s="3">
        <f t="shared" si="142"/>
        <v>60</v>
      </c>
      <c r="M134" s="3">
        <f t="shared" si="142"/>
        <v>60</v>
      </c>
      <c r="N134">
        <f t="shared" si="138"/>
        <v>0</v>
      </c>
    </row>
    <row r="135" spans="1:14" ht="15.75" customHeight="1">
      <c r="A135" s="97"/>
      <c r="B135" s="98">
        <v>17</v>
      </c>
      <c r="C135" s="98">
        <v>48</v>
      </c>
      <c r="D135" s="98">
        <v>7</v>
      </c>
      <c r="E135" s="98">
        <v>6</v>
      </c>
      <c r="F135" s="98">
        <v>5.0497277726477998</v>
      </c>
      <c r="G135" s="5">
        <f t="shared" ca="1" si="135"/>
        <v>16062360905</v>
      </c>
      <c r="H135" s="12">
        <f t="shared" ca="1" si="136"/>
        <v>-234612808.16666666</v>
      </c>
      <c r="I135" s="99"/>
      <c r="J135" s="3">
        <f t="shared" ref="J135:M135" si="143">$K$1*B135</f>
        <v>170</v>
      </c>
      <c r="K135" s="3">
        <f t="shared" si="143"/>
        <v>480</v>
      </c>
      <c r="L135" s="3">
        <f t="shared" si="143"/>
        <v>70</v>
      </c>
      <c r="M135" s="3">
        <f t="shared" si="143"/>
        <v>60</v>
      </c>
      <c r="N135">
        <f t="shared" si="138"/>
        <v>0</v>
      </c>
    </row>
    <row r="136" spans="1:14" ht="15.75" customHeight="1">
      <c r="A136" s="97"/>
      <c r="B136" s="98">
        <v>20</v>
      </c>
      <c r="C136" s="98">
        <v>45</v>
      </c>
      <c r="D136" s="98">
        <v>8</v>
      </c>
      <c r="E136" s="98">
        <v>6</v>
      </c>
      <c r="F136" s="98">
        <v>5.0497374323445001</v>
      </c>
      <c r="G136" s="5">
        <f t="shared" ca="1" si="135"/>
        <v>15807872334</v>
      </c>
      <c r="H136" s="12">
        <f t="shared" ca="1" si="136"/>
        <v>-192198046.33333334</v>
      </c>
      <c r="I136" s="99"/>
      <c r="J136" s="3">
        <f t="shared" ref="J136:M136" si="144">$K$1*B136</f>
        <v>200</v>
      </c>
      <c r="K136" s="3">
        <f t="shared" si="144"/>
        <v>450</v>
      </c>
      <c r="L136" s="3">
        <f t="shared" si="144"/>
        <v>80</v>
      </c>
      <c r="M136" s="3">
        <f t="shared" si="144"/>
        <v>60</v>
      </c>
      <c r="N136">
        <f t="shared" si="138"/>
        <v>0</v>
      </c>
    </row>
    <row r="137" spans="1:14" ht="15.75" customHeight="1">
      <c r="A137" s="97"/>
      <c r="B137" s="98">
        <v>23</v>
      </c>
      <c r="C137" s="98">
        <v>42</v>
      </c>
      <c r="D137" s="98">
        <v>9</v>
      </c>
      <c r="E137" s="98">
        <v>6</v>
      </c>
      <c r="F137" s="98">
        <v>5.0497470920595999</v>
      </c>
      <c r="G137" s="5">
        <f t="shared" ca="1" si="135"/>
        <v>15553383763</v>
      </c>
      <c r="H137" s="12">
        <f t="shared" ca="1" si="136"/>
        <v>-149783284.5</v>
      </c>
      <c r="I137" s="99"/>
      <c r="J137" s="3">
        <f t="shared" ref="J137:M137" si="145">$K$1*B137</f>
        <v>230</v>
      </c>
      <c r="K137" s="3">
        <f t="shared" si="145"/>
        <v>420</v>
      </c>
      <c r="L137" s="3">
        <f t="shared" si="145"/>
        <v>90</v>
      </c>
      <c r="M137" s="3">
        <f t="shared" si="145"/>
        <v>60</v>
      </c>
      <c r="N137">
        <f t="shared" si="138"/>
        <v>0</v>
      </c>
    </row>
    <row r="138" spans="1:14" ht="15.75" customHeight="1">
      <c r="A138" s="97"/>
      <c r="B138" s="98">
        <v>26</v>
      </c>
      <c r="C138" s="98">
        <v>39</v>
      </c>
      <c r="D138" s="98">
        <v>10</v>
      </c>
      <c r="E138" s="98">
        <v>6</v>
      </c>
      <c r="F138" s="98">
        <v>5.0497567517931996</v>
      </c>
      <c r="G138" s="5">
        <f t="shared" ca="1" si="135"/>
        <v>15298895192</v>
      </c>
      <c r="H138" s="12">
        <f t="shared" ca="1" si="136"/>
        <v>-107368522.66666667</v>
      </c>
      <c r="I138" s="99"/>
      <c r="J138" s="3">
        <f t="shared" ref="J138:M138" si="146">$K$1*B138</f>
        <v>260</v>
      </c>
      <c r="K138" s="3">
        <f t="shared" si="146"/>
        <v>390</v>
      </c>
      <c r="L138" s="3">
        <f t="shared" si="146"/>
        <v>100</v>
      </c>
      <c r="M138" s="3">
        <f t="shared" si="146"/>
        <v>60</v>
      </c>
      <c r="N138">
        <f t="shared" si="138"/>
        <v>0</v>
      </c>
    </row>
    <row r="139" spans="1:14" ht="15.75" customHeight="1">
      <c r="A139" s="97"/>
      <c r="B139" s="98">
        <v>29</v>
      </c>
      <c r="C139" s="98">
        <v>36</v>
      </c>
      <c r="D139" s="98">
        <v>11</v>
      </c>
      <c r="E139" s="98">
        <v>6</v>
      </c>
      <c r="F139" s="98">
        <v>5.0497664115453</v>
      </c>
      <c r="G139" s="5">
        <f t="shared" ca="1" si="135"/>
        <v>15044406621</v>
      </c>
      <c r="H139" s="12">
        <f t="shared" ca="1" si="136"/>
        <v>-64953760.833333336</v>
      </c>
      <c r="I139" s="99"/>
      <c r="J139" s="3">
        <f t="shared" ref="J139:M139" si="147">$K$1*B139</f>
        <v>290</v>
      </c>
      <c r="K139" s="3">
        <f t="shared" si="147"/>
        <v>360</v>
      </c>
      <c r="L139" s="3">
        <f t="shared" si="147"/>
        <v>110</v>
      </c>
      <c r="M139" s="3">
        <f t="shared" si="147"/>
        <v>60</v>
      </c>
      <c r="N139">
        <f t="shared" si="138"/>
        <v>0</v>
      </c>
    </row>
    <row r="140" spans="1:14" ht="15.75" customHeight="1">
      <c r="A140" s="97"/>
      <c r="B140" s="98">
        <v>32</v>
      </c>
      <c r="C140" s="98">
        <v>33</v>
      </c>
      <c r="D140" s="98">
        <v>12</v>
      </c>
      <c r="E140" s="98">
        <v>6</v>
      </c>
      <c r="F140" s="98">
        <v>5.0497760713159003</v>
      </c>
      <c r="G140" s="5">
        <f t="shared" ca="1" si="135"/>
        <v>14789918050</v>
      </c>
      <c r="H140" s="12">
        <f t="shared" ca="1" si="136"/>
        <v>-22538999</v>
      </c>
      <c r="I140" s="99"/>
      <c r="J140" s="3">
        <f t="shared" ref="J140:M140" si="148">$K$1*B140</f>
        <v>320</v>
      </c>
      <c r="K140" s="3">
        <f t="shared" si="148"/>
        <v>330</v>
      </c>
      <c r="L140" s="3">
        <f t="shared" si="148"/>
        <v>120</v>
      </c>
      <c r="M140" s="3">
        <f t="shared" si="148"/>
        <v>60</v>
      </c>
      <c r="N140">
        <f t="shared" si="138"/>
        <v>0</v>
      </c>
    </row>
    <row r="141" spans="1:14" ht="15.75" customHeight="1">
      <c r="A141" s="97"/>
      <c r="B141" s="98">
        <v>35</v>
      </c>
      <c r="C141" s="98">
        <v>30</v>
      </c>
      <c r="D141" s="98">
        <v>13</v>
      </c>
      <c r="E141" s="98">
        <v>6</v>
      </c>
      <c r="F141" s="98">
        <v>5.0497857311049996</v>
      </c>
      <c r="G141" s="5">
        <f t="shared" ca="1" si="135"/>
        <v>14535429479</v>
      </c>
      <c r="H141" s="12">
        <f t="shared" ca="1" si="136"/>
        <v>19875762.833333332</v>
      </c>
      <c r="I141" s="99"/>
      <c r="J141" s="3">
        <f t="shared" ref="J141:M141" si="149">$K$1*B141</f>
        <v>350</v>
      </c>
      <c r="K141" s="3">
        <f t="shared" si="149"/>
        <v>300</v>
      </c>
      <c r="L141" s="3">
        <f t="shared" si="149"/>
        <v>130</v>
      </c>
      <c r="M141" s="3">
        <f t="shared" si="149"/>
        <v>60</v>
      </c>
      <c r="N141">
        <f t="shared" si="138"/>
        <v>0</v>
      </c>
    </row>
    <row r="142" spans="1:14" ht="15.75" customHeight="1">
      <c r="A142" s="97"/>
      <c r="B142" s="98">
        <v>38</v>
      </c>
      <c r="C142" s="98">
        <v>27</v>
      </c>
      <c r="D142" s="98">
        <v>14</v>
      </c>
      <c r="E142" s="98">
        <v>6</v>
      </c>
      <c r="F142" s="98">
        <v>5.0497953909125002</v>
      </c>
      <c r="G142" s="5">
        <f t="shared" ca="1" si="135"/>
        <v>14280940908</v>
      </c>
      <c r="H142" s="12">
        <f t="shared" ca="1" si="136"/>
        <v>62290524.666666664</v>
      </c>
      <c r="I142" s="99"/>
      <c r="J142" s="3">
        <f t="shared" ref="J142:M142" si="150">$K$1*B142</f>
        <v>380</v>
      </c>
      <c r="K142" s="3">
        <f t="shared" si="150"/>
        <v>270</v>
      </c>
      <c r="L142" s="3">
        <f t="shared" si="150"/>
        <v>140</v>
      </c>
      <c r="M142" s="3">
        <f t="shared" si="150"/>
        <v>60</v>
      </c>
      <c r="N142">
        <f t="shared" si="138"/>
        <v>0</v>
      </c>
    </row>
    <row r="143" spans="1:14" ht="15.75" customHeight="1">
      <c r="A143" s="97"/>
      <c r="B143" s="98">
        <v>41</v>
      </c>
      <c r="C143" s="98">
        <v>24</v>
      </c>
      <c r="D143" s="98">
        <v>15</v>
      </c>
      <c r="E143" s="98">
        <v>6</v>
      </c>
      <c r="F143" s="98">
        <v>5.0498050507384997</v>
      </c>
      <c r="G143" s="5">
        <f t="shared" ca="1" si="135"/>
        <v>14026452337</v>
      </c>
      <c r="H143" s="12">
        <f t="shared" ca="1" si="136"/>
        <v>104705286.5</v>
      </c>
      <c r="I143" s="99"/>
      <c r="J143" s="3">
        <f t="shared" ref="J143:M143" si="151">$K$1*B143</f>
        <v>410</v>
      </c>
      <c r="K143" s="3">
        <f t="shared" si="151"/>
        <v>240</v>
      </c>
      <c r="L143" s="3">
        <f t="shared" si="151"/>
        <v>150</v>
      </c>
      <c r="M143" s="3">
        <f t="shared" si="151"/>
        <v>60</v>
      </c>
      <c r="N143">
        <f t="shared" si="138"/>
        <v>0</v>
      </c>
    </row>
    <row r="144" spans="1:14" ht="15.75" customHeight="1">
      <c r="A144" s="97"/>
      <c r="B144" s="98">
        <v>44</v>
      </c>
      <c r="C144" s="98">
        <v>21</v>
      </c>
      <c r="D144" s="98">
        <v>16</v>
      </c>
      <c r="E144" s="98">
        <v>6</v>
      </c>
      <c r="F144" s="98">
        <v>5.049814710583</v>
      </c>
      <c r="G144" s="5">
        <f t="shared" ca="1" si="135"/>
        <v>13771963766</v>
      </c>
      <c r="H144" s="12">
        <f t="shared" ca="1" si="136"/>
        <v>147120048.33333334</v>
      </c>
      <c r="I144" s="99"/>
      <c r="J144" s="3">
        <f t="shared" ref="J144:M144" si="152">$K$1*B144</f>
        <v>440</v>
      </c>
      <c r="K144" s="3">
        <f t="shared" si="152"/>
        <v>210</v>
      </c>
      <c r="L144" s="3">
        <f t="shared" si="152"/>
        <v>160</v>
      </c>
      <c r="M144" s="3">
        <f t="shared" si="152"/>
        <v>60</v>
      </c>
      <c r="N144">
        <f t="shared" si="138"/>
        <v>0</v>
      </c>
    </row>
    <row r="145" spans="1:14" ht="15.75" customHeight="1">
      <c r="A145" s="97"/>
      <c r="B145" s="98">
        <v>47</v>
      </c>
      <c r="C145" s="98">
        <v>18</v>
      </c>
      <c r="D145" s="98">
        <v>17</v>
      </c>
      <c r="E145" s="98">
        <v>6</v>
      </c>
      <c r="F145" s="98">
        <v>5.0498243704460002</v>
      </c>
      <c r="G145" s="5">
        <f t="shared" ca="1" si="135"/>
        <v>13517475195</v>
      </c>
      <c r="H145" s="12">
        <f t="shared" ca="1" si="136"/>
        <v>189534810.16666666</v>
      </c>
      <c r="I145" s="99"/>
      <c r="J145" s="3">
        <f t="shared" ref="J145:M145" si="153">$K$1*B145</f>
        <v>470</v>
      </c>
      <c r="K145" s="3">
        <f t="shared" si="153"/>
        <v>180</v>
      </c>
      <c r="L145" s="3">
        <f t="shared" si="153"/>
        <v>170</v>
      </c>
      <c r="M145" s="3">
        <f t="shared" si="153"/>
        <v>60</v>
      </c>
      <c r="N145">
        <f t="shared" si="138"/>
        <v>0</v>
      </c>
    </row>
    <row r="146" spans="1:14" ht="15.75" customHeight="1">
      <c r="A146" s="97"/>
      <c r="B146" s="98">
        <v>50</v>
      </c>
      <c r="C146" s="98">
        <v>15</v>
      </c>
      <c r="D146" s="98">
        <v>18</v>
      </c>
      <c r="E146" s="98">
        <v>6</v>
      </c>
      <c r="F146" s="98">
        <v>5.0498340303273999</v>
      </c>
      <c r="G146" s="5">
        <f t="shared" ca="1" si="135"/>
        <v>13262986624</v>
      </c>
      <c r="H146" s="12">
        <f t="shared" ca="1" si="136"/>
        <v>231949572</v>
      </c>
      <c r="I146" s="99"/>
      <c r="J146" s="3">
        <f t="shared" ref="J146:M146" si="154">$K$1*B146</f>
        <v>500</v>
      </c>
      <c r="K146" s="3">
        <f t="shared" si="154"/>
        <v>150</v>
      </c>
      <c r="L146" s="3">
        <f t="shared" si="154"/>
        <v>180</v>
      </c>
      <c r="M146" s="3">
        <f t="shared" si="154"/>
        <v>60</v>
      </c>
      <c r="N146">
        <f t="shared" si="138"/>
        <v>0</v>
      </c>
    </row>
    <row r="147" spans="1:14" ht="15.75" customHeight="1">
      <c r="A147" s="97"/>
      <c r="B147" s="98">
        <v>53</v>
      </c>
      <c r="C147" s="98">
        <v>12</v>
      </c>
      <c r="D147" s="98">
        <v>19</v>
      </c>
      <c r="E147" s="98">
        <v>6</v>
      </c>
      <c r="F147" s="98">
        <v>5.0498436902273003</v>
      </c>
      <c r="G147" s="5">
        <f t="shared" ca="1" si="135"/>
        <v>13008498053</v>
      </c>
      <c r="H147" s="12">
        <f t="shared" ca="1" si="136"/>
        <v>274364333.83333331</v>
      </c>
      <c r="I147" s="99"/>
      <c r="J147" s="3">
        <f t="shared" ref="J147:M147" si="155">$K$1*B147</f>
        <v>530</v>
      </c>
      <c r="K147" s="3">
        <f t="shared" si="155"/>
        <v>120</v>
      </c>
      <c r="L147" s="3">
        <f t="shared" si="155"/>
        <v>190</v>
      </c>
      <c r="M147" s="3">
        <f t="shared" si="155"/>
        <v>60</v>
      </c>
      <c r="N147">
        <f t="shared" si="138"/>
        <v>0</v>
      </c>
    </row>
    <row r="148" spans="1:14" ht="15.75" customHeight="1">
      <c r="A148" s="97"/>
      <c r="B148" s="98">
        <v>56</v>
      </c>
      <c r="C148" s="98">
        <v>9</v>
      </c>
      <c r="D148" s="98">
        <v>20</v>
      </c>
      <c r="E148" s="98">
        <v>6</v>
      </c>
      <c r="F148" s="98">
        <v>5.0498533501456997</v>
      </c>
      <c r="G148" s="5">
        <f t="shared" ca="1" si="135"/>
        <v>12754009482</v>
      </c>
      <c r="H148" s="12">
        <f t="shared" ca="1" si="136"/>
        <v>316779095.66666669</v>
      </c>
      <c r="I148" s="99"/>
      <c r="J148" s="3">
        <f t="shared" ref="J148:M148" si="156">$K$1*B148</f>
        <v>560</v>
      </c>
      <c r="K148" s="3">
        <f t="shared" si="156"/>
        <v>90</v>
      </c>
      <c r="L148" s="3">
        <f t="shared" si="156"/>
        <v>200</v>
      </c>
      <c r="M148" s="3">
        <f t="shared" si="156"/>
        <v>60</v>
      </c>
      <c r="N148">
        <f t="shared" si="138"/>
        <v>0</v>
      </c>
    </row>
    <row r="149" spans="1:14" ht="15.75" customHeight="1">
      <c r="A149" s="97"/>
      <c r="B149" s="98">
        <v>59</v>
      </c>
      <c r="C149" s="98">
        <v>6</v>
      </c>
      <c r="D149" s="98">
        <v>21</v>
      </c>
      <c r="E149" s="98">
        <v>6</v>
      </c>
      <c r="F149" s="98">
        <v>5.0498630100825999</v>
      </c>
      <c r="G149" s="5">
        <f t="shared" ca="1" si="135"/>
        <v>12499520911</v>
      </c>
      <c r="H149" s="12">
        <f t="shared" ca="1" si="136"/>
        <v>359193857.5</v>
      </c>
      <c r="I149" s="99"/>
      <c r="J149" s="3">
        <f t="shared" ref="J149:M149" si="157">$K$1*B149</f>
        <v>590</v>
      </c>
      <c r="K149" s="3">
        <f t="shared" si="157"/>
        <v>60</v>
      </c>
      <c r="L149" s="3">
        <f t="shared" si="157"/>
        <v>210</v>
      </c>
      <c r="M149" s="3">
        <f t="shared" si="157"/>
        <v>60</v>
      </c>
      <c r="N149">
        <f t="shared" si="138"/>
        <v>0</v>
      </c>
    </row>
    <row r="150" spans="1:14" ht="15.75" customHeight="1">
      <c r="A150" s="97"/>
      <c r="B150" s="98">
        <v>62</v>
      </c>
      <c r="C150" s="98">
        <v>3</v>
      </c>
      <c r="D150" s="98">
        <v>22</v>
      </c>
      <c r="E150" s="98">
        <v>6</v>
      </c>
      <c r="F150" s="98">
        <v>5.0498726700379999</v>
      </c>
      <c r="G150" s="5">
        <f t="shared" ca="1" si="135"/>
        <v>12245032340</v>
      </c>
      <c r="H150" s="12">
        <f t="shared" ca="1" si="136"/>
        <v>401608619.33333331</v>
      </c>
      <c r="I150" s="99"/>
      <c r="J150" s="3">
        <f t="shared" ref="J150:M150" si="158">$K$1*B150</f>
        <v>620</v>
      </c>
      <c r="K150" s="3">
        <f t="shared" si="158"/>
        <v>30</v>
      </c>
      <c r="L150" s="3">
        <f t="shared" si="158"/>
        <v>220</v>
      </c>
      <c r="M150" s="3">
        <f t="shared" si="158"/>
        <v>60</v>
      </c>
      <c r="N150">
        <f t="shared" si="138"/>
        <v>0</v>
      </c>
    </row>
    <row r="151" spans="1:14" ht="15.75" customHeight="1">
      <c r="A151" s="97"/>
      <c r="B151" s="98">
        <v>65</v>
      </c>
      <c r="C151" s="98">
        <v>0</v>
      </c>
      <c r="D151" s="98">
        <v>23</v>
      </c>
      <c r="E151" s="98">
        <v>6</v>
      </c>
      <c r="F151" s="98">
        <v>5.0498823300118003</v>
      </c>
      <c r="G151" s="5">
        <f t="shared" ca="1" si="135"/>
        <v>11990543769</v>
      </c>
      <c r="H151" s="12">
        <f t="shared" ca="1" si="136"/>
        <v>444023381.16666669</v>
      </c>
      <c r="I151" s="99"/>
      <c r="J151" s="3">
        <f t="shared" ref="J151:M151" si="159">$K$1*B151</f>
        <v>650</v>
      </c>
      <c r="K151" s="3">
        <f t="shared" si="159"/>
        <v>0</v>
      </c>
      <c r="L151" s="3">
        <f t="shared" si="159"/>
        <v>230</v>
      </c>
      <c r="M151" s="3">
        <f t="shared" si="159"/>
        <v>60</v>
      </c>
      <c r="N151">
        <f t="shared" si="138"/>
        <v>0</v>
      </c>
    </row>
    <row r="152" spans="1:14" ht="15.75" customHeight="1">
      <c r="A152" s="97"/>
      <c r="B152" s="97"/>
      <c r="C152" s="97"/>
      <c r="D152" s="97"/>
      <c r="E152" s="97"/>
      <c r="F152" s="97"/>
      <c r="G152" s="91"/>
      <c r="H152" s="100"/>
      <c r="I152" s="99"/>
      <c r="J152" s="12"/>
      <c r="K152" s="12"/>
      <c r="L152" s="12"/>
      <c r="M152" s="12"/>
      <c r="N152" s="12"/>
    </row>
    <row r="153" spans="1:14" ht="15.75" customHeight="1">
      <c r="A153" s="97"/>
      <c r="B153" s="98">
        <v>11</v>
      </c>
      <c r="C153" s="98">
        <v>59</v>
      </c>
      <c r="D153" s="98">
        <v>0</v>
      </c>
      <c r="E153" s="98">
        <v>7</v>
      </c>
      <c r="F153" s="98">
        <v>5.0497553625045999</v>
      </c>
      <c r="G153" s="5">
        <f t="shared" ref="G153:G172" ca="1" si="160">(B153*$B$3)+(C153*$C$3)+(D153*$D$3)</f>
        <v>16535197662</v>
      </c>
      <c r="H153" s="12">
        <f t="shared" ref="H153:H172" ca="1" si="161">($G$3-G153)/E153</f>
        <v>-268644800.85714287</v>
      </c>
      <c r="I153" s="99"/>
      <c r="J153" s="3">
        <f t="shared" ref="J153:M153" si="162">$K$1*B153</f>
        <v>110</v>
      </c>
      <c r="K153" s="3">
        <f t="shared" si="162"/>
        <v>590</v>
      </c>
      <c r="L153" s="3">
        <f t="shared" si="162"/>
        <v>0</v>
      </c>
      <c r="M153" s="3">
        <f t="shared" si="162"/>
        <v>70</v>
      </c>
      <c r="N153">
        <f t="shared" ref="N153:N172" si="163">ROUNDDOWN(MIN($J$3/(B153+0.001),$K$3/(C153+0.001),$L$3/(D153+0.001),$M$3/(E153+0.001)),0)</f>
        <v>0</v>
      </c>
    </row>
    <row r="154" spans="1:14" ht="15.75" customHeight="1">
      <c r="A154" s="97"/>
      <c r="B154" s="98">
        <v>14</v>
      </c>
      <c r="C154" s="98">
        <v>56</v>
      </c>
      <c r="D154" s="98">
        <v>1</v>
      </c>
      <c r="E154" s="98">
        <v>7</v>
      </c>
      <c r="F154" s="98">
        <v>5.0497650222540997</v>
      </c>
      <c r="G154" s="5">
        <f t="shared" ca="1" si="160"/>
        <v>16280709091</v>
      </c>
      <c r="H154" s="12">
        <f t="shared" ca="1" si="161"/>
        <v>-232289290.7142857</v>
      </c>
      <c r="I154" s="99"/>
      <c r="J154" s="3">
        <f t="shared" ref="J154:M154" si="164">$K$1*B154</f>
        <v>140</v>
      </c>
      <c r="K154" s="3">
        <f t="shared" si="164"/>
        <v>560</v>
      </c>
      <c r="L154" s="3">
        <f t="shared" si="164"/>
        <v>10</v>
      </c>
      <c r="M154" s="3">
        <f t="shared" si="164"/>
        <v>70</v>
      </c>
      <c r="N154">
        <f t="shared" si="163"/>
        <v>0</v>
      </c>
    </row>
    <row r="155" spans="1:14" ht="15.75" customHeight="1">
      <c r="A155" s="97"/>
      <c r="B155" s="98">
        <v>17</v>
      </c>
      <c r="C155" s="98">
        <v>53</v>
      </c>
      <c r="D155" s="98">
        <v>2</v>
      </c>
      <c r="E155" s="98">
        <v>7</v>
      </c>
      <c r="F155" s="98">
        <v>5.049774682022</v>
      </c>
      <c r="G155" s="5">
        <f t="shared" ca="1" si="160"/>
        <v>16026220520</v>
      </c>
      <c r="H155" s="12">
        <f t="shared" ca="1" si="161"/>
        <v>-195933780.57142857</v>
      </c>
      <c r="I155" s="99"/>
      <c r="J155" s="3">
        <f t="shared" ref="J155:M155" si="165">$K$1*B155</f>
        <v>170</v>
      </c>
      <c r="K155" s="3">
        <f t="shared" si="165"/>
        <v>530</v>
      </c>
      <c r="L155" s="3">
        <f t="shared" si="165"/>
        <v>20</v>
      </c>
      <c r="M155" s="3">
        <f t="shared" si="165"/>
        <v>70</v>
      </c>
      <c r="N155">
        <f t="shared" si="163"/>
        <v>0</v>
      </c>
    </row>
    <row r="156" spans="1:14" ht="15.75" customHeight="1">
      <c r="A156" s="97"/>
      <c r="B156" s="98">
        <v>20</v>
      </c>
      <c r="C156" s="98">
        <v>50</v>
      </c>
      <c r="D156" s="98">
        <v>3</v>
      </c>
      <c r="E156" s="98">
        <v>7</v>
      </c>
      <c r="F156" s="98">
        <v>5.0497843418084001</v>
      </c>
      <c r="G156" s="5">
        <f t="shared" ca="1" si="160"/>
        <v>15771731949</v>
      </c>
      <c r="H156" s="12">
        <f t="shared" ca="1" si="161"/>
        <v>-159578270.42857143</v>
      </c>
      <c r="I156" s="99"/>
      <c r="J156" s="3">
        <f t="shared" ref="J156:M156" si="166">$K$1*B156</f>
        <v>200</v>
      </c>
      <c r="K156" s="3">
        <f t="shared" si="166"/>
        <v>500</v>
      </c>
      <c r="L156" s="3">
        <f t="shared" si="166"/>
        <v>30</v>
      </c>
      <c r="M156" s="3">
        <f t="shared" si="166"/>
        <v>70</v>
      </c>
      <c r="N156">
        <f t="shared" si="163"/>
        <v>0</v>
      </c>
    </row>
    <row r="157" spans="1:14" ht="15.75" customHeight="1">
      <c r="A157" s="97"/>
      <c r="B157" s="98">
        <v>23</v>
      </c>
      <c r="C157" s="98">
        <v>47</v>
      </c>
      <c r="D157" s="98">
        <v>4</v>
      </c>
      <c r="E157" s="98">
        <v>7</v>
      </c>
      <c r="F157" s="98">
        <v>5.0497940016133001</v>
      </c>
      <c r="G157" s="5">
        <f t="shared" ca="1" si="160"/>
        <v>15517243378</v>
      </c>
      <c r="H157" s="12">
        <f t="shared" ca="1" si="161"/>
        <v>-123222760.28571428</v>
      </c>
      <c r="I157" s="99"/>
      <c r="J157" s="3">
        <f t="shared" ref="J157:M157" si="167">$K$1*B157</f>
        <v>230</v>
      </c>
      <c r="K157" s="3">
        <f t="shared" si="167"/>
        <v>470</v>
      </c>
      <c r="L157" s="3">
        <f t="shared" si="167"/>
        <v>40</v>
      </c>
      <c r="M157" s="3">
        <f t="shared" si="167"/>
        <v>70</v>
      </c>
      <c r="N157">
        <f t="shared" si="163"/>
        <v>0</v>
      </c>
    </row>
    <row r="158" spans="1:14" ht="15.75" customHeight="1">
      <c r="A158" s="97"/>
      <c r="B158" s="98">
        <v>26</v>
      </c>
      <c r="C158" s="98">
        <v>44</v>
      </c>
      <c r="D158" s="98">
        <v>5</v>
      </c>
      <c r="E158" s="98">
        <v>7</v>
      </c>
      <c r="F158" s="98">
        <v>5.0498036614366004</v>
      </c>
      <c r="G158" s="5">
        <f t="shared" ca="1" si="160"/>
        <v>15262754807</v>
      </c>
      <c r="H158" s="12">
        <f t="shared" ca="1" si="161"/>
        <v>-86867250.142857149</v>
      </c>
      <c r="I158" s="99"/>
      <c r="J158" s="3">
        <f t="shared" ref="J158:M158" si="168">$K$1*B158</f>
        <v>260</v>
      </c>
      <c r="K158" s="3">
        <f t="shared" si="168"/>
        <v>440</v>
      </c>
      <c r="L158" s="3">
        <f t="shared" si="168"/>
        <v>50</v>
      </c>
      <c r="M158" s="3">
        <f t="shared" si="168"/>
        <v>70</v>
      </c>
      <c r="N158">
        <f t="shared" si="163"/>
        <v>0</v>
      </c>
    </row>
    <row r="159" spans="1:14" ht="15.75" customHeight="1">
      <c r="A159" s="97"/>
      <c r="B159" s="98">
        <v>29</v>
      </c>
      <c r="C159" s="98">
        <v>41</v>
      </c>
      <c r="D159" s="98">
        <v>6</v>
      </c>
      <c r="E159" s="98">
        <v>7</v>
      </c>
      <c r="F159" s="98">
        <v>5.0498133212785001</v>
      </c>
      <c r="G159" s="5">
        <f t="shared" ca="1" si="160"/>
        <v>15008266236</v>
      </c>
      <c r="H159" s="12">
        <f t="shared" ca="1" si="161"/>
        <v>-50511740</v>
      </c>
      <c r="I159" s="99"/>
      <c r="J159" s="3">
        <f t="shared" ref="J159:M159" si="169">$K$1*B159</f>
        <v>290</v>
      </c>
      <c r="K159" s="3">
        <f t="shared" si="169"/>
        <v>410</v>
      </c>
      <c r="L159" s="3">
        <f t="shared" si="169"/>
        <v>60</v>
      </c>
      <c r="M159" s="3">
        <f t="shared" si="169"/>
        <v>70</v>
      </c>
      <c r="N159">
        <f t="shared" si="163"/>
        <v>0</v>
      </c>
    </row>
    <row r="160" spans="1:14" ht="15.75" customHeight="1">
      <c r="A160" s="97"/>
      <c r="B160" s="98">
        <v>32</v>
      </c>
      <c r="C160" s="98">
        <v>38</v>
      </c>
      <c r="D160" s="98">
        <v>7</v>
      </c>
      <c r="E160" s="98">
        <v>7</v>
      </c>
      <c r="F160" s="98">
        <v>5.0498229811388002</v>
      </c>
      <c r="G160" s="5">
        <f t="shared" ca="1" si="160"/>
        <v>14753777665</v>
      </c>
      <c r="H160" s="12">
        <f t="shared" ca="1" si="161"/>
        <v>-14156229.857142856</v>
      </c>
      <c r="I160" s="99"/>
      <c r="J160" s="3">
        <f t="shared" ref="J160:M160" si="170">$K$1*B160</f>
        <v>320</v>
      </c>
      <c r="K160" s="3">
        <f t="shared" si="170"/>
        <v>380</v>
      </c>
      <c r="L160" s="3">
        <f t="shared" si="170"/>
        <v>70</v>
      </c>
      <c r="M160" s="3">
        <f t="shared" si="170"/>
        <v>70</v>
      </c>
      <c r="N160">
        <f t="shared" si="163"/>
        <v>0</v>
      </c>
    </row>
    <row r="161" spans="1:14" ht="15.75" customHeight="1">
      <c r="A161" s="97"/>
      <c r="B161" s="98">
        <v>35</v>
      </c>
      <c r="C161" s="98">
        <v>35</v>
      </c>
      <c r="D161" s="98">
        <v>8</v>
      </c>
      <c r="E161" s="98">
        <v>7</v>
      </c>
      <c r="F161" s="98">
        <v>5.0498326410176002</v>
      </c>
      <c r="G161" s="5">
        <f t="shared" ca="1" si="160"/>
        <v>14499289094</v>
      </c>
      <c r="H161" s="12">
        <f t="shared" ca="1" si="161"/>
        <v>22199280.285714287</v>
      </c>
      <c r="I161" s="99"/>
      <c r="J161" s="3">
        <f t="shared" ref="J161:M161" si="171">$K$1*B161</f>
        <v>350</v>
      </c>
      <c r="K161" s="3">
        <f t="shared" si="171"/>
        <v>350</v>
      </c>
      <c r="L161" s="3">
        <f t="shared" si="171"/>
        <v>80</v>
      </c>
      <c r="M161" s="3">
        <f t="shared" si="171"/>
        <v>70</v>
      </c>
      <c r="N161">
        <f t="shared" si="163"/>
        <v>0</v>
      </c>
    </row>
    <row r="162" spans="1:14" ht="15.75" customHeight="1">
      <c r="A162" s="97"/>
      <c r="B162" s="98">
        <v>38</v>
      </c>
      <c r="C162" s="98">
        <v>32</v>
      </c>
      <c r="D162" s="98">
        <v>9</v>
      </c>
      <c r="E162" s="98">
        <v>7</v>
      </c>
      <c r="F162" s="98">
        <v>5.0498423009147997</v>
      </c>
      <c r="G162" s="5">
        <f t="shared" ca="1" si="160"/>
        <v>14244800523</v>
      </c>
      <c r="H162" s="12">
        <f t="shared" ca="1" si="161"/>
        <v>58554790.428571425</v>
      </c>
      <c r="I162" s="99"/>
      <c r="J162" s="3">
        <f t="shared" ref="J162:M162" si="172">$K$1*B162</f>
        <v>380</v>
      </c>
      <c r="K162" s="3">
        <f t="shared" si="172"/>
        <v>320</v>
      </c>
      <c r="L162" s="3">
        <f t="shared" si="172"/>
        <v>90</v>
      </c>
      <c r="M162" s="3">
        <f t="shared" si="172"/>
        <v>70</v>
      </c>
      <c r="N162">
        <f t="shared" si="163"/>
        <v>0</v>
      </c>
    </row>
    <row r="163" spans="1:14" ht="15.75" customHeight="1">
      <c r="A163" s="97"/>
      <c r="B163" s="98">
        <v>41</v>
      </c>
      <c r="C163" s="98">
        <v>29</v>
      </c>
      <c r="D163" s="98">
        <v>10</v>
      </c>
      <c r="E163" s="98">
        <v>7</v>
      </c>
      <c r="F163" s="98">
        <v>5.0498519608306003</v>
      </c>
      <c r="G163" s="5">
        <f t="shared" ca="1" si="160"/>
        <v>13990311952</v>
      </c>
      <c r="H163" s="12">
        <f t="shared" ca="1" si="161"/>
        <v>94910300.571428567</v>
      </c>
      <c r="I163" s="99"/>
      <c r="J163" s="3">
        <f t="shared" ref="J163:M163" si="173">$K$1*B163</f>
        <v>410</v>
      </c>
      <c r="K163" s="3">
        <f t="shared" si="173"/>
        <v>290</v>
      </c>
      <c r="L163" s="3">
        <f t="shared" si="173"/>
        <v>100</v>
      </c>
      <c r="M163" s="3">
        <f t="shared" si="173"/>
        <v>70</v>
      </c>
      <c r="N163">
        <f t="shared" si="163"/>
        <v>0</v>
      </c>
    </row>
    <row r="164" spans="1:14" ht="15.75" customHeight="1">
      <c r="A164" s="97"/>
      <c r="B164" s="98">
        <v>44</v>
      </c>
      <c r="C164" s="98">
        <v>26</v>
      </c>
      <c r="D164" s="98">
        <v>11</v>
      </c>
      <c r="E164" s="98">
        <v>7</v>
      </c>
      <c r="F164" s="98">
        <v>5.0498616207648004</v>
      </c>
      <c r="G164" s="5">
        <f t="shared" ca="1" si="160"/>
        <v>13735823381</v>
      </c>
      <c r="H164" s="12">
        <f t="shared" ca="1" si="161"/>
        <v>131265810.71428572</v>
      </c>
      <c r="I164" s="99"/>
      <c r="J164" s="3">
        <f t="shared" ref="J164:M164" si="174">$K$1*B164</f>
        <v>440</v>
      </c>
      <c r="K164" s="3">
        <f t="shared" si="174"/>
        <v>260</v>
      </c>
      <c r="L164" s="3">
        <f t="shared" si="174"/>
        <v>110</v>
      </c>
      <c r="M164" s="3">
        <f t="shared" si="174"/>
        <v>70</v>
      </c>
      <c r="N164">
        <f t="shared" si="163"/>
        <v>0</v>
      </c>
    </row>
    <row r="165" spans="1:14" ht="15.75" customHeight="1">
      <c r="A165" s="97"/>
      <c r="B165" s="98">
        <v>47</v>
      </c>
      <c r="C165" s="98">
        <v>23</v>
      </c>
      <c r="D165" s="98">
        <v>12</v>
      </c>
      <c r="E165" s="98">
        <v>7</v>
      </c>
      <c r="F165" s="98">
        <v>5.0498712807175004</v>
      </c>
      <c r="G165" s="5">
        <f t="shared" ca="1" si="160"/>
        <v>13481334810</v>
      </c>
      <c r="H165" s="12">
        <f t="shared" ca="1" si="161"/>
        <v>167621320.85714287</v>
      </c>
      <c r="I165" s="99"/>
      <c r="J165" s="3">
        <f t="shared" ref="J165:M165" si="175">$K$1*B165</f>
        <v>470</v>
      </c>
      <c r="K165" s="3">
        <f t="shared" si="175"/>
        <v>230</v>
      </c>
      <c r="L165" s="3">
        <f t="shared" si="175"/>
        <v>120</v>
      </c>
      <c r="M165" s="3">
        <f t="shared" si="175"/>
        <v>70</v>
      </c>
      <c r="N165">
        <f t="shared" si="163"/>
        <v>0</v>
      </c>
    </row>
    <row r="166" spans="1:14" ht="15.75" customHeight="1">
      <c r="A166" s="97"/>
      <c r="B166" s="98">
        <v>50</v>
      </c>
      <c r="C166" s="98">
        <v>20</v>
      </c>
      <c r="D166" s="98">
        <v>13</v>
      </c>
      <c r="E166" s="98">
        <v>7</v>
      </c>
      <c r="F166" s="98">
        <v>5.0498809406887002</v>
      </c>
      <c r="G166" s="5">
        <f t="shared" ca="1" si="160"/>
        <v>13226846239</v>
      </c>
      <c r="H166" s="12">
        <f t="shared" ca="1" si="161"/>
        <v>203976831</v>
      </c>
      <c r="I166" s="99"/>
      <c r="J166" s="3">
        <f t="shared" ref="J166:M166" si="176">$K$1*B166</f>
        <v>500</v>
      </c>
      <c r="K166" s="3">
        <f t="shared" si="176"/>
        <v>200</v>
      </c>
      <c r="L166" s="3">
        <f t="shared" si="176"/>
        <v>130</v>
      </c>
      <c r="M166" s="3">
        <f t="shared" si="176"/>
        <v>70</v>
      </c>
      <c r="N166">
        <f t="shared" si="163"/>
        <v>0</v>
      </c>
    </row>
    <row r="167" spans="1:14" ht="15.75" customHeight="1">
      <c r="A167" s="97"/>
      <c r="B167" s="98">
        <v>53</v>
      </c>
      <c r="C167" s="98">
        <v>17</v>
      </c>
      <c r="D167" s="98">
        <v>14</v>
      </c>
      <c r="E167" s="98">
        <v>7</v>
      </c>
      <c r="F167" s="98">
        <v>5.0498906006783999</v>
      </c>
      <c r="G167" s="5">
        <f t="shared" ca="1" si="160"/>
        <v>12972357668</v>
      </c>
      <c r="H167" s="12">
        <f t="shared" ca="1" si="161"/>
        <v>240332341.14285713</v>
      </c>
      <c r="I167" s="99"/>
      <c r="J167" s="3">
        <f t="shared" ref="J167:M167" si="177">$K$1*B167</f>
        <v>530</v>
      </c>
      <c r="K167" s="3">
        <f t="shared" si="177"/>
        <v>170</v>
      </c>
      <c r="L167" s="3">
        <f t="shared" si="177"/>
        <v>140</v>
      </c>
      <c r="M167" s="3">
        <f t="shared" si="177"/>
        <v>70</v>
      </c>
      <c r="N167">
        <f t="shared" si="163"/>
        <v>0</v>
      </c>
    </row>
    <row r="168" spans="1:14" ht="15.75" customHeight="1">
      <c r="A168" s="97"/>
      <c r="B168" s="98">
        <v>56</v>
      </c>
      <c r="C168" s="98">
        <v>14</v>
      </c>
      <c r="D168" s="98">
        <v>15</v>
      </c>
      <c r="E168" s="98">
        <v>7</v>
      </c>
      <c r="F168" s="98">
        <v>5.0499002606865</v>
      </c>
      <c r="G168" s="5">
        <f t="shared" ca="1" si="160"/>
        <v>12717869097</v>
      </c>
      <c r="H168" s="12">
        <f t="shared" ca="1" si="161"/>
        <v>276687851.28571427</v>
      </c>
      <c r="I168" s="99"/>
      <c r="J168" s="3">
        <f t="shared" ref="J168:M168" si="178">$K$1*B168</f>
        <v>560</v>
      </c>
      <c r="K168" s="3">
        <f t="shared" si="178"/>
        <v>140</v>
      </c>
      <c r="L168" s="3">
        <f t="shared" si="178"/>
        <v>150</v>
      </c>
      <c r="M168" s="3">
        <f t="shared" si="178"/>
        <v>70</v>
      </c>
      <c r="N168">
        <f t="shared" si="163"/>
        <v>0</v>
      </c>
    </row>
    <row r="169" spans="1:14" ht="15.75" customHeight="1">
      <c r="A169" s="97"/>
      <c r="B169" s="98">
        <v>59</v>
      </c>
      <c r="C169" s="98">
        <v>11</v>
      </c>
      <c r="D169" s="98">
        <v>16</v>
      </c>
      <c r="E169" s="98">
        <v>7</v>
      </c>
      <c r="F169" s="98">
        <v>5.0499099207131</v>
      </c>
      <c r="G169" s="5">
        <f t="shared" ca="1" si="160"/>
        <v>12463380526</v>
      </c>
      <c r="H169" s="12">
        <f t="shared" ca="1" si="161"/>
        <v>313043361.4285714</v>
      </c>
      <c r="I169" s="99"/>
      <c r="J169" s="3">
        <f t="shared" ref="J169:M169" si="179">$K$1*B169</f>
        <v>590</v>
      </c>
      <c r="K169" s="3">
        <f t="shared" si="179"/>
        <v>110</v>
      </c>
      <c r="L169" s="3">
        <f t="shared" si="179"/>
        <v>160</v>
      </c>
      <c r="M169" s="3">
        <f t="shared" si="179"/>
        <v>70</v>
      </c>
      <c r="N169">
        <f t="shared" si="163"/>
        <v>0</v>
      </c>
    </row>
    <row r="170" spans="1:14" ht="15.75" customHeight="1">
      <c r="A170" s="97"/>
      <c r="B170" s="98">
        <v>62</v>
      </c>
      <c r="C170" s="98">
        <v>8</v>
      </c>
      <c r="D170" s="98">
        <v>17</v>
      </c>
      <c r="E170" s="98">
        <v>7</v>
      </c>
      <c r="F170" s="98">
        <v>5.0499195807581998</v>
      </c>
      <c r="G170" s="5">
        <f t="shared" ca="1" si="160"/>
        <v>12208891955</v>
      </c>
      <c r="H170" s="12">
        <f t="shared" ca="1" si="161"/>
        <v>349398871.5714286</v>
      </c>
      <c r="I170" s="99"/>
      <c r="J170" s="3">
        <f t="shared" ref="J170:M170" si="180">$K$1*B170</f>
        <v>620</v>
      </c>
      <c r="K170" s="3">
        <f t="shared" si="180"/>
        <v>80</v>
      </c>
      <c r="L170" s="3">
        <f t="shared" si="180"/>
        <v>170</v>
      </c>
      <c r="M170" s="3">
        <f t="shared" si="180"/>
        <v>70</v>
      </c>
      <c r="N170">
        <f t="shared" si="163"/>
        <v>0</v>
      </c>
    </row>
    <row r="171" spans="1:14" ht="15.75" customHeight="1">
      <c r="A171" s="97"/>
      <c r="B171" s="98">
        <v>65</v>
      </c>
      <c r="C171" s="98">
        <v>5</v>
      </c>
      <c r="D171" s="98">
        <v>18</v>
      </c>
      <c r="E171" s="98">
        <v>7</v>
      </c>
      <c r="F171" s="98">
        <v>5.0499292408218004</v>
      </c>
      <c r="G171" s="5">
        <f t="shared" ca="1" si="160"/>
        <v>11954403384</v>
      </c>
      <c r="H171" s="12">
        <f t="shared" ca="1" si="161"/>
        <v>385754381.71428573</v>
      </c>
      <c r="I171" s="99"/>
      <c r="J171" s="3">
        <f t="shared" ref="J171:M171" si="181">$K$1*B171</f>
        <v>650</v>
      </c>
      <c r="K171" s="3">
        <f t="shared" si="181"/>
        <v>50</v>
      </c>
      <c r="L171" s="3">
        <f t="shared" si="181"/>
        <v>180</v>
      </c>
      <c r="M171" s="3">
        <f t="shared" si="181"/>
        <v>70</v>
      </c>
      <c r="N171">
        <f t="shared" si="163"/>
        <v>0</v>
      </c>
    </row>
    <row r="172" spans="1:14" ht="15.75" customHeight="1">
      <c r="A172" s="97"/>
      <c r="B172" s="98">
        <v>68</v>
      </c>
      <c r="C172" s="98">
        <v>2</v>
      </c>
      <c r="D172" s="98">
        <v>19</v>
      </c>
      <c r="E172" s="98">
        <v>7</v>
      </c>
      <c r="F172" s="98">
        <v>5.0499389009039</v>
      </c>
      <c r="G172" s="5">
        <f t="shared" ca="1" si="160"/>
        <v>11699914813</v>
      </c>
      <c r="H172" s="12">
        <f t="shared" ca="1" si="161"/>
        <v>422109891.85714287</v>
      </c>
      <c r="I172" s="99"/>
      <c r="J172" s="3">
        <f t="shared" ref="J172:M172" si="182">$K$1*B172</f>
        <v>680</v>
      </c>
      <c r="K172" s="3">
        <f t="shared" si="182"/>
        <v>20</v>
      </c>
      <c r="L172" s="3">
        <f t="shared" si="182"/>
        <v>190</v>
      </c>
      <c r="M172" s="3">
        <f t="shared" si="182"/>
        <v>70</v>
      </c>
      <c r="N172">
        <f t="shared" si="163"/>
        <v>0</v>
      </c>
    </row>
    <row r="173" spans="1:14" ht="15.75" customHeight="1">
      <c r="A173" s="97"/>
      <c r="B173" s="97"/>
      <c r="C173" s="97"/>
      <c r="D173" s="97"/>
      <c r="E173" s="97"/>
      <c r="F173" s="97"/>
      <c r="G173" s="91"/>
      <c r="H173" s="100"/>
      <c r="I173" s="99"/>
      <c r="J173" s="12"/>
      <c r="K173" s="12"/>
      <c r="L173" s="12"/>
      <c r="M173" s="12"/>
      <c r="N173" s="12"/>
    </row>
    <row r="174" spans="1:14" ht="15.75" customHeight="1">
      <c r="A174" s="97"/>
      <c r="B174" s="98">
        <v>26</v>
      </c>
      <c r="C174" s="98">
        <v>49</v>
      </c>
      <c r="D174" s="98">
        <v>0</v>
      </c>
      <c r="E174" s="98">
        <v>8</v>
      </c>
      <c r="F174" s="98">
        <v>5.0498505715158002</v>
      </c>
      <c r="G174" s="5">
        <f t="shared" ref="G174:G191" ca="1" si="183">(B174*$B$3)+(C174*$C$3)+(D174*$D$3)</f>
        <v>15226614422</v>
      </c>
      <c r="H174" s="12">
        <f t="shared" ref="H174:H191" ca="1" si="184">($G$3-G174)/E174</f>
        <v>-71491295.75</v>
      </c>
      <c r="I174" s="99"/>
      <c r="J174" s="3">
        <f t="shared" ref="J174:M174" si="185">$K$1*B174</f>
        <v>260</v>
      </c>
      <c r="K174" s="3">
        <f t="shared" si="185"/>
        <v>490</v>
      </c>
      <c r="L174" s="3">
        <f t="shared" si="185"/>
        <v>0</v>
      </c>
      <c r="M174" s="3">
        <f t="shared" si="185"/>
        <v>80</v>
      </c>
      <c r="N174">
        <f t="shared" ref="N174:N191" si="186">ROUNDDOWN(MIN($J$3/(B174+0.001),$K$3/(C174+0.001),$L$3/(D174+0.001),$M$3/(E174+0.001)),0)</f>
        <v>0</v>
      </c>
    </row>
    <row r="175" spans="1:14" ht="15.75" customHeight="1">
      <c r="A175" s="97"/>
      <c r="B175" s="98">
        <v>29</v>
      </c>
      <c r="C175" s="98">
        <v>46</v>
      </c>
      <c r="D175" s="98">
        <v>1</v>
      </c>
      <c r="E175" s="98">
        <v>8</v>
      </c>
      <c r="F175" s="98">
        <v>5.0498602314473997</v>
      </c>
      <c r="G175" s="5">
        <f t="shared" ca="1" si="183"/>
        <v>14972125851</v>
      </c>
      <c r="H175" s="12">
        <f t="shared" ca="1" si="184"/>
        <v>-39680224.375</v>
      </c>
      <c r="I175" s="99"/>
      <c r="J175" s="3">
        <f t="shared" ref="J175:M175" si="187">$K$1*B175</f>
        <v>290</v>
      </c>
      <c r="K175" s="3">
        <f t="shared" si="187"/>
        <v>460</v>
      </c>
      <c r="L175" s="3">
        <f t="shared" si="187"/>
        <v>10</v>
      </c>
      <c r="M175" s="3">
        <f t="shared" si="187"/>
        <v>80</v>
      </c>
      <c r="N175">
        <f t="shared" si="186"/>
        <v>0</v>
      </c>
    </row>
    <row r="176" spans="1:14" ht="15.75" customHeight="1">
      <c r="A176" s="97"/>
      <c r="B176" s="98">
        <v>32</v>
      </c>
      <c r="C176" s="98">
        <v>43</v>
      </c>
      <c r="D176" s="98">
        <v>2</v>
      </c>
      <c r="E176" s="98">
        <v>8</v>
      </c>
      <c r="F176" s="98">
        <v>5.0498698913973996</v>
      </c>
      <c r="G176" s="5">
        <f t="shared" ca="1" si="183"/>
        <v>14717637280</v>
      </c>
      <c r="H176" s="12">
        <f t="shared" ca="1" si="184"/>
        <v>-7869153</v>
      </c>
      <c r="I176" s="99"/>
      <c r="J176" s="3">
        <f t="shared" ref="J176:M176" si="188">$K$1*B176</f>
        <v>320</v>
      </c>
      <c r="K176" s="3">
        <f t="shared" si="188"/>
        <v>430</v>
      </c>
      <c r="L176" s="3">
        <f t="shared" si="188"/>
        <v>20</v>
      </c>
      <c r="M176" s="3">
        <f t="shared" si="188"/>
        <v>80</v>
      </c>
      <c r="N176">
        <f t="shared" si="186"/>
        <v>0</v>
      </c>
    </row>
    <row r="177" spans="1:14" ht="15.75" customHeight="1">
      <c r="A177" s="97"/>
      <c r="B177" s="98">
        <v>35</v>
      </c>
      <c r="C177" s="98">
        <v>40</v>
      </c>
      <c r="D177" s="98">
        <v>3</v>
      </c>
      <c r="E177" s="98">
        <v>8</v>
      </c>
      <c r="F177" s="98">
        <v>5.0498795513659998</v>
      </c>
      <c r="G177" s="5">
        <f t="shared" ca="1" si="183"/>
        <v>14463148709</v>
      </c>
      <c r="H177" s="12">
        <f t="shared" ca="1" si="184"/>
        <v>23941918.375</v>
      </c>
      <c r="I177" s="99"/>
      <c r="J177" s="3">
        <f t="shared" ref="J177:M177" si="189">$K$1*B177</f>
        <v>350</v>
      </c>
      <c r="K177" s="3">
        <f t="shared" si="189"/>
        <v>400</v>
      </c>
      <c r="L177" s="3">
        <f t="shared" si="189"/>
        <v>30</v>
      </c>
      <c r="M177" s="3">
        <f t="shared" si="189"/>
        <v>80</v>
      </c>
      <c r="N177">
        <f t="shared" si="186"/>
        <v>0</v>
      </c>
    </row>
    <row r="178" spans="1:14" ht="15.75" customHeight="1">
      <c r="A178" s="97"/>
      <c r="B178" s="98">
        <v>38</v>
      </c>
      <c r="C178" s="98">
        <v>37</v>
      </c>
      <c r="D178" s="98">
        <v>4</v>
      </c>
      <c r="E178" s="98">
        <v>8</v>
      </c>
      <c r="F178" s="98">
        <v>5.0498892113530003</v>
      </c>
      <c r="G178" s="5">
        <f t="shared" ca="1" si="183"/>
        <v>14208660138</v>
      </c>
      <c r="H178" s="12">
        <f t="shared" ca="1" si="184"/>
        <v>55752989.75</v>
      </c>
      <c r="I178" s="99"/>
      <c r="J178" s="3">
        <f t="shared" ref="J178:M178" si="190">$K$1*B178</f>
        <v>380</v>
      </c>
      <c r="K178" s="3">
        <f t="shared" si="190"/>
        <v>370</v>
      </c>
      <c r="L178" s="3">
        <f t="shared" si="190"/>
        <v>40</v>
      </c>
      <c r="M178" s="3">
        <f t="shared" si="190"/>
        <v>80</v>
      </c>
      <c r="N178">
        <f t="shared" si="186"/>
        <v>0</v>
      </c>
    </row>
    <row r="179" spans="1:14" ht="15.75" customHeight="1">
      <c r="A179" s="97"/>
      <c r="B179" s="98">
        <v>41</v>
      </c>
      <c r="C179" s="98">
        <v>34</v>
      </c>
      <c r="D179" s="98">
        <v>5</v>
      </c>
      <c r="E179" s="98">
        <v>8</v>
      </c>
      <c r="F179" s="98">
        <v>5.0498988713584003</v>
      </c>
      <c r="G179" s="5">
        <f t="shared" ca="1" si="183"/>
        <v>13954171567</v>
      </c>
      <c r="H179" s="12">
        <f t="shared" ca="1" si="184"/>
        <v>87564061.125</v>
      </c>
      <c r="I179" s="99"/>
      <c r="J179" s="3">
        <f t="shared" ref="J179:M179" si="191">$K$1*B179</f>
        <v>410</v>
      </c>
      <c r="K179" s="3">
        <f t="shared" si="191"/>
        <v>340</v>
      </c>
      <c r="L179" s="3">
        <f t="shared" si="191"/>
        <v>50</v>
      </c>
      <c r="M179" s="3">
        <f t="shared" si="191"/>
        <v>80</v>
      </c>
      <c r="N179">
        <f t="shared" si="186"/>
        <v>0</v>
      </c>
    </row>
    <row r="180" spans="1:14" ht="15.75" customHeight="1">
      <c r="A180" s="97"/>
      <c r="B180" s="98">
        <v>44</v>
      </c>
      <c r="C180" s="98">
        <v>31</v>
      </c>
      <c r="D180" s="98">
        <v>6</v>
      </c>
      <c r="E180" s="98">
        <v>8</v>
      </c>
      <c r="F180" s="98">
        <v>5.0499085313823997</v>
      </c>
      <c r="G180" s="5">
        <f t="shared" ca="1" si="183"/>
        <v>13699682996</v>
      </c>
      <c r="H180" s="12">
        <f t="shared" ca="1" si="184"/>
        <v>119375132.5</v>
      </c>
      <c r="I180" s="99"/>
      <c r="J180" s="3">
        <f t="shared" ref="J180:M180" si="192">$K$1*B180</f>
        <v>440</v>
      </c>
      <c r="K180" s="3">
        <f t="shared" si="192"/>
        <v>310</v>
      </c>
      <c r="L180" s="3">
        <f t="shared" si="192"/>
        <v>60</v>
      </c>
      <c r="M180" s="3">
        <f t="shared" si="192"/>
        <v>80</v>
      </c>
      <c r="N180">
        <f t="shared" si="186"/>
        <v>0</v>
      </c>
    </row>
    <row r="181" spans="1:14" ht="15.75" customHeight="1">
      <c r="A181" s="97"/>
      <c r="B181" s="98">
        <v>47</v>
      </c>
      <c r="C181" s="98">
        <v>28</v>
      </c>
      <c r="D181" s="98">
        <v>7</v>
      </c>
      <c r="E181" s="98">
        <v>8</v>
      </c>
      <c r="F181" s="98">
        <v>5.0499181914248998</v>
      </c>
      <c r="G181" s="5">
        <f t="shared" ca="1" si="183"/>
        <v>13445194425</v>
      </c>
      <c r="H181" s="12">
        <f t="shared" ca="1" si="184"/>
        <v>151186203.875</v>
      </c>
      <c r="I181" s="99"/>
      <c r="J181" s="3">
        <f t="shared" ref="J181:M181" si="193">$K$1*B181</f>
        <v>470</v>
      </c>
      <c r="K181" s="3">
        <f t="shared" si="193"/>
        <v>280</v>
      </c>
      <c r="L181" s="3">
        <f t="shared" si="193"/>
        <v>70</v>
      </c>
      <c r="M181" s="3">
        <f t="shared" si="193"/>
        <v>80</v>
      </c>
      <c r="N181">
        <f t="shared" si="186"/>
        <v>0</v>
      </c>
    </row>
    <row r="182" spans="1:14" ht="15.75" customHeight="1">
      <c r="A182" s="97"/>
      <c r="B182" s="98">
        <v>50</v>
      </c>
      <c r="C182" s="98">
        <v>25</v>
      </c>
      <c r="D182" s="98">
        <v>8</v>
      </c>
      <c r="E182" s="98">
        <v>8</v>
      </c>
      <c r="F182" s="98">
        <v>5.0499278514858004</v>
      </c>
      <c r="G182" s="5">
        <f t="shared" ca="1" si="183"/>
        <v>13190705854</v>
      </c>
      <c r="H182" s="12">
        <f t="shared" ca="1" si="184"/>
        <v>182997275.25</v>
      </c>
      <c r="I182" s="99"/>
      <c r="J182" s="3">
        <f t="shared" ref="J182:M182" si="194">$K$1*B182</f>
        <v>500</v>
      </c>
      <c r="K182" s="3">
        <f t="shared" si="194"/>
        <v>250</v>
      </c>
      <c r="L182" s="3">
        <f t="shared" si="194"/>
        <v>80</v>
      </c>
      <c r="M182" s="3">
        <f t="shared" si="194"/>
        <v>80</v>
      </c>
      <c r="N182">
        <f t="shared" si="186"/>
        <v>0</v>
      </c>
    </row>
    <row r="183" spans="1:14" ht="15.75" customHeight="1">
      <c r="A183" s="97"/>
      <c r="B183" s="98">
        <v>53</v>
      </c>
      <c r="C183" s="98">
        <v>22</v>
      </c>
      <c r="D183" s="98">
        <v>9</v>
      </c>
      <c r="E183" s="98">
        <v>8</v>
      </c>
      <c r="F183" s="98">
        <v>5.0499375115651999</v>
      </c>
      <c r="G183" s="5">
        <f t="shared" ca="1" si="183"/>
        <v>12936217283</v>
      </c>
      <c r="H183" s="12">
        <f t="shared" ca="1" si="184"/>
        <v>214808346.625</v>
      </c>
      <c r="I183" s="99"/>
      <c r="J183" s="3">
        <f t="shared" ref="J183:M183" si="195">$K$1*B183</f>
        <v>530</v>
      </c>
      <c r="K183" s="3">
        <f t="shared" si="195"/>
        <v>220</v>
      </c>
      <c r="L183" s="3">
        <f t="shared" si="195"/>
        <v>90</v>
      </c>
      <c r="M183" s="3">
        <f t="shared" si="195"/>
        <v>80</v>
      </c>
      <c r="N183">
        <f t="shared" si="186"/>
        <v>0</v>
      </c>
    </row>
    <row r="184" spans="1:14" ht="15.75" customHeight="1">
      <c r="A184" s="97"/>
      <c r="B184" s="98">
        <v>56</v>
      </c>
      <c r="C184" s="98">
        <v>19</v>
      </c>
      <c r="D184" s="98">
        <v>10</v>
      </c>
      <c r="E184" s="98">
        <v>8</v>
      </c>
      <c r="F184" s="98">
        <v>5.0499471716629998</v>
      </c>
      <c r="G184" s="5">
        <f t="shared" ca="1" si="183"/>
        <v>12681728712</v>
      </c>
      <c r="H184" s="12">
        <f t="shared" ca="1" si="184"/>
        <v>246619418</v>
      </c>
      <c r="I184" s="99"/>
      <c r="J184" s="3">
        <f t="shared" ref="J184:M184" si="196">$K$1*B184</f>
        <v>560</v>
      </c>
      <c r="K184" s="3">
        <f t="shared" si="196"/>
        <v>190</v>
      </c>
      <c r="L184" s="3">
        <f t="shared" si="196"/>
        <v>100</v>
      </c>
      <c r="M184" s="3">
        <f t="shared" si="196"/>
        <v>80</v>
      </c>
      <c r="N184">
        <f t="shared" si="186"/>
        <v>0</v>
      </c>
    </row>
    <row r="185" spans="1:14" ht="15.75" customHeight="1">
      <c r="A185" s="97"/>
      <c r="B185" s="98">
        <v>59</v>
      </c>
      <c r="C185" s="98">
        <v>16</v>
      </c>
      <c r="D185" s="98">
        <v>11</v>
      </c>
      <c r="E185" s="98">
        <v>8</v>
      </c>
      <c r="F185" s="98">
        <v>5.0499568317793999</v>
      </c>
      <c r="G185" s="5">
        <f t="shared" ca="1" si="183"/>
        <v>12427240141</v>
      </c>
      <c r="H185" s="12">
        <f t="shared" ca="1" si="184"/>
        <v>278430489.375</v>
      </c>
      <c r="I185" s="99"/>
      <c r="J185" s="3">
        <f t="shared" ref="J185:M185" si="197">$K$1*B185</f>
        <v>590</v>
      </c>
      <c r="K185" s="3">
        <f t="shared" si="197"/>
        <v>160</v>
      </c>
      <c r="L185" s="3">
        <f t="shared" si="197"/>
        <v>110</v>
      </c>
      <c r="M185" s="3">
        <f t="shared" si="197"/>
        <v>80</v>
      </c>
      <c r="N185">
        <f t="shared" si="186"/>
        <v>0</v>
      </c>
    </row>
    <row r="186" spans="1:14" ht="15.75" customHeight="1">
      <c r="A186" s="97"/>
      <c r="B186" s="98">
        <v>62</v>
      </c>
      <c r="C186" s="98">
        <v>13</v>
      </c>
      <c r="D186" s="98">
        <v>12</v>
      </c>
      <c r="E186" s="98">
        <v>8</v>
      </c>
      <c r="F186" s="98">
        <v>5.0499664919142004</v>
      </c>
      <c r="G186" s="5">
        <f t="shared" ca="1" si="183"/>
        <v>12172751570</v>
      </c>
      <c r="H186" s="12">
        <f t="shared" ca="1" si="184"/>
        <v>310241560.75</v>
      </c>
      <c r="I186" s="99"/>
      <c r="J186" s="3">
        <f t="shared" ref="J186:M186" si="198">$K$1*B186</f>
        <v>620</v>
      </c>
      <c r="K186" s="3">
        <f t="shared" si="198"/>
        <v>130</v>
      </c>
      <c r="L186" s="3">
        <f t="shared" si="198"/>
        <v>120</v>
      </c>
      <c r="M186" s="3">
        <f t="shared" si="198"/>
        <v>80</v>
      </c>
      <c r="N186">
        <f t="shared" si="186"/>
        <v>0</v>
      </c>
    </row>
    <row r="187" spans="1:14" ht="15.75" customHeight="1">
      <c r="A187" s="97"/>
      <c r="B187" s="98">
        <v>65</v>
      </c>
      <c r="C187" s="98">
        <v>10</v>
      </c>
      <c r="D187" s="98">
        <v>13</v>
      </c>
      <c r="E187" s="98">
        <v>8</v>
      </c>
      <c r="F187" s="98">
        <v>5.0499761520676003</v>
      </c>
      <c r="G187" s="5">
        <f t="shared" ca="1" si="183"/>
        <v>11918262999</v>
      </c>
      <c r="H187" s="12">
        <f t="shared" ca="1" si="184"/>
        <v>342052632.125</v>
      </c>
      <c r="I187" s="99"/>
      <c r="J187" s="3">
        <f t="shared" ref="J187:M187" si="199">$K$1*B187</f>
        <v>650</v>
      </c>
      <c r="K187" s="3">
        <f t="shared" si="199"/>
        <v>100</v>
      </c>
      <c r="L187" s="3">
        <f t="shared" si="199"/>
        <v>130</v>
      </c>
      <c r="M187" s="3">
        <f t="shared" si="199"/>
        <v>80</v>
      </c>
      <c r="N187">
        <f t="shared" si="186"/>
        <v>0</v>
      </c>
    </row>
    <row r="188" spans="1:14" ht="15.75" customHeight="1">
      <c r="A188" s="97"/>
      <c r="B188" s="98">
        <v>68</v>
      </c>
      <c r="C188" s="98">
        <v>7</v>
      </c>
      <c r="D188" s="98">
        <v>14</v>
      </c>
      <c r="E188" s="98">
        <v>8</v>
      </c>
      <c r="F188" s="98">
        <v>5.0499858122393002</v>
      </c>
      <c r="G188" s="5">
        <f t="shared" ca="1" si="183"/>
        <v>11663774428</v>
      </c>
      <c r="H188" s="12">
        <f t="shared" ca="1" si="184"/>
        <v>373863703.5</v>
      </c>
      <c r="I188" s="99"/>
      <c r="J188" s="3">
        <f t="shared" ref="J188:M188" si="200">$K$1*B188</f>
        <v>680</v>
      </c>
      <c r="K188" s="3">
        <f t="shared" si="200"/>
        <v>70</v>
      </c>
      <c r="L188" s="3">
        <f t="shared" si="200"/>
        <v>140</v>
      </c>
      <c r="M188" s="3">
        <f t="shared" si="200"/>
        <v>80</v>
      </c>
      <c r="N188">
        <f t="shared" si="186"/>
        <v>0</v>
      </c>
    </row>
    <row r="189" spans="1:14" ht="15.75" customHeight="1">
      <c r="A189" s="97"/>
      <c r="B189" s="98">
        <v>69</v>
      </c>
      <c r="C189" s="98">
        <v>5</v>
      </c>
      <c r="D189" s="98">
        <v>15</v>
      </c>
      <c r="E189" s="98">
        <v>8</v>
      </c>
      <c r="F189" s="98">
        <v>5.0495004233685004</v>
      </c>
      <c r="G189" s="5">
        <f t="shared" ca="1" si="183"/>
        <v>11495849927</v>
      </c>
      <c r="H189" s="12">
        <f t="shared" ca="1" si="184"/>
        <v>394854266.125</v>
      </c>
      <c r="I189" s="99"/>
      <c r="J189" s="3">
        <f t="shared" ref="J189:M189" si="201">$K$1*B189</f>
        <v>690</v>
      </c>
      <c r="K189" s="3">
        <f t="shared" si="201"/>
        <v>50</v>
      </c>
      <c r="L189" s="3">
        <f t="shared" si="201"/>
        <v>150</v>
      </c>
      <c r="M189" s="3">
        <f t="shared" si="201"/>
        <v>80</v>
      </c>
      <c r="N189">
        <f t="shared" si="186"/>
        <v>0</v>
      </c>
    </row>
    <row r="190" spans="1:14" ht="15.75" customHeight="1">
      <c r="A190" s="97"/>
      <c r="B190" s="98">
        <v>71</v>
      </c>
      <c r="C190" s="98">
        <v>4</v>
      </c>
      <c r="D190" s="98">
        <v>15</v>
      </c>
      <c r="E190" s="98">
        <v>8</v>
      </c>
      <c r="F190" s="98">
        <v>5.0499954724296003</v>
      </c>
      <c r="G190" s="5">
        <f t="shared" ca="1" si="183"/>
        <v>11409285857</v>
      </c>
      <c r="H190" s="12">
        <f t="shared" ca="1" si="184"/>
        <v>405674774.875</v>
      </c>
      <c r="I190" s="99"/>
      <c r="J190" s="3">
        <f t="shared" ref="J190:M190" si="202">$K$1*B190</f>
        <v>710</v>
      </c>
      <c r="K190" s="3">
        <f t="shared" si="202"/>
        <v>40</v>
      </c>
      <c r="L190" s="3">
        <f t="shared" si="202"/>
        <v>150</v>
      </c>
      <c r="M190" s="3">
        <f t="shared" si="202"/>
        <v>80</v>
      </c>
      <c r="N190">
        <f t="shared" si="186"/>
        <v>0</v>
      </c>
    </row>
    <row r="191" spans="1:14" ht="15.75" customHeight="1">
      <c r="A191" s="97"/>
      <c r="B191" s="98">
        <v>72</v>
      </c>
      <c r="C191" s="98">
        <v>2</v>
      </c>
      <c r="D191" s="98">
        <v>16</v>
      </c>
      <c r="E191" s="98">
        <v>8</v>
      </c>
      <c r="F191" s="98">
        <v>5.0495100826302997</v>
      </c>
      <c r="G191" s="5">
        <f t="shared" ca="1" si="183"/>
        <v>11241361356</v>
      </c>
      <c r="H191" s="12">
        <f t="shared" ca="1" si="184"/>
        <v>426665337.5</v>
      </c>
      <c r="I191" s="99"/>
      <c r="J191" s="3">
        <f t="shared" ref="J191:M191" si="203">$K$1*B191</f>
        <v>720</v>
      </c>
      <c r="K191" s="3">
        <f t="shared" si="203"/>
        <v>20</v>
      </c>
      <c r="L191" s="3">
        <f t="shared" si="203"/>
        <v>160</v>
      </c>
      <c r="M191" s="3">
        <f t="shared" si="203"/>
        <v>80</v>
      </c>
      <c r="N191">
        <f t="shared" si="186"/>
        <v>0</v>
      </c>
    </row>
    <row r="192" spans="1:14" ht="15.75" customHeight="1">
      <c r="A192" s="97"/>
      <c r="B192" s="97"/>
      <c r="C192" s="97"/>
      <c r="D192" s="97"/>
      <c r="E192" s="97"/>
      <c r="F192" s="97"/>
      <c r="G192" s="91"/>
      <c r="H192" s="100"/>
      <c r="I192" s="99"/>
      <c r="J192" s="12"/>
      <c r="K192" s="12"/>
      <c r="L192" s="12"/>
      <c r="M192" s="12"/>
      <c r="N192" s="12"/>
    </row>
    <row r="193" spans="1:14" ht="15.75" customHeight="1">
      <c r="A193" s="97"/>
      <c r="B193" s="98">
        <v>41</v>
      </c>
      <c r="C193" s="98">
        <v>39</v>
      </c>
      <c r="D193" s="98">
        <v>0</v>
      </c>
      <c r="E193" s="98">
        <v>9</v>
      </c>
      <c r="F193" s="98">
        <v>5.0499457823220997</v>
      </c>
      <c r="G193" s="5">
        <f t="shared" ref="G193:G206" ca="1" si="204">(B193*$B$3)+(C193*$C$3)+(D193*$D$3)</f>
        <v>13918031182</v>
      </c>
      <c r="H193" s="12">
        <f t="shared" ref="H193:H206" ca="1" si="205">($G$3-G193)/E193</f>
        <v>81850319.333333328</v>
      </c>
      <c r="I193" s="99"/>
      <c r="J193" s="3">
        <f t="shared" ref="J193:M193" si="206">$K$1*B193</f>
        <v>410</v>
      </c>
      <c r="K193" s="3">
        <f t="shared" si="206"/>
        <v>390</v>
      </c>
      <c r="L193" s="3">
        <f t="shared" si="206"/>
        <v>0</v>
      </c>
      <c r="M193" s="3">
        <f t="shared" si="206"/>
        <v>90</v>
      </c>
      <c r="N193">
        <f t="shared" ref="N193:N206" si="207">ROUNDDOWN(MIN($J$3/(B193+0.001),$K$3/(C193+0.001),$L$3/(D193+0.001),$M$3/(E193+0.001)),0)</f>
        <v>0</v>
      </c>
    </row>
    <row r="194" spans="1:14" ht="15.75" customHeight="1">
      <c r="A194" s="97"/>
      <c r="B194" s="98">
        <v>44</v>
      </c>
      <c r="C194" s="98">
        <v>36</v>
      </c>
      <c r="D194" s="98">
        <v>1</v>
      </c>
      <c r="E194" s="98">
        <v>9</v>
      </c>
      <c r="F194" s="98">
        <v>5.0499554424357997</v>
      </c>
      <c r="G194" s="5">
        <f t="shared" ca="1" si="204"/>
        <v>13663542611</v>
      </c>
      <c r="H194" s="12">
        <f t="shared" ca="1" si="205"/>
        <v>110126827.22222222</v>
      </c>
      <c r="I194" s="99"/>
      <c r="J194" s="3">
        <f t="shared" ref="J194:M194" si="208">$K$1*B194</f>
        <v>440</v>
      </c>
      <c r="K194" s="3">
        <f t="shared" si="208"/>
        <v>360</v>
      </c>
      <c r="L194" s="3">
        <f t="shared" si="208"/>
        <v>10</v>
      </c>
      <c r="M194" s="3">
        <f t="shared" si="208"/>
        <v>90</v>
      </c>
      <c r="N194">
        <f t="shared" si="207"/>
        <v>0</v>
      </c>
    </row>
    <row r="195" spans="1:14" ht="15.75" customHeight="1">
      <c r="A195" s="97"/>
      <c r="B195" s="98">
        <v>47</v>
      </c>
      <c r="C195" s="98">
        <v>33</v>
      </c>
      <c r="D195" s="98">
        <v>2</v>
      </c>
      <c r="E195" s="98">
        <v>9</v>
      </c>
      <c r="F195" s="98">
        <v>5.0499651025679997</v>
      </c>
      <c r="G195" s="5">
        <f t="shared" ca="1" si="204"/>
        <v>13409054040</v>
      </c>
      <c r="H195" s="12">
        <f t="shared" ca="1" si="205"/>
        <v>138403335.1111111</v>
      </c>
      <c r="I195" s="99"/>
      <c r="J195" s="3">
        <f t="shared" ref="J195:M195" si="209">$K$1*B195</f>
        <v>470</v>
      </c>
      <c r="K195" s="3">
        <f t="shared" si="209"/>
        <v>330</v>
      </c>
      <c r="L195" s="3">
        <f t="shared" si="209"/>
        <v>20</v>
      </c>
      <c r="M195" s="3">
        <f t="shared" si="209"/>
        <v>90</v>
      </c>
      <c r="N195">
        <f t="shared" si="207"/>
        <v>0</v>
      </c>
    </row>
    <row r="196" spans="1:14" ht="15.75" customHeight="1">
      <c r="A196" s="97"/>
      <c r="B196" s="98">
        <v>50</v>
      </c>
      <c r="C196" s="98">
        <v>30</v>
      </c>
      <c r="D196" s="98">
        <v>3</v>
      </c>
      <c r="E196" s="98">
        <v>9</v>
      </c>
      <c r="F196" s="98">
        <v>5.0499747627186</v>
      </c>
      <c r="G196" s="5">
        <f t="shared" ca="1" si="204"/>
        <v>13154565469</v>
      </c>
      <c r="H196" s="12">
        <f t="shared" ca="1" si="205"/>
        <v>166679843</v>
      </c>
      <c r="I196" s="99"/>
      <c r="J196" s="3">
        <f t="shared" ref="J196:M196" si="210">$K$1*B196</f>
        <v>500</v>
      </c>
      <c r="K196" s="3">
        <f t="shared" si="210"/>
        <v>300</v>
      </c>
      <c r="L196" s="3">
        <f t="shared" si="210"/>
        <v>30</v>
      </c>
      <c r="M196" s="3">
        <f t="shared" si="210"/>
        <v>90</v>
      </c>
      <c r="N196">
        <f t="shared" si="207"/>
        <v>0</v>
      </c>
    </row>
    <row r="197" spans="1:14" ht="15.75" customHeight="1">
      <c r="A197" s="97"/>
      <c r="B197" s="98">
        <v>53</v>
      </c>
      <c r="C197" s="98">
        <v>27</v>
      </c>
      <c r="D197" s="98">
        <v>4</v>
      </c>
      <c r="E197" s="98">
        <v>9</v>
      </c>
      <c r="F197" s="98">
        <v>5.0499844228877002</v>
      </c>
      <c r="G197" s="5">
        <f t="shared" ca="1" si="204"/>
        <v>12900076898</v>
      </c>
      <c r="H197" s="12">
        <f t="shared" ca="1" si="205"/>
        <v>194956350.8888889</v>
      </c>
      <c r="I197" s="99"/>
      <c r="J197" s="3">
        <f t="shared" ref="J197:M197" si="211">$K$1*B197</f>
        <v>530</v>
      </c>
      <c r="K197" s="3">
        <f t="shared" si="211"/>
        <v>270</v>
      </c>
      <c r="L197" s="3">
        <f t="shared" si="211"/>
        <v>40</v>
      </c>
      <c r="M197" s="3">
        <f t="shared" si="211"/>
        <v>90</v>
      </c>
      <c r="N197">
        <f t="shared" si="207"/>
        <v>0</v>
      </c>
    </row>
    <row r="198" spans="1:14" ht="15.75" customHeight="1">
      <c r="A198" s="97"/>
      <c r="B198" s="98">
        <v>56</v>
      </c>
      <c r="C198" s="98">
        <v>24</v>
      </c>
      <c r="D198" s="98">
        <v>5</v>
      </c>
      <c r="E198" s="98">
        <v>9</v>
      </c>
      <c r="F198" s="98">
        <v>5.0499940830753998</v>
      </c>
      <c r="G198" s="5">
        <f t="shared" ca="1" si="204"/>
        <v>12645588327</v>
      </c>
      <c r="H198" s="12">
        <f t="shared" ca="1" si="205"/>
        <v>223232858.77777779</v>
      </c>
      <c r="I198" s="99"/>
      <c r="J198" s="3">
        <f t="shared" ref="J198:M198" si="212">$K$1*B198</f>
        <v>560</v>
      </c>
      <c r="K198" s="3">
        <f t="shared" si="212"/>
        <v>240</v>
      </c>
      <c r="L198" s="3">
        <f t="shared" si="212"/>
        <v>50</v>
      </c>
      <c r="M198" s="3">
        <f t="shared" si="212"/>
        <v>90</v>
      </c>
      <c r="N198">
        <f t="shared" si="207"/>
        <v>0</v>
      </c>
    </row>
    <row r="199" spans="1:14" ht="15.75" customHeight="1">
      <c r="A199" s="97"/>
      <c r="B199" s="98">
        <v>57</v>
      </c>
      <c r="C199" s="98">
        <v>22</v>
      </c>
      <c r="D199" s="98">
        <v>6</v>
      </c>
      <c r="E199" s="98">
        <v>9</v>
      </c>
      <c r="F199" s="98">
        <v>5.0495086934096003</v>
      </c>
      <c r="G199" s="5">
        <f t="shared" ca="1" si="204"/>
        <v>12477663826</v>
      </c>
      <c r="H199" s="12">
        <f t="shared" ca="1" si="205"/>
        <v>241891136.66666666</v>
      </c>
      <c r="I199" s="99"/>
      <c r="J199" s="3">
        <f t="shared" ref="J199:M199" si="213">$K$1*B199</f>
        <v>570</v>
      </c>
      <c r="K199" s="3">
        <f t="shared" si="213"/>
        <v>220</v>
      </c>
      <c r="L199" s="3">
        <f t="shared" si="213"/>
        <v>60</v>
      </c>
      <c r="M199" s="3">
        <f t="shared" si="213"/>
        <v>90</v>
      </c>
      <c r="N199">
        <f t="shared" si="207"/>
        <v>0</v>
      </c>
    </row>
    <row r="200" spans="1:14" ht="15.75" customHeight="1">
      <c r="A200" s="97"/>
      <c r="B200" s="98">
        <v>60</v>
      </c>
      <c r="C200" s="98">
        <v>19</v>
      </c>
      <c r="D200" s="98">
        <v>7</v>
      </c>
      <c r="E200" s="98">
        <v>9</v>
      </c>
      <c r="F200" s="98">
        <v>5.0495183526870999</v>
      </c>
      <c r="G200" s="5">
        <f t="shared" ca="1" si="204"/>
        <v>12223175255</v>
      </c>
      <c r="H200" s="12">
        <f t="shared" ca="1" si="205"/>
        <v>270167644.55555558</v>
      </c>
      <c r="I200" s="99"/>
      <c r="J200" s="3">
        <f t="shared" ref="J200:M200" si="214">$K$1*B200</f>
        <v>600</v>
      </c>
      <c r="K200" s="3">
        <f t="shared" si="214"/>
        <v>190</v>
      </c>
      <c r="L200" s="3">
        <f t="shared" si="214"/>
        <v>70</v>
      </c>
      <c r="M200" s="3">
        <f t="shared" si="214"/>
        <v>90</v>
      </c>
      <c r="N200">
        <f t="shared" si="207"/>
        <v>0</v>
      </c>
    </row>
    <row r="201" spans="1:14" ht="15.75" customHeight="1">
      <c r="A201" s="97"/>
      <c r="B201" s="98">
        <v>63</v>
      </c>
      <c r="C201" s="98">
        <v>16</v>
      </c>
      <c r="D201" s="98">
        <v>8</v>
      </c>
      <c r="E201" s="98">
        <v>9</v>
      </c>
      <c r="F201" s="98">
        <v>5.0495280119831998</v>
      </c>
      <c r="G201" s="5">
        <f t="shared" ca="1" si="204"/>
        <v>11968686684</v>
      </c>
      <c r="H201" s="12">
        <f t="shared" ca="1" si="205"/>
        <v>298444152.44444442</v>
      </c>
      <c r="I201" s="99"/>
      <c r="J201" s="3">
        <f t="shared" ref="J201:M201" si="215">$K$1*B201</f>
        <v>630</v>
      </c>
      <c r="K201" s="3">
        <f t="shared" si="215"/>
        <v>160</v>
      </c>
      <c r="L201" s="3">
        <f t="shared" si="215"/>
        <v>80</v>
      </c>
      <c r="M201" s="3">
        <f t="shared" si="215"/>
        <v>90</v>
      </c>
      <c r="N201">
        <f t="shared" si="207"/>
        <v>0</v>
      </c>
    </row>
    <row r="202" spans="1:14" ht="15.75" customHeight="1">
      <c r="A202" s="97"/>
      <c r="B202" s="98">
        <v>66</v>
      </c>
      <c r="C202" s="98">
        <v>13</v>
      </c>
      <c r="D202" s="98">
        <v>9</v>
      </c>
      <c r="E202" s="98">
        <v>9</v>
      </c>
      <c r="F202" s="98">
        <v>5.0495376712977</v>
      </c>
      <c r="G202" s="5">
        <f t="shared" ca="1" si="204"/>
        <v>11714198113</v>
      </c>
      <c r="H202" s="12">
        <f t="shared" ca="1" si="205"/>
        <v>326720660.33333331</v>
      </c>
      <c r="I202" s="99"/>
      <c r="J202" s="3">
        <f t="shared" ref="J202:M202" si="216">$K$1*B202</f>
        <v>660</v>
      </c>
      <c r="K202" s="3">
        <f t="shared" si="216"/>
        <v>130</v>
      </c>
      <c r="L202" s="3">
        <f t="shared" si="216"/>
        <v>90</v>
      </c>
      <c r="M202" s="3">
        <f t="shared" si="216"/>
        <v>90</v>
      </c>
      <c r="N202">
        <f t="shared" si="207"/>
        <v>0</v>
      </c>
    </row>
    <row r="203" spans="1:14" ht="15.75" customHeight="1">
      <c r="A203" s="97"/>
      <c r="B203" s="98">
        <v>69</v>
      </c>
      <c r="C203" s="98">
        <v>10</v>
      </c>
      <c r="D203" s="98">
        <v>10</v>
      </c>
      <c r="E203" s="98">
        <v>9</v>
      </c>
      <c r="F203" s="98">
        <v>5.0495473306307996</v>
      </c>
      <c r="G203" s="5">
        <f t="shared" ca="1" si="204"/>
        <v>11459709542</v>
      </c>
      <c r="H203" s="12">
        <f t="shared" ca="1" si="205"/>
        <v>354997168.22222221</v>
      </c>
      <c r="I203" s="99"/>
      <c r="J203" s="3">
        <f t="shared" ref="J203:M203" si="217">$K$1*B203</f>
        <v>690</v>
      </c>
      <c r="K203" s="3">
        <f t="shared" si="217"/>
        <v>100</v>
      </c>
      <c r="L203" s="3">
        <f t="shared" si="217"/>
        <v>100</v>
      </c>
      <c r="M203" s="3">
        <f t="shared" si="217"/>
        <v>90</v>
      </c>
      <c r="N203">
        <f t="shared" si="207"/>
        <v>0</v>
      </c>
    </row>
    <row r="204" spans="1:14" ht="15.75" customHeight="1">
      <c r="A204" s="97"/>
      <c r="B204" s="98">
        <v>72</v>
      </c>
      <c r="C204" s="98">
        <v>7</v>
      </c>
      <c r="D204" s="98">
        <v>11</v>
      </c>
      <c r="E204" s="98">
        <v>9</v>
      </c>
      <c r="F204" s="98">
        <v>5.0495569899822996</v>
      </c>
      <c r="G204" s="5">
        <f t="shared" ca="1" si="204"/>
        <v>11205220971</v>
      </c>
      <c r="H204" s="12">
        <f t="shared" ca="1" si="205"/>
        <v>383273676.1111111</v>
      </c>
      <c r="I204" s="99"/>
      <c r="J204" s="3">
        <f t="shared" ref="J204:M204" si="218">$K$1*B204</f>
        <v>720</v>
      </c>
      <c r="K204" s="3">
        <f t="shared" si="218"/>
        <v>70</v>
      </c>
      <c r="L204" s="3">
        <f t="shared" si="218"/>
        <v>110</v>
      </c>
      <c r="M204" s="3">
        <f t="shared" si="218"/>
        <v>90</v>
      </c>
      <c r="N204">
        <f t="shared" si="207"/>
        <v>0</v>
      </c>
    </row>
    <row r="205" spans="1:14" ht="15.75" customHeight="1">
      <c r="A205" s="97"/>
      <c r="B205" s="98">
        <v>75</v>
      </c>
      <c r="C205" s="98">
        <v>4</v>
      </c>
      <c r="D205" s="98">
        <v>12</v>
      </c>
      <c r="E205" s="98">
        <v>9</v>
      </c>
      <c r="F205" s="98">
        <v>5.0495666493522</v>
      </c>
      <c r="G205" s="5">
        <f t="shared" ca="1" si="204"/>
        <v>10950732400</v>
      </c>
      <c r="H205" s="12">
        <f t="shared" ca="1" si="205"/>
        <v>411550184</v>
      </c>
      <c r="I205" s="99"/>
      <c r="J205" s="3">
        <f t="shared" ref="J205:M205" si="219">$K$1*B205</f>
        <v>750</v>
      </c>
      <c r="K205" s="3">
        <f t="shared" si="219"/>
        <v>40</v>
      </c>
      <c r="L205" s="3">
        <f t="shared" si="219"/>
        <v>120</v>
      </c>
      <c r="M205" s="3">
        <f t="shared" si="219"/>
        <v>90</v>
      </c>
      <c r="N205">
        <f t="shared" si="207"/>
        <v>0</v>
      </c>
    </row>
    <row r="206" spans="1:14" ht="15.75" customHeight="1">
      <c r="A206" s="97"/>
      <c r="B206" s="98">
        <v>78</v>
      </c>
      <c r="C206" s="98">
        <v>1</v>
      </c>
      <c r="D206" s="98">
        <v>13</v>
      </c>
      <c r="E206" s="98">
        <v>9</v>
      </c>
      <c r="F206" s="98">
        <v>5.0495763087406997</v>
      </c>
      <c r="G206" s="5">
        <f t="shared" ca="1" si="204"/>
        <v>10696243829</v>
      </c>
      <c r="H206" s="12">
        <f t="shared" ca="1" si="205"/>
        <v>439826691.8888889</v>
      </c>
      <c r="I206" s="99"/>
      <c r="J206" s="3">
        <f t="shared" ref="J206:M206" si="220">$K$1*B206</f>
        <v>780</v>
      </c>
      <c r="K206" s="3">
        <f t="shared" si="220"/>
        <v>10</v>
      </c>
      <c r="L206" s="3">
        <f t="shared" si="220"/>
        <v>130</v>
      </c>
      <c r="M206" s="3">
        <f t="shared" si="220"/>
        <v>90</v>
      </c>
      <c r="N206">
        <f t="shared" si="207"/>
        <v>0</v>
      </c>
    </row>
    <row r="207" spans="1:14" ht="15.75" customHeight="1">
      <c r="A207" s="97"/>
      <c r="B207" s="97"/>
      <c r="C207" s="97"/>
      <c r="D207" s="97"/>
      <c r="E207" s="97"/>
      <c r="F207" s="97"/>
      <c r="G207" s="91"/>
      <c r="H207" s="100"/>
      <c r="I207" s="99"/>
      <c r="J207" s="12"/>
      <c r="K207" s="12"/>
      <c r="L207" s="12"/>
      <c r="M207" s="12"/>
      <c r="N207" s="12"/>
    </row>
    <row r="208" spans="1:14" ht="15.75" customHeight="1">
      <c r="A208" s="97"/>
      <c r="B208" s="98">
        <v>54</v>
      </c>
      <c r="C208" s="98">
        <v>30</v>
      </c>
      <c r="D208" s="98">
        <v>0</v>
      </c>
      <c r="E208" s="98">
        <v>10</v>
      </c>
      <c r="F208" s="98">
        <v>5.0495459413998001</v>
      </c>
      <c r="G208" s="5">
        <f t="shared" ref="G208:G218" ca="1" si="221">(B208*$B$3)+(C208*$C$3)+(D208*$D$3)</f>
        <v>12696012012</v>
      </c>
      <c r="H208" s="12">
        <f t="shared" ref="H208:H218" ca="1" si="222">($G$3-G208)/E208</f>
        <v>195867204.40000001</v>
      </c>
      <c r="I208" s="99"/>
      <c r="J208" s="3">
        <f t="shared" ref="J208:M208" si="223">$K$1*B208</f>
        <v>540</v>
      </c>
      <c r="K208" s="3">
        <f t="shared" si="223"/>
        <v>300</v>
      </c>
      <c r="L208" s="3">
        <f t="shared" si="223"/>
        <v>0</v>
      </c>
      <c r="M208" s="3">
        <f t="shared" si="223"/>
        <v>100</v>
      </c>
      <c r="N208">
        <f t="shared" ref="N208:N218" si="224">ROUNDDOWN(MIN($J$3/(B208+0.001),$K$3/(C208+0.001),$L$3/(D208+0.001),$M$3/(E208+0.001)),0)</f>
        <v>0</v>
      </c>
    </row>
    <row r="209" spans="1:14" ht="15.75" customHeight="1">
      <c r="A209" s="97"/>
      <c r="B209" s="98">
        <v>57</v>
      </c>
      <c r="C209" s="98">
        <v>27</v>
      </c>
      <c r="D209" s="98">
        <v>1</v>
      </c>
      <c r="E209" s="98">
        <v>10</v>
      </c>
      <c r="F209" s="98">
        <v>5.0495556007486</v>
      </c>
      <c r="G209" s="5">
        <f t="shared" ca="1" si="221"/>
        <v>12441523441</v>
      </c>
      <c r="H209" s="12">
        <f t="shared" ca="1" si="222"/>
        <v>221316061.5</v>
      </c>
      <c r="I209" s="99"/>
      <c r="J209" s="3">
        <f t="shared" ref="J209:M209" si="225">$K$1*B209</f>
        <v>570</v>
      </c>
      <c r="K209" s="3">
        <f t="shared" si="225"/>
        <v>270</v>
      </c>
      <c r="L209" s="3">
        <f t="shared" si="225"/>
        <v>10</v>
      </c>
      <c r="M209" s="3">
        <f t="shared" si="225"/>
        <v>100</v>
      </c>
      <c r="N209">
        <f t="shared" si="224"/>
        <v>0</v>
      </c>
    </row>
    <row r="210" spans="1:14" ht="15.75" customHeight="1">
      <c r="A210" s="97"/>
      <c r="B210" s="98">
        <v>60</v>
      </c>
      <c r="C210" s="98">
        <v>24</v>
      </c>
      <c r="D210" s="98">
        <v>2</v>
      </c>
      <c r="E210" s="98">
        <v>10</v>
      </c>
      <c r="F210" s="98">
        <v>5.0495652601158998</v>
      </c>
      <c r="G210" s="5">
        <f t="shared" ca="1" si="221"/>
        <v>12187034870</v>
      </c>
      <c r="H210" s="12">
        <f t="shared" ca="1" si="222"/>
        <v>246764918.59999999</v>
      </c>
      <c r="I210" s="99"/>
      <c r="J210" s="3">
        <f t="shared" ref="J210:M210" si="226">$K$1*B210</f>
        <v>600</v>
      </c>
      <c r="K210" s="3">
        <f t="shared" si="226"/>
        <v>240</v>
      </c>
      <c r="L210" s="3">
        <f t="shared" si="226"/>
        <v>20</v>
      </c>
      <c r="M210" s="3">
        <f t="shared" si="226"/>
        <v>100</v>
      </c>
      <c r="N210">
        <f t="shared" si="224"/>
        <v>0</v>
      </c>
    </row>
    <row r="211" spans="1:14" ht="15.75" customHeight="1">
      <c r="A211" s="97"/>
      <c r="B211" s="98">
        <v>63</v>
      </c>
      <c r="C211" s="98">
        <v>21</v>
      </c>
      <c r="D211" s="98">
        <v>3</v>
      </c>
      <c r="E211" s="98">
        <v>10</v>
      </c>
      <c r="F211" s="98">
        <v>5.0495749195017003</v>
      </c>
      <c r="G211" s="5">
        <f t="shared" ca="1" si="221"/>
        <v>11932546299</v>
      </c>
      <c r="H211" s="12">
        <f t="shared" ca="1" si="222"/>
        <v>272213775.69999999</v>
      </c>
      <c r="I211" s="99"/>
      <c r="J211" s="3">
        <f t="shared" ref="J211:M211" si="227">$K$1*B211</f>
        <v>630</v>
      </c>
      <c r="K211" s="3">
        <f t="shared" si="227"/>
        <v>210</v>
      </c>
      <c r="L211" s="3">
        <f t="shared" si="227"/>
        <v>30</v>
      </c>
      <c r="M211" s="3">
        <f t="shared" si="227"/>
        <v>100</v>
      </c>
      <c r="N211">
        <f t="shared" si="224"/>
        <v>0</v>
      </c>
    </row>
    <row r="212" spans="1:14" ht="15.75" customHeight="1">
      <c r="A212" s="97"/>
      <c r="B212" s="98">
        <v>66</v>
      </c>
      <c r="C212" s="98">
        <v>18</v>
      </c>
      <c r="D212" s="98">
        <v>4</v>
      </c>
      <c r="E212" s="98">
        <v>10</v>
      </c>
      <c r="F212" s="98">
        <v>5.0495845789059999</v>
      </c>
      <c r="G212" s="5">
        <f t="shared" ca="1" si="221"/>
        <v>11678057728</v>
      </c>
      <c r="H212" s="12">
        <f t="shared" ca="1" si="222"/>
        <v>297662632.80000001</v>
      </c>
      <c r="I212" s="99"/>
      <c r="J212" s="3">
        <f t="shared" ref="J212:M212" si="228">$K$1*B212</f>
        <v>660</v>
      </c>
      <c r="K212" s="3">
        <f t="shared" si="228"/>
        <v>180</v>
      </c>
      <c r="L212" s="3">
        <f t="shared" si="228"/>
        <v>40</v>
      </c>
      <c r="M212" s="3">
        <f t="shared" si="228"/>
        <v>100</v>
      </c>
      <c r="N212">
        <f t="shared" si="224"/>
        <v>0</v>
      </c>
    </row>
    <row r="213" spans="1:14" ht="15.75" customHeight="1">
      <c r="A213" s="97"/>
      <c r="B213" s="98">
        <v>69</v>
      </c>
      <c r="C213" s="98">
        <v>15</v>
      </c>
      <c r="D213" s="98">
        <v>5</v>
      </c>
      <c r="E213" s="98">
        <v>10</v>
      </c>
      <c r="F213" s="98">
        <v>5.0495942383288002</v>
      </c>
      <c r="G213" s="5">
        <f t="shared" ca="1" si="221"/>
        <v>11423569157</v>
      </c>
      <c r="H213" s="12">
        <f t="shared" ca="1" si="222"/>
        <v>323111489.89999998</v>
      </c>
      <c r="I213" s="99"/>
      <c r="J213" s="3">
        <f t="shared" ref="J213:M213" si="229">$K$1*B213</f>
        <v>690</v>
      </c>
      <c r="K213" s="3">
        <f t="shared" si="229"/>
        <v>150</v>
      </c>
      <c r="L213" s="3">
        <f t="shared" si="229"/>
        <v>50</v>
      </c>
      <c r="M213" s="3">
        <f t="shared" si="229"/>
        <v>100</v>
      </c>
      <c r="N213">
        <f t="shared" si="224"/>
        <v>0</v>
      </c>
    </row>
    <row r="214" spans="1:14" ht="15.75" customHeight="1">
      <c r="A214" s="97"/>
      <c r="B214" s="98">
        <v>72</v>
      </c>
      <c r="C214" s="98">
        <v>12</v>
      </c>
      <c r="D214" s="98">
        <v>6</v>
      </c>
      <c r="E214" s="98">
        <v>10</v>
      </c>
      <c r="F214" s="98">
        <v>5.04960389777</v>
      </c>
      <c r="G214" s="5">
        <f t="shared" ca="1" si="221"/>
        <v>11169080586</v>
      </c>
      <c r="H214" s="12">
        <f t="shared" ca="1" si="222"/>
        <v>348560347</v>
      </c>
      <c r="I214" s="99"/>
      <c r="J214" s="3">
        <f t="shared" ref="J214:M214" si="230">$K$1*B214</f>
        <v>720</v>
      </c>
      <c r="K214" s="3">
        <f t="shared" si="230"/>
        <v>120</v>
      </c>
      <c r="L214" s="3">
        <f t="shared" si="230"/>
        <v>60</v>
      </c>
      <c r="M214" s="3">
        <f t="shared" si="230"/>
        <v>100</v>
      </c>
      <c r="N214">
        <f t="shared" si="224"/>
        <v>0</v>
      </c>
    </row>
    <row r="215" spans="1:14" ht="15.75" customHeight="1">
      <c r="A215" s="97"/>
      <c r="B215" s="98">
        <v>75</v>
      </c>
      <c r="C215" s="98">
        <v>9</v>
      </c>
      <c r="D215" s="98">
        <v>7</v>
      </c>
      <c r="E215" s="98">
        <v>10</v>
      </c>
      <c r="F215" s="98">
        <v>5.0496135572296996</v>
      </c>
      <c r="G215" s="5">
        <f t="shared" ca="1" si="221"/>
        <v>10914592015</v>
      </c>
      <c r="H215" s="12">
        <f t="shared" ca="1" si="222"/>
        <v>374009204.10000002</v>
      </c>
      <c r="I215" s="99"/>
      <c r="J215" s="3">
        <f t="shared" ref="J215:M215" si="231">$K$1*B215</f>
        <v>750</v>
      </c>
      <c r="K215" s="3">
        <f t="shared" si="231"/>
        <v>90</v>
      </c>
      <c r="L215" s="3">
        <f t="shared" si="231"/>
        <v>70</v>
      </c>
      <c r="M215" s="3">
        <f t="shared" si="231"/>
        <v>100</v>
      </c>
      <c r="N215">
        <f t="shared" si="224"/>
        <v>0</v>
      </c>
    </row>
    <row r="216" spans="1:14" ht="15.75" customHeight="1">
      <c r="A216" s="97"/>
      <c r="B216" s="98">
        <v>78</v>
      </c>
      <c r="C216" s="98">
        <v>6</v>
      </c>
      <c r="D216" s="98">
        <v>8</v>
      </c>
      <c r="E216" s="98">
        <v>10</v>
      </c>
      <c r="F216" s="98">
        <v>5.0496232167079</v>
      </c>
      <c r="G216" s="5">
        <f t="shared" ca="1" si="221"/>
        <v>10660103444</v>
      </c>
      <c r="H216" s="12">
        <f t="shared" ca="1" si="222"/>
        <v>399458061.19999999</v>
      </c>
      <c r="I216" s="99"/>
      <c r="J216" s="3">
        <f t="shared" ref="J216:M216" si="232">$K$1*B216</f>
        <v>780</v>
      </c>
      <c r="K216" s="3">
        <f t="shared" si="232"/>
        <v>60</v>
      </c>
      <c r="L216" s="3">
        <f t="shared" si="232"/>
        <v>80</v>
      </c>
      <c r="M216" s="3">
        <f t="shared" si="232"/>
        <v>100</v>
      </c>
      <c r="N216">
        <f t="shared" si="224"/>
        <v>0</v>
      </c>
    </row>
    <row r="217" spans="1:14" ht="15.75" customHeight="1">
      <c r="A217" s="97"/>
      <c r="B217" s="98">
        <v>81</v>
      </c>
      <c r="C217" s="98">
        <v>3</v>
      </c>
      <c r="D217" s="98">
        <v>9</v>
      </c>
      <c r="E217" s="98">
        <v>10</v>
      </c>
      <c r="F217" s="98">
        <v>5.0496328762045</v>
      </c>
      <c r="G217" s="5">
        <f t="shared" ca="1" si="221"/>
        <v>10405614873</v>
      </c>
      <c r="H217" s="12">
        <f t="shared" ca="1" si="222"/>
        <v>424906918.30000001</v>
      </c>
      <c r="I217" s="99"/>
      <c r="J217" s="3">
        <f t="shared" ref="J217:M217" si="233">$K$1*B217</f>
        <v>810</v>
      </c>
      <c r="K217" s="3">
        <f t="shared" si="233"/>
        <v>30</v>
      </c>
      <c r="L217" s="3">
        <f t="shared" si="233"/>
        <v>90</v>
      </c>
      <c r="M217" s="3">
        <f t="shared" si="233"/>
        <v>100</v>
      </c>
      <c r="N217">
        <f t="shared" si="224"/>
        <v>0</v>
      </c>
    </row>
    <row r="218" spans="1:14" ht="15.75" customHeight="1">
      <c r="A218" s="97"/>
      <c r="B218" s="98">
        <v>84</v>
      </c>
      <c r="C218" s="98">
        <v>0</v>
      </c>
      <c r="D218" s="98">
        <v>10</v>
      </c>
      <c r="E218" s="98">
        <v>10</v>
      </c>
      <c r="F218" s="98">
        <v>5.0496425357197001</v>
      </c>
      <c r="G218" s="5">
        <f t="shared" ca="1" si="221"/>
        <v>10151126302</v>
      </c>
      <c r="H218" s="12">
        <f t="shared" ca="1" si="222"/>
        <v>450355775.39999998</v>
      </c>
      <c r="I218" s="99"/>
      <c r="J218" s="3">
        <f t="shared" ref="J218:M218" si="234">$K$1*B218</f>
        <v>840</v>
      </c>
      <c r="K218" s="3">
        <f t="shared" si="234"/>
        <v>0</v>
      </c>
      <c r="L218" s="3">
        <f t="shared" si="234"/>
        <v>100</v>
      </c>
      <c r="M218" s="3">
        <f t="shared" si="234"/>
        <v>100</v>
      </c>
      <c r="N218">
        <f t="shared" si="224"/>
        <v>0</v>
      </c>
    </row>
    <row r="219" spans="1:14" ht="15.75" customHeight="1">
      <c r="A219" s="97"/>
      <c r="B219" s="97"/>
      <c r="C219" s="97"/>
      <c r="D219" s="97"/>
      <c r="E219" s="97"/>
      <c r="F219" s="97"/>
      <c r="G219" s="91"/>
      <c r="H219" s="100"/>
      <c r="I219" s="99"/>
      <c r="J219" s="12"/>
      <c r="K219" s="12"/>
      <c r="L219" s="12"/>
      <c r="M219" s="12"/>
      <c r="N219" s="12"/>
    </row>
    <row r="220" spans="1:14" ht="15.75" customHeight="1">
      <c r="A220" s="97"/>
      <c r="B220" s="98">
        <v>69</v>
      </c>
      <c r="C220" s="98">
        <v>20</v>
      </c>
      <c r="D220" s="98">
        <v>0</v>
      </c>
      <c r="E220" s="98">
        <v>11</v>
      </c>
      <c r="F220" s="98">
        <v>5.0496411464625002</v>
      </c>
      <c r="G220" s="5">
        <f t="shared" ref="G220:G226" ca="1" si="235">(B220*$B$3)+(C220*$C$3)+(D220*$D$3)</f>
        <v>11387428772</v>
      </c>
      <c r="H220" s="12">
        <f t="shared" ref="H220:H226" ca="1" si="236">($G$3-G220)/E220</f>
        <v>297023207.63636363</v>
      </c>
      <c r="I220" s="99"/>
      <c r="J220" s="3">
        <f t="shared" ref="J220:M220" si="237">$K$1*B220</f>
        <v>690</v>
      </c>
      <c r="K220" s="3">
        <f t="shared" si="237"/>
        <v>200</v>
      </c>
      <c r="L220" s="3">
        <f t="shared" si="237"/>
        <v>0</v>
      </c>
      <c r="M220" s="3">
        <f t="shared" si="237"/>
        <v>110</v>
      </c>
      <c r="N220">
        <f t="shared" ref="N220:N226" si="238">ROUNDDOWN(MIN($J$3/(B220+0.001),$K$3/(C220+0.001),$L$3/(D220+0.001),$M$3/(E220+0.001)),0)</f>
        <v>0</v>
      </c>
    </row>
    <row r="221" spans="1:14" ht="15.75" customHeight="1">
      <c r="A221" s="97"/>
      <c r="B221" s="98">
        <v>72</v>
      </c>
      <c r="C221" s="98">
        <v>17</v>
      </c>
      <c r="D221" s="98">
        <v>1</v>
      </c>
      <c r="E221" s="98">
        <v>11</v>
      </c>
      <c r="F221" s="98">
        <v>5.0496508059935001</v>
      </c>
      <c r="G221" s="5">
        <f t="shared" ca="1" si="235"/>
        <v>11132940201</v>
      </c>
      <c r="H221" s="12">
        <f t="shared" ca="1" si="236"/>
        <v>320158532.27272725</v>
      </c>
      <c r="I221" s="99"/>
      <c r="J221" s="3">
        <f t="shared" ref="J221:M221" si="239">$K$1*B221</f>
        <v>720</v>
      </c>
      <c r="K221" s="3">
        <f t="shared" si="239"/>
        <v>170</v>
      </c>
      <c r="L221" s="3">
        <f t="shared" si="239"/>
        <v>10</v>
      </c>
      <c r="M221" s="3">
        <f t="shared" si="239"/>
        <v>110</v>
      </c>
      <c r="N221">
        <f t="shared" si="238"/>
        <v>0</v>
      </c>
    </row>
    <row r="222" spans="1:14" ht="15.75" customHeight="1">
      <c r="A222" s="97"/>
      <c r="B222" s="98">
        <v>75</v>
      </c>
      <c r="C222" s="98">
        <v>14</v>
      </c>
      <c r="D222" s="98">
        <v>2</v>
      </c>
      <c r="E222" s="98">
        <v>11</v>
      </c>
      <c r="F222" s="98">
        <v>5.0496604655428996</v>
      </c>
      <c r="G222" s="5">
        <f t="shared" ca="1" si="235"/>
        <v>10878451630</v>
      </c>
      <c r="H222" s="12">
        <f t="shared" ca="1" si="236"/>
        <v>343293856.90909094</v>
      </c>
      <c r="I222" s="99"/>
      <c r="J222" s="3">
        <f t="shared" ref="J222:M222" si="240">$K$1*B222</f>
        <v>750</v>
      </c>
      <c r="K222" s="3">
        <f t="shared" si="240"/>
        <v>140</v>
      </c>
      <c r="L222" s="3">
        <f t="shared" si="240"/>
        <v>20</v>
      </c>
      <c r="M222" s="3">
        <f t="shared" si="240"/>
        <v>110</v>
      </c>
      <c r="N222">
        <f t="shared" si="238"/>
        <v>0</v>
      </c>
    </row>
    <row r="223" spans="1:14" ht="15.75" customHeight="1">
      <c r="A223" s="97"/>
      <c r="B223" s="98">
        <v>78</v>
      </c>
      <c r="C223" s="98">
        <v>11</v>
      </c>
      <c r="D223" s="98">
        <v>3</v>
      </c>
      <c r="E223" s="98">
        <v>11</v>
      </c>
      <c r="F223" s="98">
        <v>5.0496701251107998</v>
      </c>
      <c r="G223" s="5">
        <f t="shared" ca="1" si="235"/>
        <v>10623963059</v>
      </c>
      <c r="H223" s="12">
        <f t="shared" ca="1" si="236"/>
        <v>366429181.54545456</v>
      </c>
      <c r="I223" s="99"/>
      <c r="J223" s="3">
        <f t="shared" ref="J223:M223" si="241">$K$1*B223</f>
        <v>780</v>
      </c>
      <c r="K223" s="3">
        <f t="shared" si="241"/>
        <v>110</v>
      </c>
      <c r="L223" s="3">
        <f t="shared" si="241"/>
        <v>30</v>
      </c>
      <c r="M223" s="3">
        <f t="shared" si="241"/>
        <v>110</v>
      </c>
      <c r="N223">
        <f t="shared" si="238"/>
        <v>0</v>
      </c>
    </row>
    <row r="224" spans="1:14" ht="15.75" customHeight="1">
      <c r="A224" s="97"/>
      <c r="B224" s="98">
        <v>81</v>
      </c>
      <c r="C224" s="98">
        <v>8</v>
      </c>
      <c r="D224" s="98">
        <v>4</v>
      </c>
      <c r="E224" s="98">
        <v>11</v>
      </c>
      <c r="F224" s="98">
        <v>5.0496797846971999</v>
      </c>
      <c r="G224" s="5">
        <f t="shared" ca="1" si="235"/>
        <v>10369474488</v>
      </c>
      <c r="H224" s="12">
        <f t="shared" ca="1" si="236"/>
        <v>389564506.18181819</v>
      </c>
      <c r="I224" s="99"/>
      <c r="J224" s="3">
        <f t="shared" ref="J224:M224" si="242">$K$1*B224</f>
        <v>810</v>
      </c>
      <c r="K224" s="3">
        <f t="shared" si="242"/>
        <v>80</v>
      </c>
      <c r="L224" s="3">
        <f t="shared" si="242"/>
        <v>40</v>
      </c>
      <c r="M224" s="3">
        <f t="shared" si="242"/>
        <v>110</v>
      </c>
      <c r="N224">
        <f t="shared" si="238"/>
        <v>0</v>
      </c>
    </row>
    <row r="225" spans="1:14" ht="15.75" customHeight="1">
      <c r="A225" s="97"/>
      <c r="B225" s="98">
        <v>84</v>
      </c>
      <c r="C225" s="98">
        <v>5</v>
      </c>
      <c r="D225" s="98">
        <v>5</v>
      </c>
      <c r="E225" s="98">
        <v>11</v>
      </c>
      <c r="F225" s="98">
        <v>5.0496894443020999</v>
      </c>
      <c r="G225" s="5">
        <f t="shared" ca="1" si="235"/>
        <v>10114985917</v>
      </c>
      <c r="H225" s="12">
        <f t="shared" ca="1" si="236"/>
        <v>412699830.81818181</v>
      </c>
      <c r="I225" s="99"/>
      <c r="J225" s="3">
        <f t="shared" ref="J225:M225" si="243">$K$1*B225</f>
        <v>840</v>
      </c>
      <c r="K225" s="3">
        <f t="shared" si="243"/>
        <v>50</v>
      </c>
      <c r="L225" s="3">
        <f t="shared" si="243"/>
        <v>50</v>
      </c>
      <c r="M225" s="3">
        <f t="shared" si="243"/>
        <v>110</v>
      </c>
      <c r="N225">
        <f t="shared" si="238"/>
        <v>0</v>
      </c>
    </row>
    <row r="226" spans="1:14" ht="15.75" customHeight="1">
      <c r="A226" s="97"/>
      <c r="B226" s="98">
        <v>87</v>
      </c>
      <c r="C226" s="98">
        <v>2</v>
      </c>
      <c r="D226" s="98">
        <v>6</v>
      </c>
      <c r="E226" s="98">
        <v>11</v>
      </c>
      <c r="F226" s="98">
        <v>5.0496991039254002</v>
      </c>
      <c r="G226" s="5">
        <f t="shared" ca="1" si="235"/>
        <v>9860497346</v>
      </c>
      <c r="H226" s="12">
        <f t="shared" ca="1" si="236"/>
        <v>435835155.45454544</v>
      </c>
      <c r="I226" s="99"/>
      <c r="J226" s="3">
        <f t="shared" ref="J226:M226" si="244">$K$1*B226</f>
        <v>870</v>
      </c>
      <c r="K226" s="3">
        <f t="shared" si="244"/>
        <v>20</v>
      </c>
      <c r="L226" s="3">
        <f t="shared" si="244"/>
        <v>60</v>
      </c>
      <c r="M226" s="3">
        <f t="shared" si="244"/>
        <v>110</v>
      </c>
      <c r="N226">
        <f t="shared" si="238"/>
        <v>0</v>
      </c>
    </row>
    <row r="227" spans="1:14" ht="15.75" customHeight="1">
      <c r="A227" s="97"/>
      <c r="B227" s="97"/>
      <c r="C227" s="97"/>
      <c r="D227" s="97"/>
      <c r="E227" s="97"/>
      <c r="F227" s="97"/>
      <c r="G227" s="91"/>
      <c r="H227" s="100"/>
      <c r="I227" s="99"/>
      <c r="J227" s="12"/>
      <c r="K227" s="12"/>
      <c r="L227" s="12"/>
      <c r="M227" s="12"/>
      <c r="N227" s="12"/>
    </row>
    <row r="228" spans="1:14" ht="15.75" customHeight="1">
      <c r="A228" s="97"/>
      <c r="B228" s="98">
        <v>84</v>
      </c>
      <c r="C228" s="98">
        <v>10</v>
      </c>
      <c r="D228" s="98">
        <v>0</v>
      </c>
      <c r="E228" s="98">
        <v>12</v>
      </c>
      <c r="F228" s="98">
        <v>5.0497363533202</v>
      </c>
      <c r="G228" s="5">
        <f t="shared" ref="G228:G231" ca="1" si="245">(B228*$B$3)+(C228*$C$3)+(D228*$D$3)</f>
        <v>10078845532</v>
      </c>
      <c r="H228" s="12">
        <f t="shared" ref="H228:H231" ca="1" si="246">($G$3-G228)/E228</f>
        <v>381319877</v>
      </c>
      <c r="I228" s="99"/>
      <c r="J228" s="3">
        <f t="shared" ref="J228:M228" si="247">$K$1*B228</f>
        <v>840</v>
      </c>
      <c r="K228" s="3">
        <f t="shared" si="247"/>
        <v>100</v>
      </c>
      <c r="L228" s="3">
        <f t="shared" si="247"/>
        <v>0</v>
      </c>
      <c r="M228" s="3">
        <f t="shared" si="247"/>
        <v>120</v>
      </c>
      <c r="N228">
        <f t="shared" ref="N228:N231" si="248">ROUNDDOWN(MIN($J$3/(B228+0.001),$K$3/(C228+0.001),$L$3/(D228+0.001),$M$3/(E228+0.001)),0)</f>
        <v>0</v>
      </c>
    </row>
    <row r="229" spans="1:14" ht="15.75" customHeight="1">
      <c r="A229" s="97"/>
      <c r="B229" s="98">
        <v>87</v>
      </c>
      <c r="C229" s="98">
        <v>7</v>
      </c>
      <c r="D229" s="98">
        <v>1</v>
      </c>
      <c r="E229" s="98">
        <v>12</v>
      </c>
      <c r="F229" s="98">
        <v>5.0497460130332996</v>
      </c>
      <c r="G229" s="5">
        <f t="shared" ca="1" si="245"/>
        <v>9824356961</v>
      </c>
      <c r="H229" s="12">
        <f t="shared" ca="1" si="246"/>
        <v>402527257.91666669</v>
      </c>
      <c r="I229" s="99"/>
      <c r="J229" s="3">
        <f t="shared" ref="J229:M229" si="249">$K$1*B229</f>
        <v>870</v>
      </c>
      <c r="K229" s="3">
        <f t="shared" si="249"/>
        <v>70</v>
      </c>
      <c r="L229" s="3">
        <f t="shared" si="249"/>
        <v>10</v>
      </c>
      <c r="M229" s="3">
        <f t="shared" si="249"/>
        <v>120</v>
      </c>
      <c r="N229">
        <f t="shared" si="248"/>
        <v>0</v>
      </c>
    </row>
    <row r="230" spans="1:14" ht="15.75" customHeight="1">
      <c r="A230" s="97"/>
      <c r="B230" s="98">
        <v>90</v>
      </c>
      <c r="C230" s="98">
        <v>4</v>
      </c>
      <c r="D230" s="98">
        <v>2</v>
      </c>
      <c r="E230" s="98">
        <v>12</v>
      </c>
      <c r="F230" s="98">
        <v>5.0497556727649</v>
      </c>
      <c r="G230" s="5">
        <f t="shared" ca="1" si="245"/>
        <v>9569868390</v>
      </c>
      <c r="H230" s="12">
        <f t="shared" ca="1" si="246"/>
        <v>423734638.83333331</v>
      </c>
      <c r="I230" s="99"/>
      <c r="J230" s="3">
        <f t="shared" ref="J230:M230" si="250">$K$1*B230</f>
        <v>900</v>
      </c>
      <c r="K230" s="3">
        <f t="shared" si="250"/>
        <v>40</v>
      </c>
      <c r="L230" s="3">
        <f t="shared" si="250"/>
        <v>20</v>
      </c>
      <c r="M230" s="3">
        <f t="shared" si="250"/>
        <v>120</v>
      </c>
      <c r="N230">
        <f t="shared" si="248"/>
        <v>0</v>
      </c>
    </row>
    <row r="231" spans="1:14" ht="15.75" customHeight="1">
      <c r="A231" s="97"/>
      <c r="B231" s="98">
        <v>93</v>
      </c>
      <c r="C231" s="98">
        <v>1</v>
      </c>
      <c r="D231" s="98">
        <v>3</v>
      </c>
      <c r="E231" s="98">
        <v>12</v>
      </c>
      <c r="F231" s="98">
        <v>5.0497653325148999</v>
      </c>
      <c r="G231" s="5">
        <f t="shared" ca="1" si="245"/>
        <v>9315379819</v>
      </c>
      <c r="H231" s="12">
        <f t="shared" ca="1" si="246"/>
        <v>444942019.75</v>
      </c>
      <c r="I231" s="99"/>
      <c r="J231" s="3">
        <f t="shared" ref="J231:M231" si="251">$K$1*B231</f>
        <v>930</v>
      </c>
      <c r="K231" s="3">
        <f t="shared" si="251"/>
        <v>10</v>
      </c>
      <c r="L231" s="3">
        <f t="shared" si="251"/>
        <v>30</v>
      </c>
      <c r="M231" s="3">
        <f t="shared" si="251"/>
        <v>120</v>
      </c>
      <c r="N231">
        <f t="shared" si="248"/>
        <v>0</v>
      </c>
    </row>
    <row r="232" spans="1:14" ht="15.75" customHeight="1">
      <c r="A232" s="97"/>
      <c r="B232" s="97"/>
      <c r="C232" s="97"/>
      <c r="D232" s="97"/>
      <c r="E232" s="97"/>
      <c r="F232" s="97"/>
      <c r="G232" s="91"/>
      <c r="H232" s="100"/>
      <c r="I232" s="99"/>
      <c r="J232" s="12"/>
      <c r="K232" s="12"/>
      <c r="L232" s="12"/>
      <c r="M232" s="12"/>
      <c r="N232" s="12"/>
    </row>
    <row r="233" spans="1:14" ht="15.75" customHeight="1">
      <c r="A233" s="97"/>
      <c r="B233" s="98">
        <v>99</v>
      </c>
      <c r="C233" s="98">
        <v>0</v>
      </c>
      <c r="D233" s="98">
        <v>0</v>
      </c>
      <c r="E233" s="98">
        <v>13</v>
      </c>
      <c r="F233" s="98">
        <v>5.0498315619729999</v>
      </c>
      <c r="G233" s="5">
        <f ca="1">(B233*$B$3)+(C233*$C$3)+(D233*$D$3)</f>
        <v>8770262292</v>
      </c>
      <c r="H233" s="12">
        <f ca="1">($G$3-G233)/E233</f>
        <v>452647828</v>
      </c>
      <c r="I233" s="99"/>
      <c r="J233" s="3">
        <f t="shared" ref="J233:M233" si="252">$K$1*B233</f>
        <v>990</v>
      </c>
      <c r="K233" s="3">
        <f t="shared" si="252"/>
        <v>0</v>
      </c>
      <c r="L233" s="3">
        <f t="shared" si="252"/>
        <v>0</v>
      </c>
      <c r="M233" s="3">
        <f t="shared" si="252"/>
        <v>130</v>
      </c>
      <c r="N233">
        <f>ROUNDDOWN(MIN($J$3/(B233+0.001),$K$3/(C233+0.001),$L$3/(D233+0.001),$M$3/(E233+0.001)),0)</f>
        <v>0</v>
      </c>
    </row>
    <row r="234" spans="1:14" ht="15.75" customHeight="1">
      <c r="A234" s="97"/>
      <c r="B234" s="97"/>
      <c r="C234" s="97"/>
      <c r="D234" s="97"/>
      <c r="E234" s="97"/>
      <c r="F234" s="97"/>
      <c r="G234" s="91"/>
      <c r="H234" s="100"/>
      <c r="I234" s="99"/>
      <c r="J234" s="12"/>
      <c r="K234" s="12"/>
      <c r="L234" s="12"/>
      <c r="M234" s="12"/>
      <c r="N234" s="12"/>
    </row>
    <row r="235" spans="1:14" ht="15.75" customHeight="1">
      <c r="A235" s="97"/>
      <c r="B235" s="98">
        <v>1</v>
      </c>
      <c r="C235" s="98">
        <v>2</v>
      </c>
      <c r="D235" s="98">
        <v>30</v>
      </c>
      <c r="E235" s="98">
        <v>14</v>
      </c>
      <c r="F235" s="98">
        <v>5.0499682243719999</v>
      </c>
      <c r="G235" s="5">
        <f ca="1">(B235*$B$3)+(C235*$C$3)+(D235*$D$3)</f>
        <v>8745145570</v>
      </c>
      <c r="H235" s="12">
        <f ca="1">($G$3-G235)/E235</f>
        <v>422109891.85714287</v>
      </c>
      <c r="I235" s="99"/>
      <c r="J235" s="3">
        <f t="shared" ref="J235:M235" si="253">$K$1*B235</f>
        <v>10</v>
      </c>
      <c r="K235" s="3">
        <f t="shared" si="253"/>
        <v>20</v>
      </c>
      <c r="L235" s="3">
        <f t="shared" si="253"/>
        <v>300</v>
      </c>
      <c r="M235" s="3">
        <f t="shared" si="253"/>
        <v>140</v>
      </c>
      <c r="N235">
        <f>ROUNDDOWN(MIN($J$3/(B235+0.001),$K$3/(C235+0.001),$L$3/(D235+0.001),$M$3/(E235+0.001)),0)</f>
        <v>0</v>
      </c>
    </row>
    <row r="236" spans="1:14" ht="15.75" customHeight="1">
      <c r="A236" s="97"/>
      <c r="B236" s="97"/>
      <c r="C236" s="97"/>
      <c r="D236" s="97"/>
      <c r="E236" s="97"/>
      <c r="F236" s="97"/>
      <c r="G236" s="91"/>
      <c r="H236" s="100"/>
      <c r="I236" s="99"/>
      <c r="J236" s="12"/>
      <c r="K236" s="12"/>
      <c r="L236" s="12"/>
      <c r="M236" s="12"/>
    </row>
    <row r="237" spans="1:14" ht="15.75" customHeight="1">
      <c r="A237" s="97"/>
      <c r="B237" s="98">
        <v>2</v>
      </c>
      <c r="C237" s="98">
        <v>5</v>
      </c>
      <c r="D237" s="98">
        <v>26</v>
      </c>
      <c r="E237" s="98">
        <v>15</v>
      </c>
      <c r="F237" s="98">
        <v>5.0495297442905001</v>
      </c>
      <c r="G237" s="5">
        <f t="shared" ref="G237:G238" ca="1" si="254">(B237*$B$3)+(C237*$C$3)+(D237*$D$3)</f>
        <v>8541080684</v>
      </c>
      <c r="H237" s="12">
        <f t="shared" ref="H237:H238" ca="1" si="255">($G$3-G237)/E237</f>
        <v>407573558.13333333</v>
      </c>
      <c r="I237" s="99"/>
      <c r="J237" s="3">
        <f t="shared" ref="J237:M237" si="256">$K$1*B237</f>
        <v>20</v>
      </c>
      <c r="K237" s="3">
        <f t="shared" si="256"/>
        <v>50</v>
      </c>
      <c r="L237" s="3">
        <f t="shared" si="256"/>
        <v>260</v>
      </c>
      <c r="M237" s="3">
        <f t="shared" si="256"/>
        <v>150</v>
      </c>
      <c r="N237">
        <f t="shared" ref="N237:N238" si="257">ROUNDDOWN(MIN($J$3/(B237+0.001),$K$3/(C237+0.001),$L$3/(D237+0.001),$M$3/(E237+0.001)),0)</f>
        <v>0</v>
      </c>
    </row>
    <row r="238" spans="1:14" ht="15.75" customHeight="1">
      <c r="A238" s="97"/>
      <c r="B238" s="98">
        <v>5</v>
      </c>
      <c r="C238" s="98">
        <v>2</v>
      </c>
      <c r="D238" s="98">
        <v>27</v>
      </c>
      <c r="E238" s="98">
        <v>15</v>
      </c>
      <c r="F238" s="98">
        <v>5.0495394036084003</v>
      </c>
      <c r="G238" s="5">
        <f t="shared" ca="1" si="254"/>
        <v>8286592113</v>
      </c>
      <c r="H238" s="12">
        <f t="shared" ca="1" si="255"/>
        <v>424539462.86666667</v>
      </c>
      <c r="I238" s="99"/>
      <c r="J238" s="3">
        <f t="shared" ref="J238:M238" si="258">$K$1*B238</f>
        <v>50</v>
      </c>
      <c r="K238" s="3">
        <f t="shared" si="258"/>
        <v>20</v>
      </c>
      <c r="L238" s="3">
        <f t="shared" si="258"/>
        <v>270</v>
      </c>
      <c r="M238" s="3">
        <f t="shared" si="258"/>
        <v>150</v>
      </c>
      <c r="N238">
        <f t="shared" si="257"/>
        <v>0</v>
      </c>
    </row>
    <row r="239" spans="1:14" ht="15.75" customHeight="1">
      <c r="A239" s="97"/>
      <c r="B239" s="97"/>
      <c r="C239" s="97"/>
      <c r="D239" s="97"/>
      <c r="E239" s="97"/>
      <c r="F239" s="97"/>
      <c r="G239" s="91"/>
      <c r="H239" s="100"/>
      <c r="I239" s="99"/>
      <c r="J239" s="12"/>
      <c r="K239" s="12"/>
      <c r="L239" s="12"/>
      <c r="M239" s="12"/>
    </row>
    <row r="240" spans="1:14" ht="15.75" customHeight="1">
      <c r="A240" s="97"/>
      <c r="B240" s="98">
        <v>2</v>
      </c>
      <c r="C240" s="98">
        <v>10</v>
      </c>
      <c r="D240" s="98">
        <v>21</v>
      </c>
      <c r="E240" s="98">
        <v>16</v>
      </c>
      <c r="F240" s="98">
        <v>5.0495766518252001</v>
      </c>
      <c r="G240" s="5">
        <f t="shared" ref="G240:G243" ca="1" si="259">(B240*$B$3)+(C240*$C$3)+(D240*$D$3)</f>
        <v>8504940299</v>
      </c>
      <c r="H240" s="12">
        <f t="shared" ref="H240:H243" ca="1" si="260">($G$3-G240)/E240</f>
        <v>384358984.8125</v>
      </c>
      <c r="I240" s="99"/>
      <c r="J240" s="3">
        <f t="shared" ref="J240:M240" si="261">$K$1*B240</f>
        <v>20</v>
      </c>
      <c r="K240" s="3">
        <f t="shared" si="261"/>
        <v>100</v>
      </c>
      <c r="L240" s="3">
        <f t="shared" si="261"/>
        <v>210</v>
      </c>
      <c r="M240" s="3">
        <f t="shared" si="261"/>
        <v>160</v>
      </c>
      <c r="N240">
        <f t="shared" ref="N240:N243" si="262">ROUNDDOWN(MIN($J$3/(B240+0.001),$K$3/(C240+0.001),$L$3/(D240+0.001),$M$3/(E240+0.001)),0)</f>
        <v>0</v>
      </c>
    </row>
    <row r="241" spans="1:14" ht="15.75" customHeight="1">
      <c r="A241" s="97"/>
      <c r="B241" s="98">
        <v>5</v>
      </c>
      <c r="C241" s="98">
        <v>7</v>
      </c>
      <c r="D241" s="98">
        <v>22</v>
      </c>
      <c r="E241" s="98">
        <v>16</v>
      </c>
      <c r="F241" s="98">
        <v>5.0495863112328001</v>
      </c>
      <c r="G241" s="5">
        <f t="shared" ca="1" si="259"/>
        <v>8250451728</v>
      </c>
      <c r="H241" s="12">
        <f t="shared" ca="1" si="260"/>
        <v>400264520.5</v>
      </c>
      <c r="I241" s="99"/>
      <c r="J241" s="3">
        <f t="shared" ref="J241:M241" si="263">$K$1*B241</f>
        <v>50</v>
      </c>
      <c r="K241" s="3">
        <f t="shared" si="263"/>
        <v>70</v>
      </c>
      <c r="L241" s="3">
        <f t="shared" si="263"/>
        <v>220</v>
      </c>
      <c r="M241" s="3">
        <f t="shared" si="263"/>
        <v>160</v>
      </c>
      <c r="N241">
        <f t="shared" si="262"/>
        <v>0</v>
      </c>
    </row>
    <row r="242" spans="1:14" ht="15.75" customHeight="1">
      <c r="A242" s="97"/>
      <c r="B242" s="98">
        <v>8</v>
      </c>
      <c r="C242" s="98">
        <v>4</v>
      </c>
      <c r="D242" s="98">
        <v>23</v>
      </c>
      <c r="E242" s="98">
        <v>16</v>
      </c>
      <c r="F242" s="98">
        <v>5.0495959706587996</v>
      </c>
      <c r="G242" s="5">
        <f t="shared" ca="1" si="259"/>
        <v>7995963157</v>
      </c>
      <c r="H242" s="12">
        <f t="shared" ca="1" si="260"/>
        <v>416170056.1875</v>
      </c>
      <c r="I242" s="99"/>
      <c r="J242" s="3">
        <f t="shared" ref="J242:M242" si="264">$K$1*B242</f>
        <v>80</v>
      </c>
      <c r="K242" s="3">
        <f t="shared" si="264"/>
        <v>40</v>
      </c>
      <c r="L242" s="3">
        <f t="shared" si="264"/>
        <v>230</v>
      </c>
      <c r="M242" s="3">
        <f t="shared" si="264"/>
        <v>160</v>
      </c>
      <c r="N242">
        <f t="shared" si="262"/>
        <v>0</v>
      </c>
    </row>
    <row r="243" spans="1:14" ht="15.75" customHeight="1">
      <c r="A243" s="97"/>
      <c r="B243" s="98">
        <v>11</v>
      </c>
      <c r="C243" s="98">
        <v>1</v>
      </c>
      <c r="D243" s="98">
        <v>24</v>
      </c>
      <c r="E243" s="98">
        <v>16</v>
      </c>
      <c r="F243" s="98">
        <v>5.0496056301034002</v>
      </c>
      <c r="G243" s="5">
        <f t="shared" ca="1" si="259"/>
        <v>7741474586</v>
      </c>
      <c r="H243" s="12">
        <f t="shared" ca="1" si="260"/>
        <v>432075591.875</v>
      </c>
      <c r="I243" s="99"/>
      <c r="J243" s="3">
        <f t="shared" ref="J243:M243" si="265">$K$1*B243</f>
        <v>110</v>
      </c>
      <c r="K243" s="3">
        <f t="shared" si="265"/>
        <v>10</v>
      </c>
      <c r="L243" s="3">
        <f t="shared" si="265"/>
        <v>240</v>
      </c>
      <c r="M243" s="3">
        <f t="shared" si="265"/>
        <v>160</v>
      </c>
      <c r="N243">
        <f t="shared" si="262"/>
        <v>0</v>
      </c>
    </row>
    <row r="244" spans="1:14" ht="15.75" customHeight="1">
      <c r="A244" s="97"/>
      <c r="B244" s="97"/>
      <c r="C244" s="97"/>
      <c r="D244" s="97"/>
      <c r="E244" s="97"/>
      <c r="F244" s="97"/>
      <c r="G244" s="91"/>
      <c r="H244" s="100"/>
      <c r="I244" s="99"/>
      <c r="J244" s="12"/>
      <c r="K244" s="12"/>
      <c r="L244" s="12"/>
      <c r="M244" s="12"/>
    </row>
    <row r="245" spans="1:14" ht="15.75" customHeight="1">
      <c r="A245" s="97"/>
      <c r="B245" s="98">
        <v>2</v>
      </c>
      <c r="C245" s="98">
        <v>15</v>
      </c>
      <c r="D245" s="98">
        <v>16</v>
      </c>
      <c r="E245" s="98">
        <v>17</v>
      </c>
      <c r="F245" s="98">
        <v>5.0496235597955996</v>
      </c>
      <c r="G245" s="5">
        <f t="shared" ref="G245:G250" ca="1" si="266">(B245*$B$3)+(C245*$C$3)+(D245*$D$3)</f>
        <v>8468799914</v>
      </c>
      <c r="H245" s="12">
        <f t="shared" ref="H245:H250" ca="1" si="267">($G$3-G245)/E245</f>
        <v>363875537.7647059</v>
      </c>
      <c r="I245" s="99"/>
      <c r="J245" s="3">
        <f t="shared" ref="J245:M245" si="268">$K$1*B245</f>
        <v>20</v>
      </c>
      <c r="K245" s="3">
        <f t="shared" si="268"/>
        <v>150</v>
      </c>
      <c r="L245" s="3">
        <f t="shared" si="268"/>
        <v>160</v>
      </c>
      <c r="M245" s="3">
        <f t="shared" si="268"/>
        <v>170</v>
      </c>
      <c r="N245">
        <f t="shared" ref="N245:N250" si="269">ROUNDDOWN(MIN($J$3/(B245+0.001),$K$3/(C245+0.001),$L$3/(D245+0.001),$M$3/(E245+0.001)),0)</f>
        <v>0</v>
      </c>
    </row>
    <row r="246" spans="1:14" ht="15.75" customHeight="1">
      <c r="A246" s="97"/>
      <c r="B246" s="98">
        <v>5</v>
      </c>
      <c r="C246" s="98">
        <v>12</v>
      </c>
      <c r="D246" s="98">
        <v>17</v>
      </c>
      <c r="E246" s="98">
        <v>17</v>
      </c>
      <c r="F246" s="98">
        <v>5.0496332192929003</v>
      </c>
      <c r="G246" s="5">
        <f t="shared" ca="1" si="266"/>
        <v>8214311343</v>
      </c>
      <c r="H246" s="12">
        <f t="shared" ca="1" si="267"/>
        <v>378845453.70588237</v>
      </c>
      <c r="I246" s="99"/>
      <c r="J246" s="3">
        <f t="shared" ref="J246:M246" si="270">$K$1*B246</f>
        <v>50</v>
      </c>
      <c r="K246" s="3">
        <f t="shared" si="270"/>
        <v>120</v>
      </c>
      <c r="L246" s="3">
        <f t="shared" si="270"/>
        <v>170</v>
      </c>
      <c r="M246" s="3">
        <f t="shared" si="270"/>
        <v>170</v>
      </c>
      <c r="N246">
        <f t="shared" si="269"/>
        <v>0</v>
      </c>
    </row>
    <row r="247" spans="1:14" ht="15.75" customHeight="1">
      <c r="A247" s="97"/>
      <c r="B247" s="98">
        <v>8</v>
      </c>
      <c r="C247" s="98">
        <v>9</v>
      </c>
      <c r="D247" s="98">
        <v>18</v>
      </c>
      <c r="E247" s="98">
        <v>17</v>
      </c>
      <c r="F247" s="98">
        <v>5.0496428788087</v>
      </c>
      <c r="G247" s="5">
        <f t="shared" ca="1" si="266"/>
        <v>7959822772</v>
      </c>
      <c r="H247" s="12">
        <f t="shared" ca="1" si="267"/>
        <v>393815369.64705884</v>
      </c>
      <c r="I247" s="99"/>
      <c r="J247" s="3">
        <f t="shared" ref="J247:M247" si="271">$K$1*B247</f>
        <v>80</v>
      </c>
      <c r="K247" s="3">
        <f t="shared" si="271"/>
        <v>90</v>
      </c>
      <c r="L247" s="3">
        <f t="shared" si="271"/>
        <v>180</v>
      </c>
      <c r="M247" s="3">
        <f t="shared" si="271"/>
        <v>170</v>
      </c>
      <c r="N247">
        <f t="shared" si="269"/>
        <v>0</v>
      </c>
    </row>
    <row r="248" spans="1:14" ht="15.75" customHeight="1">
      <c r="A248" s="97"/>
      <c r="B248" s="98">
        <v>11</v>
      </c>
      <c r="C248" s="98">
        <v>6</v>
      </c>
      <c r="D248" s="98">
        <v>19</v>
      </c>
      <c r="E248" s="98">
        <v>17</v>
      </c>
      <c r="F248" s="98">
        <v>5.0496525383429001</v>
      </c>
      <c r="G248" s="5">
        <f t="shared" ca="1" si="266"/>
        <v>7705334201</v>
      </c>
      <c r="H248" s="12">
        <f t="shared" ca="1" si="267"/>
        <v>408785285.58823532</v>
      </c>
      <c r="I248" s="99"/>
      <c r="J248" s="3">
        <f t="shared" ref="J248:M248" si="272">$K$1*B248</f>
        <v>110</v>
      </c>
      <c r="K248" s="3">
        <f t="shared" si="272"/>
        <v>60</v>
      </c>
      <c r="L248" s="3">
        <f t="shared" si="272"/>
        <v>190</v>
      </c>
      <c r="M248" s="3">
        <f t="shared" si="272"/>
        <v>170</v>
      </c>
      <c r="N248">
        <f t="shared" si="269"/>
        <v>0</v>
      </c>
    </row>
    <row r="249" spans="1:14" ht="15.75" customHeight="1">
      <c r="A249" s="97"/>
      <c r="B249" s="98">
        <v>14</v>
      </c>
      <c r="C249" s="98">
        <v>3</v>
      </c>
      <c r="D249" s="98">
        <v>20</v>
      </c>
      <c r="E249" s="98">
        <v>17</v>
      </c>
      <c r="F249" s="98">
        <v>5.0496621978957004</v>
      </c>
      <c r="G249" s="5">
        <f t="shared" ca="1" si="266"/>
        <v>7450845630</v>
      </c>
      <c r="H249" s="12">
        <f t="shared" ca="1" si="267"/>
        <v>423755201.52941179</v>
      </c>
      <c r="I249" s="99"/>
      <c r="J249" s="3">
        <f t="shared" ref="J249:M249" si="273">$K$1*B249</f>
        <v>140</v>
      </c>
      <c r="K249" s="3">
        <f t="shared" si="273"/>
        <v>30</v>
      </c>
      <c r="L249" s="3">
        <f t="shared" si="273"/>
        <v>200</v>
      </c>
      <c r="M249" s="3">
        <f t="shared" si="273"/>
        <v>170</v>
      </c>
      <c r="N249">
        <f t="shared" si="269"/>
        <v>0</v>
      </c>
    </row>
    <row r="250" spans="1:14" ht="15.75" customHeight="1">
      <c r="A250" s="97"/>
      <c r="B250" s="98">
        <v>17</v>
      </c>
      <c r="C250" s="98">
        <v>0</v>
      </c>
      <c r="D250" s="98">
        <v>21</v>
      </c>
      <c r="E250" s="98">
        <v>17</v>
      </c>
      <c r="F250" s="98">
        <v>5.0496718574669002</v>
      </c>
      <c r="G250" s="5">
        <f t="shared" ca="1" si="266"/>
        <v>7196357059</v>
      </c>
      <c r="H250" s="12">
        <f t="shared" ca="1" si="267"/>
        <v>438725117.47058821</v>
      </c>
      <c r="I250" s="99"/>
      <c r="J250" s="3">
        <f t="shared" ref="J250:M250" si="274">$K$1*B250</f>
        <v>170</v>
      </c>
      <c r="K250" s="3">
        <f t="shared" si="274"/>
        <v>0</v>
      </c>
      <c r="L250" s="3">
        <f t="shared" si="274"/>
        <v>210</v>
      </c>
      <c r="M250" s="3">
        <f t="shared" si="274"/>
        <v>170</v>
      </c>
      <c r="N250">
        <f t="shared" si="269"/>
        <v>1</v>
      </c>
    </row>
    <row r="251" spans="1:14" ht="15.75" customHeight="1">
      <c r="A251" s="97"/>
      <c r="B251" s="97"/>
      <c r="C251" s="97"/>
      <c r="D251" s="97"/>
      <c r="E251" s="97"/>
      <c r="F251" s="97"/>
      <c r="G251" s="91"/>
      <c r="H251" s="100"/>
      <c r="I251" s="99"/>
      <c r="J251" s="12"/>
      <c r="K251" s="12"/>
      <c r="L251" s="12"/>
      <c r="M251" s="12"/>
    </row>
    <row r="252" spans="1:14" ht="15.75" customHeight="1">
      <c r="A252" s="97"/>
      <c r="B252" s="98">
        <v>2</v>
      </c>
      <c r="C252" s="98">
        <v>20</v>
      </c>
      <c r="D252" s="98">
        <v>11</v>
      </c>
      <c r="E252" s="98">
        <v>18</v>
      </c>
      <c r="F252" s="98">
        <v>5.0496704682017004</v>
      </c>
      <c r="G252" s="5">
        <f t="shared" ref="G252:G258" ca="1" si="275">(B252*$B$3)+(C252*$C$3)+(D252*$D$3)</f>
        <v>8432659529</v>
      </c>
      <c r="H252" s="12">
        <f t="shared" ref="H252:H258" ca="1" si="276">($G$3-G252)/E252</f>
        <v>345668029.27777779</v>
      </c>
      <c r="I252" s="99"/>
      <c r="J252" s="3">
        <f t="shared" ref="J252:M252" si="277">$K$1*B252</f>
        <v>20</v>
      </c>
      <c r="K252" s="3">
        <f t="shared" si="277"/>
        <v>200</v>
      </c>
      <c r="L252" s="3">
        <f t="shared" si="277"/>
        <v>110</v>
      </c>
      <c r="M252" s="3">
        <f t="shared" si="277"/>
        <v>180</v>
      </c>
      <c r="N252">
        <f t="shared" ref="N252:N258" si="278">ROUNDDOWN(MIN($J$3/(B252+0.001),$K$3/(C252+0.001),$L$3/(D252+0.001),$M$3/(E252+0.001)),0)</f>
        <v>0</v>
      </c>
    </row>
    <row r="253" spans="1:14" ht="15.75" customHeight="1">
      <c r="A253" s="97"/>
      <c r="B253" s="98">
        <v>5</v>
      </c>
      <c r="C253" s="98">
        <v>17</v>
      </c>
      <c r="D253" s="98">
        <v>12</v>
      </c>
      <c r="E253" s="98">
        <v>18</v>
      </c>
      <c r="F253" s="98">
        <v>5.0496801277887</v>
      </c>
      <c r="G253" s="5">
        <f t="shared" ca="1" si="275"/>
        <v>8178170958</v>
      </c>
      <c r="H253" s="12">
        <f t="shared" ca="1" si="276"/>
        <v>359806283.22222221</v>
      </c>
      <c r="I253" s="99"/>
      <c r="J253" s="3">
        <f t="shared" ref="J253:M253" si="279">$K$1*B253</f>
        <v>50</v>
      </c>
      <c r="K253" s="3">
        <f t="shared" si="279"/>
        <v>170</v>
      </c>
      <c r="L253" s="3">
        <f t="shared" si="279"/>
        <v>120</v>
      </c>
      <c r="M253" s="3">
        <f t="shared" si="279"/>
        <v>180</v>
      </c>
      <c r="N253">
        <f t="shared" si="278"/>
        <v>0</v>
      </c>
    </row>
    <row r="254" spans="1:14" ht="15.75" customHeight="1">
      <c r="A254" s="97"/>
      <c r="B254" s="98">
        <v>8</v>
      </c>
      <c r="C254" s="98">
        <v>14</v>
      </c>
      <c r="D254" s="98">
        <v>13</v>
      </c>
      <c r="E254" s="98">
        <v>18</v>
      </c>
      <c r="F254" s="98">
        <v>5.0496897873942999</v>
      </c>
      <c r="G254" s="5">
        <f t="shared" ca="1" si="275"/>
        <v>7923682387</v>
      </c>
      <c r="H254" s="12">
        <f t="shared" ca="1" si="276"/>
        <v>373944537.16666669</v>
      </c>
      <c r="I254" s="99"/>
      <c r="J254" s="3">
        <f t="shared" ref="J254:M254" si="280">$K$1*B254</f>
        <v>80</v>
      </c>
      <c r="K254" s="3">
        <f t="shared" si="280"/>
        <v>140</v>
      </c>
      <c r="L254" s="3">
        <f t="shared" si="280"/>
        <v>130</v>
      </c>
      <c r="M254" s="3">
        <f t="shared" si="280"/>
        <v>180</v>
      </c>
      <c r="N254">
        <f t="shared" si="278"/>
        <v>0</v>
      </c>
    </row>
    <row r="255" spans="1:14" ht="15.75" customHeight="1">
      <c r="A255" s="97"/>
      <c r="B255" s="98">
        <v>11</v>
      </c>
      <c r="C255" s="98">
        <v>11</v>
      </c>
      <c r="D255" s="98">
        <v>14</v>
      </c>
      <c r="E255" s="98">
        <v>18</v>
      </c>
      <c r="F255" s="98">
        <v>5.0496994470183001</v>
      </c>
      <c r="G255" s="5">
        <f t="shared" ca="1" si="275"/>
        <v>7669193816</v>
      </c>
      <c r="H255" s="12">
        <f t="shared" ca="1" si="276"/>
        <v>388082791.1111111</v>
      </c>
      <c r="I255" s="99"/>
      <c r="J255" s="3">
        <f t="shared" ref="J255:M255" si="281">$K$1*B255</f>
        <v>110</v>
      </c>
      <c r="K255" s="3">
        <f t="shared" si="281"/>
        <v>110</v>
      </c>
      <c r="L255" s="3">
        <f t="shared" si="281"/>
        <v>140</v>
      </c>
      <c r="M255" s="3">
        <f t="shared" si="281"/>
        <v>180</v>
      </c>
      <c r="N255">
        <f t="shared" si="278"/>
        <v>0</v>
      </c>
    </row>
    <row r="256" spans="1:14" ht="15.75" customHeight="1">
      <c r="A256" s="97"/>
      <c r="B256" s="98">
        <v>14</v>
      </c>
      <c r="C256" s="98">
        <v>8</v>
      </c>
      <c r="D256" s="98">
        <v>15</v>
      </c>
      <c r="E256" s="98">
        <v>18</v>
      </c>
      <c r="F256" s="98">
        <v>5.0497091066606998</v>
      </c>
      <c r="G256" s="5">
        <f t="shared" ca="1" si="275"/>
        <v>7414705245</v>
      </c>
      <c r="H256" s="12">
        <f t="shared" ca="1" si="276"/>
        <v>402221045.05555558</v>
      </c>
      <c r="I256" s="99"/>
      <c r="J256" s="3">
        <f t="shared" ref="J256:M256" si="282">$K$1*B256</f>
        <v>140</v>
      </c>
      <c r="K256" s="3">
        <f t="shared" si="282"/>
        <v>80</v>
      </c>
      <c r="L256" s="3">
        <f t="shared" si="282"/>
        <v>150</v>
      </c>
      <c r="M256" s="3">
        <f t="shared" si="282"/>
        <v>180</v>
      </c>
      <c r="N256">
        <f t="shared" si="278"/>
        <v>0</v>
      </c>
    </row>
    <row r="257" spans="1:14" ht="15.75" customHeight="1">
      <c r="A257" s="97"/>
      <c r="B257" s="98">
        <v>17</v>
      </c>
      <c r="C257" s="98">
        <v>5</v>
      </c>
      <c r="D257" s="98">
        <v>16</v>
      </c>
      <c r="E257" s="98">
        <v>18</v>
      </c>
      <c r="F257" s="98">
        <v>5.0497187663216998</v>
      </c>
      <c r="G257" s="5">
        <f t="shared" ca="1" si="275"/>
        <v>7160216674</v>
      </c>
      <c r="H257" s="12">
        <f t="shared" ca="1" si="276"/>
        <v>416359299</v>
      </c>
      <c r="I257" s="99"/>
      <c r="J257" s="3">
        <f t="shared" ref="J257:M257" si="283">$K$1*B257</f>
        <v>170</v>
      </c>
      <c r="K257" s="3">
        <f t="shared" si="283"/>
        <v>50</v>
      </c>
      <c r="L257" s="3">
        <f t="shared" si="283"/>
        <v>160</v>
      </c>
      <c r="M257" s="3">
        <f t="shared" si="283"/>
        <v>180</v>
      </c>
      <c r="N257">
        <f t="shared" si="278"/>
        <v>0</v>
      </c>
    </row>
    <row r="258" spans="1:14" ht="15.75" customHeight="1">
      <c r="A258" s="97"/>
      <c r="B258" s="98">
        <v>20</v>
      </c>
      <c r="C258" s="98">
        <v>2</v>
      </c>
      <c r="D258" s="98">
        <v>17</v>
      </c>
      <c r="E258" s="98">
        <v>18</v>
      </c>
      <c r="F258" s="98">
        <v>5.0497284260011002</v>
      </c>
      <c r="G258" s="5">
        <f t="shared" ca="1" si="275"/>
        <v>6905728103</v>
      </c>
      <c r="H258" s="12">
        <f t="shared" ca="1" si="276"/>
        <v>430497552.94444442</v>
      </c>
      <c r="I258" s="99"/>
      <c r="J258" s="3">
        <f t="shared" ref="J258:M258" si="284">$K$1*B258</f>
        <v>200</v>
      </c>
      <c r="K258" s="3">
        <f t="shared" si="284"/>
        <v>20</v>
      </c>
      <c r="L258" s="3">
        <f t="shared" si="284"/>
        <v>170</v>
      </c>
      <c r="M258" s="3">
        <f t="shared" si="284"/>
        <v>180</v>
      </c>
      <c r="N258">
        <f t="shared" si="278"/>
        <v>0</v>
      </c>
    </row>
    <row r="259" spans="1:14" ht="15.75" customHeight="1">
      <c r="A259" s="97"/>
      <c r="B259" s="97"/>
      <c r="C259" s="97"/>
      <c r="D259" s="97"/>
      <c r="E259" s="97"/>
      <c r="F259" s="97"/>
      <c r="G259" s="91"/>
      <c r="H259" s="100"/>
      <c r="I259" s="99"/>
      <c r="J259" s="12"/>
      <c r="K259" s="12"/>
      <c r="L259" s="12"/>
      <c r="M259" s="12"/>
      <c r="N259" s="12"/>
    </row>
    <row r="260" spans="1:14" ht="15.75" customHeight="1">
      <c r="A260" s="97"/>
      <c r="B260" s="98">
        <v>2</v>
      </c>
      <c r="C260" s="98">
        <v>25</v>
      </c>
      <c r="D260" s="98">
        <v>6</v>
      </c>
      <c r="E260" s="98">
        <v>19</v>
      </c>
      <c r="F260" s="98">
        <v>5.0497173770436001</v>
      </c>
      <c r="G260" s="5">
        <f t="shared" ref="G260:G268" ca="1" si="285">(B260*$B$3)+(C260*$C$3)+(D260*$D$3)</f>
        <v>8396519144</v>
      </c>
      <c r="H260" s="12">
        <f t="shared" ref="H260:H268" ca="1" si="286">($G$3-G260)/E260</f>
        <v>329377100.63157892</v>
      </c>
      <c r="I260" s="99"/>
      <c r="J260" s="3">
        <f t="shared" ref="J260:M260" si="287">$K$1*B260</f>
        <v>20</v>
      </c>
      <c r="K260" s="3">
        <f t="shared" si="287"/>
        <v>250</v>
      </c>
      <c r="L260" s="3">
        <f t="shared" si="287"/>
        <v>60</v>
      </c>
      <c r="M260" s="3">
        <f t="shared" si="287"/>
        <v>190</v>
      </c>
      <c r="N260">
        <f t="shared" ref="N260:N268" si="288">ROUNDDOWN(MIN($J$3/(B260+0.001),$K$3/(C260+0.001),$L$3/(D260+0.001),$M$3/(E260+0.001)),0)</f>
        <v>0</v>
      </c>
    </row>
    <row r="261" spans="1:14" ht="15.75" customHeight="1">
      <c r="A261" s="97"/>
      <c r="B261" s="98">
        <v>5</v>
      </c>
      <c r="C261" s="98">
        <v>22</v>
      </c>
      <c r="D261" s="98">
        <v>7</v>
      </c>
      <c r="E261" s="98">
        <v>19</v>
      </c>
      <c r="F261" s="98">
        <v>5.0497270367203004</v>
      </c>
      <c r="G261" s="5">
        <f t="shared" ca="1" si="285"/>
        <v>8142030573</v>
      </c>
      <c r="H261" s="12">
        <f t="shared" ca="1" si="286"/>
        <v>342771235.94736844</v>
      </c>
      <c r="I261" s="99"/>
      <c r="J261" s="3">
        <f t="shared" ref="J261:M261" si="289">$K$1*B261</f>
        <v>50</v>
      </c>
      <c r="K261" s="3">
        <f t="shared" si="289"/>
        <v>220</v>
      </c>
      <c r="L261" s="3">
        <f t="shared" si="289"/>
        <v>70</v>
      </c>
      <c r="M261" s="3">
        <f t="shared" si="289"/>
        <v>190</v>
      </c>
      <c r="N261">
        <f t="shared" si="288"/>
        <v>0</v>
      </c>
    </row>
    <row r="262" spans="1:14" ht="15.75" customHeight="1">
      <c r="A262" s="97"/>
      <c r="B262" s="98">
        <v>8</v>
      </c>
      <c r="C262" s="98">
        <v>19</v>
      </c>
      <c r="D262" s="98">
        <v>8</v>
      </c>
      <c r="E262" s="98">
        <v>19</v>
      </c>
      <c r="F262" s="98">
        <v>5.0497366964156001</v>
      </c>
      <c r="G262" s="5">
        <f t="shared" ca="1" si="285"/>
        <v>7887542002</v>
      </c>
      <c r="H262" s="12">
        <f t="shared" ca="1" si="286"/>
        <v>356165371.2631579</v>
      </c>
      <c r="I262" s="99"/>
      <c r="J262" s="3">
        <f t="shared" ref="J262:M262" si="290">$K$1*B262</f>
        <v>80</v>
      </c>
      <c r="K262" s="3">
        <f t="shared" si="290"/>
        <v>190</v>
      </c>
      <c r="L262" s="3">
        <f t="shared" si="290"/>
        <v>80</v>
      </c>
      <c r="M262" s="3">
        <f t="shared" si="290"/>
        <v>190</v>
      </c>
      <c r="N262">
        <f t="shared" si="288"/>
        <v>0</v>
      </c>
    </row>
    <row r="263" spans="1:14" ht="15.75" customHeight="1">
      <c r="A263" s="97"/>
      <c r="B263" s="98">
        <v>11</v>
      </c>
      <c r="C263" s="98">
        <v>16</v>
      </c>
      <c r="D263" s="98">
        <v>9</v>
      </c>
      <c r="E263" s="98">
        <v>19</v>
      </c>
      <c r="F263" s="98">
        <v>5.0497463561293001</v>
      </c>
      <c r="G263" s="5">
        <f t="shared" ca="1" si="285"/>
        <v>7633053431</v>
      </c>
      <c r="H263" s="12">
        <f t="shared" ca="1" si="286"/>
        <v>369559506.57894737</v>
      </c>
      <c r="I263" s="99"/>
      <c r="J263" s="3">
        <f t="shared" ref="J263:M263" si="291">$K$1*B263</f>
        <v>110</v>
      </c>
      <c r="K263" s="3">
        <f t="shared" si="291"/>
        <v>160</v>
      </c>
      <c r="L263" s="3">
        <f t="shared" si="291"/>
        <v>90</v>
      </c>
      <c r="M263" s="3">
        <f t="shared" si="291"/>
        <v>190</v>
      </c>
      <c r="N263">
        <f t="shared" si="288"/>
        <v>0</v>
      </c>
    </row>
    <row r="264" spans="1:14" ht="15.75" customHeight="1">
      <c r="A264" s="97"/>
      <c r="B264" s="98">
        <v>14</v>
      </c>
      <c r="C264" s="98">
        <v>13</v>
      </c>
      <c r="D264" s="98">
        <v>10</v>
      </c>
      <c r="E264" s="98">
        <v>19</v>
      </c>
      <c r="F264" s="98">
        <v>5.0497560158616004</v>
      </c>
      <c r="G264" s="5">
        <f t="shared" ca="1" si="285"/>
        <v>7378564860</v>
      </c>
      <c r="H264" s="12">
        <f t="shared" ca="1" si="286"/>
        <v>382953641.89473683</v>
      </c>
      <c r="I264" s="99"/>
      <c r="J264" s="3">
        <f t="shared" ref="J264:M264" si="292">$K$1*B264</f>
        <v>140</v>
      </c>
      <c r="K264" s="3">
        <f t="shared" si="292"/>
        <v>130</v>
      </c>
      <c r="L264" s="3">
        <f t="shared" si="292"/>
        <v>100</v>
      </c>
      <c r="M264" s="3">
        <f t="shared" si="292"/>
        <v>190</v>
      </c>
      <c r="N264">
        <f t="shared" si="288"/>
        <v>0</v>
      </c>
    </row>
    <row r="265" spans="1:14" ht="15.75" customHeight="1">
      <c r="A265" s="97"/>
      <c r="B265" s="98">
        <v>17</v>
      </c>
      <c r="C265" s="98">
        <v>10</v>
      </c>
      <c r="D265" s="98">
        <v>11</v>
      </c>
      <c r="E265" s="98">
        <v>19</v>
      </c>
      <c r="F265" s="98">
        <v>5.0497656756121998</v>
      </c>
      <c r="G265" s="5">
        <f t="shared" ca="1" si="285"/>
        <v>7124076289</v>
      </c>
      <c r="H265" s="12">
        <f t="shared" ca="1" si="286"/>
        <v>396347777.21052629</v>
      </c>
      <c r="I265" s="99"/>
      <c r="J265" s="3">
        <f t="shared" ref="J265:M265" si="293">$K$1*B265</f>
        <v>170</v>
      </c>
      <c r="K265" s="3">
        <f t="shared" si="293"/>
        <v>100</v>
      </c>
      <c r="L265" s="3">
        <f t="shared" si="293"/>
        <v>110</v>
      </c>
      <c r="M265" s="3">
        <f t="shared" si="293"/>
        <v>190</v>
      </c>
      <c r="N265">
        <f t="shared" si="288"/>
        <v>0</v>
      </c>
    </row>
    <row r="266" spans="1:14" ht="15.75" customHeight="1">
      <c r="A266" s="97"/>
      <c r="B266" s="98">
        <v>20</v>
      </c>
      <c r="C266" s="98">
        <v>7</v>
      </c>
      <c r="D266" s="98">
        <v>12</v>
      </c>
      <c r="E266" s="98">
        <v>19</v>
      </c>
      <c r="F266" s="98">
        <v>5.0497753353814003</v>
      </c>
      <c r="G266" s="5">
        <f t="shared" ca="1" si="285"/>
        <v>6869587718</v>
      </c>
      <c r="H266" s="12">
        <f t="shared" ca="1" si="286"/>
        <v>409741912.52631581</v>
      </c>
      <c r="I266" s="99"/>
      <c r="J266" s="3">
        <f t="shared" ref="J266:M266" si="294">$K$1*B266</f>
        <v>200</v>
      </c>
      <c r="K266" s="3">
        <f t="shared" si="294"/>
        <v>70</v>
      </c>
      <c r="L266" s="3">
        <f t="shared" si="294"/>
        <v>120</v>
      </c>
      <c r="M266" s="3">
        <f t="shared" si="294"/>
        <v>190</v>
      </c>
      <c r="N266">
        <f t="shared" si="288"/>
        <v>0</v>
      </c>
    </row>
    <row r="267" spans="1:14" ht="15.75" customHeight="1">
      <c r="A267" s="97"/>
      <c r="B267" s="98">
        <v>23</v>
      </c>
      <c r="C267" s="98">
        <v>4</v>
      </c>
      <c r="D267" s="98">
        <v>13</v>
      </c>
      <c r="E267" s="98">
        <v>19</v>
      </c>
      <c r="F267" s="98">
        <v>5.0497849951690998</v>
      </c>
      <c r="G267" s="5">
        <f t="shared" ca="1" si="285"/>
        <v>6615099147</v>
      </c>
      <c r="H267" s="12">
        <f t="shared" ca="1" si="286"/>
        <v>423136047.84210527</v>
      </c>
      <c r="I267" s="99"/>
      <c r="J267" s="3">
        <f t="shared" ref="J267:M267" si="295">$K$1*B267</f>
        <v>230</v>
      </c>
      <c r="K267" s="3">
        <f t="shared" si="295"/>
        <v>40</v>
      </c>
      <c r="L267" s="3">
        <f t="shared" si="295"/>
        <v>130</v>
      </c>
      <c r="M267" s="3">
        <f t="shared" si="295"/>
        <v>190</v>
      </c>
      <c r="N267">
        <f t="shared" si="288"/>
        <v>0</v>
      </c>
    </row>
    <row r="268" spans="1:14" ht="15.75" customHeight="1">
      <c r="A268" s="97"/>
      <c r="B268" s="98">
        <v>26</v>
      </c>
      <c r="C268" s="98">
        <v>1</v>
      </c>
      <c r="D268" s="98">
        <v>14</v>
      </c>
      <c r="E268" s="98">
        <v>19</v>
      </c>
      <c r="F268" s="98">
        <v>5.0497946549751997</v>
      </c>
      <c r="G268" s="5">
        <f t="shared" ca="1" si="285"/>
        <v>6360610576</v>
      </c>
      <c r="H268" s="12">
        <f t="shared" ca="1" si="286"/>
        <v>436530183.15789473</v>
      </c>
      <c r="I268" s="99"/>
      <c r="J268" s="3">
        <f t="shared" ref="J268:M268" si="296">$K$1*B268</f>
        <v>260</v>
      </c>
      <c r="K268" s="3">
        <f t="shared" si="296"/>
        <v>10</v>
      </c>
      <c r="L268" s="3">
        <f t="shared" si="296"/>
        <v>140</v>
      </c>
      <c r="M268" s="3">
        <f t="shared" si="296"/>
        <v>190</v>
      </c>
      <c r="N268">
        <f t="shared" si="288"/>
        <v>0</v>
      </c>
    </row>
    <row r="269" spans="1:14" ht="15.75" customHeight="1">
      <c r="A269" s="97"/>
      <c r="B269" s="97"/>
      <c r="C269" s="97"/>
      <c r="D269" s="97"/>
      <c r="E269" s="97"/>
      <c r="F269" s="97"/>
      <c r="G269" s="91"/>
      <c r="H269" s="100"/>
      <c r="I269" s="99"/>
      <c r="J269" s="12"/>
      <c r="K269" s="12"/>
      <c r="L269" s="12"/>
      <c r="M269" s="12"/>
      <c r="N269" s="12"/>
    </row>
    <row r="270" spans="1:14" ht="15.75" customHeight="1">
      <c r="A270" s="97"/>
      <c r="B270" s="98">
        <v>2</v>
      </c>
      <c r="C270" s="98">
        <v>30</v>
      </c>
      <c r="D270" s="98">
        <v>1</v>
      </c>
      <c r="E270" s="98">
        <v>20</v>
      </c>
      <c r="F270" s="98">
        <v>5.0497642863212002</v>
      </c>
      <c r="G270" s="5">
        <f t="shared" ref="G270:G280" ca="1" si="297">(B270*$B$3)+(C270*$C$3)+(D270*$D$3)</f>
        <v>8360378759</v>
      </c>
      <c r="H270" s="12">
        <f t="shared" ref="H270:H280" ca="1" si="298">($G$3-G270)/E270</f>
        <v>314715264.85000002</v>
      </c>
      <c r="I270" s="99"/>
      <c r="J270" s="3">
        <f t="shared" ref="J270:M270" si="299">$K$1*B270</f>
        <v>20</v>
      </c>
      <c r="K270" s="3">
        <f t="shared" si="299"/>
        <v>300</v>
      </c>
      <c r="L270" s="3">
        <f t="shared" si="299"/>
        <v>10</v>
      </c>
      <c r="M270" s="3">
        <f t="shared" si="299"/>
        <v>200</v>
      </c>
      <c r="N270">
        <f t="shared" ref="N270:N280" si="300">ROUNDDOWN(MIN($J$3/(B270+0.001),$K$3/(C270+0.001),$L$3/(D270+0.001),$M$3/(E270+0.001)),0)</f>
        <v>0</v>
      </c>
    </row>
    <row r="271" spans="1:14" ht="15.75" customHeight="1">
      <c r="A271" s="97"/>
      <c r="B271" s="98">
        <v>5</v>
      </c>
      <c r="C271" s="98">
        <v>27</v>
      </c>
      <c r="D271" s="98">
        <v>2</v>
      </c>
      <c r="E271" s="98">
        <v>20</v>
      </c>
      <c r="F271" s="98">
        <v>5.0497739460876998</v>
      </c>
      <c r="G271" s="5">
        <f t="shared" ca="1" si="297"/>
        <v>8105890188</v>
      </c>
      <c r="H271" s="12">
        <f t="shared" ca="1" si="298"/>
        <v>327439693.39999998</v>
      </c>
      <c r="I271" s="99"/>
      <c r="J271" s="3">
        <f t="shared" ref="J271:M271" si="301">$K$1*B271</f>
        <v>50</v>
      </c>
      <c r="K271" s="3">
        <f t="shared" si="301"/>
        <v>270</v>
      </c>
      <c r="L271" s="3">
        <f t="shared" si="301"/>
        <v>20</v>
      </c>
      <c r="M271" s="3">
        <f t="shared" si="301"/>
        <v>200</v>
      </c>
      <c r="N271">
        <f t="shared" si="300"/>
        <v>0</v>
      </c>
    </row>
    <row r="272" spans="1:14" ht="15.75" customHeight="1">
      <c r="A272" s="97"/>
      <c r="B272" s="98">
        <v>8</v>
      </c>
      <c r="C272" s="98">
        <v>24</v>
      </c>
      <c r="D272" s="98">
        <v>3</v>
      </c>
      <c r="E272" s="98">
        <v>20</v>
      </c>
      <c r="F272" s="98">
        <v>5.0497836058727001</v>
      </c>
      <c r="G272" s="5">
        <f t="shared" ca="1" si="297"/>
        <v>7851401617</v>
      </c>
      <c r="H272" s="12">
        <f t="shared" ca="1" si="298"/>
        <v>340164121.94999999</v>
      </c>
      <c r="I272" s="99"/>
      <c r="J272" s="3">
        <f t="shared" ref="J272:M272" si="302">$K$1*B272</f>
        <v>80</v>
      </c>
      <c r="K272" s="3">
        <f t="shared" si="302"/>
        <v>240</v>
      </c>
      <c r="L272" s="3">
        <f t="shared" si="302"/>
        <v>30</v>
      </c>
      <c r="M272" s="3">
        <f t="shared" si="302"/>
        <v>200</v>
      </c>
      <c r="N272">
        <f t="shared" si="300"/>
        <v>0</v>
      </c>
    </row>
    <row r="273" spans="1:14" ht="15.75" customHeight="1">
      <c r="A273" s="97"/>
      <c r="B273" s="98">
        <v>11</v>
      </c>
      <c r="C273" s="98">
        <v>21</v>
      </c>
      <c r="D273" s="98">
        <v>4</v>
      </c>
      <c r="E273" s="98">
        <v>20</v>
      </c>
      <c r="F273" s="98">
        <v>5.0497932656762003</v>
      </c>
      <c r="G273" s="5">
        <f t="shared" ca="1" si="297"/>
        <v>7596913046</v>
      </c>
      <c r="H273" s="12">
        <f t="shared" ca="1" si="298"/>
        <v>352888550.5</v>
      </c>
      <c r="I273" s="99"/>
      <c r="J273" s="3">
        <f t="shared" ref="J273:M273" si="303">$K$1*B273</f>
        <v>110</v>
      </c>
      <c r="K273" s="3">
        <f t="shared" si="303"/>
        <v>210</v>
      </c>
      <c r="L273" s="3">
        <f t="shared" si="303"/>
        <v>40</v>
      </c>
      <c r="M273" s="3">
        <f t="shared" si="303"/>
        <v>200</v>
      </c>
      <c r="N273">
        <f t="shared" si="300"/>
        <v>0</v>
      </c>
    </row>
    <row r="274" spans="1:14" ht="15.75" customHeight="1">
      <c r="A274" s="97"/>
      <c r="B274" s="98">
        <v>14</v>
      </c>
      <c r="C274" s="98">
        <v>18</v>
      </c>
      <c r="D274" s="98">
        <v>5</v>
      </c>
      <c r="E274" s="98">
        <v>20</v>
      </c>
      <c r="F274" s="98">
        <v>5.0498029254981001</v>
      </c>
      <c r="G274" s="5">
        <f t="shared" ca="1" si="297"/>
        <v>7342424475</v>
      </c>
      <c r="H274" s="12">
        <f t="shared" ca="1" si="298"/>
        <v>365612979.05000001</v>
      </c>
      <c r="I274" s="99"/>
      <c r="J274" s="3">
        <f t="shared" ref="J274:M274" si="304">$K$1*B274</f>
        <v>140</v>
      </c>
      <c r="K274" s="3">
        <f t="shared" si="304"/>
        <v>180</v>
      </c>
      <c r="L274" s="3">
        <f t="shared" si="304"/>
        <v>50</v>
      </c>
      <c r="M274" s="3">
        <f t="shared" si="304"/>
        <v>200</v>
      </c>
      <c r="N274">
        <f t="shared" si="300"/>
        <v>0</v>
      </c>
    </row>
    <row r="275" spans="1:14" ht="15.75" customHeight="1">
      <c r="A275" s="97"/>
      <c r="B275" s="98">
        <v>17</v>
      </c>
      <c r="C275" s="98">
        <v>15</v>
      </c>
      <c r="D275" s="98">
        <v>6</v>
      </c>
      <c r="E275" s="98">
        <v>20</v>
      </c>
      <c r="F275" s="98">
        <v>5.0498125853386</v>
      </c>
      <c r="G275" s="5">
        <f t="shared" ca="1" si="297"/>
        <v>7087935904</v>
      </c>
      <c r="H275" s="12">
        <f t="shared" ca="1" si="298"/>
        <v>378337407.60000002</v>
      </c>
      <c r="I275" s="99"/>
      <c r="J275" s="3">
        <f t="shared" ref="J275:M275" si="305">$K$1*B275</f>
        <v>170</v>
      </c>
      <c r="K275" s="3">
        <f t="shared" si="305"/>
        <v>150</v>
      </c>
      <c r="L275" s="3">
        <f t="shared" si="305"/>
        <v>60</v>
      </c>
      <c r="M275" s="3">
        <f t="shared" si="305"/>
        <v>200</v>
      </c>
      <c r="N275">
        <f t="shared" si="300"/>
        <v>0</v>
      </c>
    </row>
    <row r="276" spans="1:14" ht="15.75" customHeight="1">
      <c r="A276" s="97"/>
      <c r="B276" s="98">
        <v>20</v>
      </c>
      <c r="C276" s="98">
        <v>12</v>
      </c>
      <c r="D276" s="98">
        <v>7</v>
      </c>
      <c r="E276" s="98">
        <v>20</v>
      </c>
      <c r="F276" s="98">
        <v>5.0498222451975003</v>
      </c>
      <c r="G276" s="5">
        <f t="shared" ca="1" si="297"/>
        <v>6833447333</v>
      </c>
      <c r="H276" s="12">
        <f t="shared" ca="1" si="298"/>
        <v>391061836.14999998</v>
      </c>
      <c r="I276" s="99"/>
      <c r="J276" s="3">
        <f t="shared" ref="J276:M276" si="306">$K$1*B276</f>
        <v>200</v>
      </c>
      <c r="K276" s="3">
        <f t="shared" si="306"/>
        <v>120</v>
      </c>
      <c r="L276" s="3">
        <f t="shared" si="306"/>
        <v>70</v>
      </c>
      <c r="M276" s="3">
        <f t="shared" si="306"/>
        <v>200</v>
      </c>
      <c r="N276">
        <f t="shared" si="300"/>
        <v>0</v>
      </c>
    </row>
    <row r="277" spans="1:14" ht="15.75" customHeight="1">
      <c r="A277" s="97"/>
      <c r="B277" s="98">
        <v>23</v>
      </c>
      <c r="C277" s="98">
        <v>9</v>
      </c>
      <c r="D277" s="98">
        <v>8</v>
      </c>
      <c r="E277" s="98">
        <v>20</v>
      </c>
      <c r="F277" s="98">
        <v>5.0498319050748002</v>
      </c>
      <c r="G277" s="5">
        <f t="shared" ca="1" si="297"/>
        <v>6578958762</v>
      </c>
      <c r="H277" s="12">
        <f t="shared" ca="1" si="298"/>
        <v>403786264.69999999</v>
      </c>
      <c r="I277" s="99"/>
      <c r="J277" s="3">
        <f t="shared" ref="J277:M277" si="307">$K$1*B277</f>
        <v>230</v>
      </c>
      <c r="K277" s="3">
        <f t="shared" si="307"/>
        <v>90</v>
      </c>
      <c r="L277" s="3">
        <f t="shared" si="307"/>
        <v>80</v>
      </c>
      <c r="M277" s="3">
        <f t="shared" si="307"/>
        <v>200</v>
      </c>
      <c r="N277">
        <f t="shared" si="300"/>
        <v>0</v>
      </c>
    </row>
    <row r="278" spans="1:14" ht="15.75" customHeight="1">
      <c r="A278" s="97"/>
      <c r="B278" s="98">
        <v>26</v>
      </c>
      <c r="C278" s="98">
        <v>6</v>
      </c>
      <c r="D278" s="98">
        <v>9</v>
      </c>
      <c r="E278" s="98">
        <v>20</v>
      </c>
      <c r="F278" s="98">
        <v>5.0498415649707002</v>
      </c>
      <c r="G278" s="5">
        <f t="shared" ca="1" si="297"/>
        <v>6324470191</v>
      </c>
      <c r="H278" s="12">
        <f t="shared" ca="1" si="298"/>
        <v>416510693.25</v>
      </c>
      <c r="I278" s="99"/>
      <c r="J278" s="3">
        <f t="shared" ref="J278:M278" si="308">$K$1*B278</f>
        <v>260</v>
      </c>
      <c r="K278" s="3">
        <f t="shared" si="308"/>
        <v>60</v>
      </c>
      <c r="L278" s="3">
        <f t="shared" si="308"/>
        <v>90</v>
      </c>
      <c r="M278" s="3">
        <f t="shared" si="308"/>
        <v>200</v>
      </c>
      <c r="N278">
        <f t="shared" si="300"/>
        <v>0</v>
      </c>
    </row>
    <row r="279" spans="1:14" ht="15.75" customHeight="1">
      <c r="A279" s="97"/>
      <c r="B279" s="98">
        <v>29</v>
      </c>
      <c r="C279" s="98">
        <v>3</v>
      </c>
      <c r="D279" s="98">
        <v>10</v>
      </c>
      <c r="E279" s="98">
        <v>20</v>
      </c>
      <c r="F279" s="98">
        <v>5.0498512248849998</v>
      </c>
      <c r="G279" s="5">
        <f t="shared" ca="1" si="297"/>
        <v>6069981620</v>
      </c>
      <c r="H279" s="12">
        <f t="shared" ca="1" si="298"/>
        <v>429235121.80000001</v>
      </c>
      <c r="I279" s="99"/>
      <c r="J279" s="3">
        <f t="shared" ref="J279:M279" si="309">$K$1*B279</f>
        <v>290</v>
      </c>
      <c r="K279" s="3">
        <f t="shared" si="309"/>
        <v>30</v>
      </c>
      <c r="L279" s="3">
        <f t="shared" si="309"/>
        <v>100</v>
      </c>
      <c r="M279" s="3">
        <f t="shared" si="309"/>
        <v>200</v>
      </c>
      <c r="N279">
        <f t="shared" si="300"/>
        <v>0</v>
      </c>
    </row>
    <row r="280" spans="1:14" ht="15.75" customHeight="1">
      <c r="A280" s="97"/>
      <c r="B280" s="98">
        <v>32</v>
      </c>
      <c r="C280" s="98">
        <v>0</v>
      </c>
      <c r="D280" s="98">
        <v>11</v>
      </c>
      <c r="E280" s="98">
        <v>20</v>
      </c>
      <c r="F280" s="98">
        <v>5.0498608848178996</v>
      </c>
      <c r="G280" s="5">
        <f t="shared" ca="1" si="297"/>
        <v>5815493049</v>
      </c>
      <c r="H280" s="12">
        <f t="shared" ca="1" si="298"/>
        <v>441959550.35000002</v>
      </c>
      <c r="I280" s="99"/>
      <c r="J280" s="3">
        <f t="shared" ref="J280:M280" si="310">$K$1*B280</f>
        <v>320</v>
      </c>
      <c r="K280" s="3">
        <f t="shared" si="310"/>
        <v>0</v>
      </c>
      <c r="L280" s="3">
        <f t="shared" si="310"/>
        <v>110</v>
      </c>
      <c r="M280" s="3">
        <f t="shared" si="310"/>
        <v>200</v>
      </c>
      <c r="N280">
        <f t="shared" si="300"/>
        <v>1</v>
      </c>
    </row>
    <row r="281" spans="1:14" ht="15.75" customHeight="1">
      <c r="A281" s="97"/>
      <c r="B281" s="97"/>
      <c r="C281" s="97"/>
      <c r="D281" s="97"/>
      <c r="E281" s="97"/>
      <c r="F281" s="97"/>
      <c r="G281" s="91"/>
      <c r="H281" s="100"/>
      <c r="I281" s="99"/>
      <c r="J281" s="12"/>
      <c r="K281" s="12"/>
      <c r="L281" s="12"/>
      <c r="M281" s="12"/>
      <c r="N281" s="12"/>
    </row>
    <row r="282" spans="1:14" ht="15.75" customHeight="1">
      <c r="A282" s="97"/>
      <c r="B282" s="98">
        <v>14</v>
      </c>
      <c r="C282" s="98">
        <v>23</v>
      </c>
      <c r="D282" s="98">
        <v>0</v>
      </c>
      <c r="E282" s="98">
        <v>21</v>
      </c>
      <c r="F282" s="98">
        <v>5.0498498355704999</v>
      </c>
      <c r="G282" s="5">
        <f t="shared" ref="G282:G289" ca="1" si="311">(B282*$B$3)+(C282*$C$3)+(D282*$D$3)</f>
        <v>7306284090</v>
      </c>
      <c r="H282" s="12">
        <f t="shared" ref="H282:H289" ca="1" si="312">($G$3-G282)/E282</f>
        <v>349923807.90476191</v>
      </c>
      <c r="I282" s="99"/>
      <c r="J282" s="3">
        <f t="shared" ref="J282:M282" si="313">$K$1*B282</f>
        <v>140</v>
      </c>
      <c r="K282" s="3">
        <f t="shared" si="313"/>
        <v>230</v>
      </c>
      <c r="L282" s="3">
        <f t="shared" si="313"/>
        <v>0</v>
      </c>
      <c r="M282" s="3">
        <f t="shared" si="313"/>
        <v>210</v>
      </c>
      <c r="N282">
        <f t="shared" ref="N282:N289" si="314">ROUNDDOWN(MIN($J$3/(B282+0.001),$K$3/(C282+0.001),$L$3/(D282+0.001),$M$3/(E282+0.001)),0)</f>
        <v>0</v>
      </c>
    </row>
    <row r="283" spans="1:14" ht="15.75" customHeight="1">
      <c r="A283" s="97"/>
      <c r="B283" s="98">
        <v>17</v>
      </c>
      <c r="C283" s="98">
        <v>20</v>
      </c>
      <c r="D283" s="98">
        <v>1</v>
      </c>
      <c r="E283" s="98">
        <v>21</v>
      </c>
      <c r="F283" s="98">
        <v>5.0498594955006002</v>
      </c>
      <c r="G283" s="5">
        <f t="shared" ca="1" si="311"/>
        <v>7051795519</v>
      </c>
      <c r="H283" s="12">
        <f t="shared" ca="1" si="312"/>
        <v>362042311.28571427</v>
      </c>
      <c r="I283" s="99"/>
      <c r="J283" s="3">
        <f t="shared" ref="J283:M283" si="315">$K$1*B283</f>
        <v>170</v>
      </c>
      <c r="K283" s="3">
        <f t="shared" si="315"/>
        <v>200</v>
      </c>
      <c r="L283" s="3">
        <f t="shared" si="315"/>
        <v>10</v>
      </c>
      <c r="M283" s="3">
        <f t="shared" si="315"/>
        <v>210</v>
      </c>
      <c r="N283">
        <f t="shared" si="314"/>
        <v>0</v>
      </c>
    </row>
    <row r="284" spans="1:14" ht="15.75" customHeight="1">
      <c r="A284" s="97"/>
      <c r="B284" s="98">
        <v>20</v>
      </c>
      <c r="C284" s="98">
        <v>17</v>
      </c>
      <c r="D284" s="98">
        <v>2</v>
      </c>
      <c r="E284" s="98">
        <v>21</v>
      </c>
      <c r="F284" s="98">
        <v>5.0498691554492998</v>
      </c>
      <c r="G284" s="5">
        <f t="shared" ca="1" si="311"/>
        <v>6797306948</v>
      </c>
      <c r="H284" s="12">
        <f t="shared" ca="1" si="312"/>
        <v>374160814.66666669</v>
      </c>
      <c r="I284" s="99"/>
      <c r="J284" s="3">
        <f t="shared" ref="J284:M284" si="316">$K$1*B284</f>
        <v>200</v>
      </c>
      <c r="K284" s="3">
        <f t="shared" si="316"/>
        <v>170</v>
      </c>
      <c r="L284" s="3">
        <f t="shared" si="316"/>
        <v>20</v>
      </c>
      <c r="M284" s="3">
        <f t="shared" si="316"/>
        <v>210</v>
      </c>
      <c r="N284">
        <f t="shared" si="314"/>
        <v>0</v>
      </c>
    </row>
    <row r="285" spans="1:14" ht="15.75" customHeight="1">
      <c r="A285" s="97"/>
      <c r="B285" s="98">
        <v>23</v>
      </c>
      <c r="C285" s="98">
        <v>14</v>
      </c>
      <c r="D285" s="98">
        <v>3</v>
      </c>
      <c r="E285" s="98">
        <v>21</v>
      </c>
      <c r="F285" s="98">
        <v>5.0498788154163998</v>
      </c>
      <c r="G285" s="5">
        <f t="shared" ca="1" si="311"/>
        <v>6542818377</v>
      </c>
      <c r="H285" s="12">
        <f t="shared" ca="1" si="312"/>
        <v>386279318.04761904</v>
      </c>
      <c r="I285" s="99"/>
      <c r="J285" s="3">
        <f t="shared" ref="J285:M285" si="317">$K$1*B285</f>
        <v>230</v>
      </c>
      <c r="K285" s="3">
        <f t="shared" si="317"/>
        <v>140</v>
      </c>
      <c r="L285" s="3">
        <f t="shared" si="317"/>
        <v>30</v>
      </c>
      <c r="M285" s="3">
        <f t="shared" si="317"/>
        <v>210</v>
      </c>
      <c r="N285">
        <f t="shared" si="314"/>
        <v>0</v>
      </c>
    </row>
    <row r="286" spans="1:14" ht="15.75" customHeight="1">
      <c r="A286" s="97"/>
      <c r="B286" s="98">
        <v>26</v>
      </c>
      <c r="C286" s="98">
        <v>11</v>
      </c>
      <c r="D286" s="98">
        <v>4</v>
      </c>
      <c r="E286" s="98">
        <v>21</v>
      </c>
      <c r="F286" s="98">
        <v>5.0498884754019997</v>
      </c>
      <c r="G286" s="5">
        <f t="shared" ca="1" si="311"/>
        <v>6288329806</v>
      </c>
      <c r="H286" s="12">
        <f t="shared" ca="1" si="312"/>
        <v>398397821.4285714</v>
      </c>
      <c r="I286" s="99"/>
      <c r="J286" s="3">
        <f t="shared" ref="J286:M286" si="318">$K$1*B286</f>
        <v>260</v>
      </c>
      <c r="K286" s="3">
        <f t="shared" si="318"/>
        <v>110</v>
      </c>
      <c r="L286" s="3">
        <f t="shared" si="318"/>
        <v>40</v>
      </c>
      <c r="M286" s="3">
        <f t="shared" si="318"/>
        <v>210</v>
      </c>
      <c r="N286">
        <f t="shared" si="314"/>
        <v>0</v>
      </c>
    </row>
    <row r="287" spans="1:14" ht="15.75" customHeight="1">
      <c r="A287" s="97"/>
      <c r="B287" s="98">
        <v>29</v>
      </c>
      <c r="C287" s="98">
        <v>8</v>
      </c>
      <c r="D287" s="98">
        <v>5</v>
      </c>
      <c r="E287" s="98">
        <v>21</v>
      </c>
      <c r="F287" s="98">
        <v>5.0498981354061003</v>
      </c>
      <c r="G287" s="5">
        <f t="shared" ca="1" si="311"/>
        <v>6033841235</v>
      </c>
      <c r="H287" s="12">
        <f t="shared" ca="1" si="312"/>
        <v>410516324.80952382</v>
      </c>
      <c r="I287" s="99"/>
      <c r="J287" s="3">
        <f t="shared" ref="J287:M287" si="319">$K$1*B287</f>
        <v>290</v>
      </c>
      <c r="K287" s="3">
        <f t="shared" si="319"/>
        <v>80</v>
      </c>
      <c r="L287" s="3">
        <f t="shared" si="319"/>
        <v>50</v>
      </c>
      <c r="M287" s="3">
        <f t="shared" si="319"/>
        <v>210</v>
      </c>
      <c r="N287">
        <f t="shared" si="314"/>
        <v>0</v>
      </c>
    </row>
    <row r="288" spans="1:14" ht="15.75" customHeight="1">
      <c r="A288" s="97"/>
      <c r="B288" s="98">
        <v>32</v>
      </c>
      <c r="C288" s="98">
        <v>5</v>
      </c>
      <c r="D288" s="98">
        <v>6</v>
      </c>
      <c r="E288" s="98">
        <v>21</v>
      </c>
      <c r="F288" s="98">
        <v>5.0499077954285996</v>
      </c>
      <c r="G288" s="5">
        <f t="shared" ca="1" si="311"/>
        <v>5779352664</v>
      </c>
      <c r="H288" s="12">
        <f t="shared" ca="1" si="312"/>
        <v>422634828.19047618</v>
      </c>
      <c r="I288" s="99"/>
      <c r="J288" s="3">
        <f t="shared" ref="J288:M288" si="320">$K$1*B288</f>
        <v>320</v>
      </c>
      <c r="K288" s="3">
        <f t="shared" si="320"/>
        <v>50</v>
      </c>
      <c r="L288" s="3">
        <f t="shared" si="320"/>
        <v>60</v>
      </c>
      <c r="M288" s="3">
        <f t="shared" si="320"/>
        <v>210</v>
      </c>
      <c r="N288">
        <f t="shared" si="314"/>
        <v>0</v>
      </c>
    </row>
    <row r="289" spans="1:14" ht="15.75" customHeight="1">
      <c r="A289" s="97"/>
      <c r="B289" s="98">
        <v>35</v>
      </c>
      <c r="C289" s="98">
        <v>2</v>
      </c>
      <c r="D289" s="98">
        <v>7</v>
      </c>
      <c r="E289" s="98">
        <v>21</v>
      </c>
      <c r="F289" s="98">
        <v>5.0499174554696999</v>
      </c>
      <c r="G289" s="5">
        <f t="shared" ca="1" si="311"/>
        <v>5524864093</v>
      </c>
      <c r="H289" s="12">
        <f t="shared" ca="1" si="312"/>
        <v>434753331.5714286</v>
      </c>
      <c r="I289" s="99"/>
      <c r="J289" s="3">
        <f t="shared" ref="J289:M289" si="321">$K$1*B289</f>
        <v>350</v>
      </c>
      <c r="K289" s="3">
        <f t="shared" si="321"/>
        <v>20</v>
      </c>
      <c r="L289" s="3">
        <f t="shared" si="321"/>
        <v>70</v>
      </c>
      <c r="M289" s="3">
        <f t="shared" si="321"/>
        <v>210</v>
      </c>
      <c r="N289">
        <f t="shared" si="314"/>
        <v>0</v>
      </c>
    </row>
    <row r="290" spans="1:14" ht="15.75" customHeight="1">
      <c r="A290" s="97"/>
      <c r="B290" s="97"/>
      <c r="C290" s="97"/>
      <c r="D290" s="97"/>
      <c r="E290" s="97"/>
      <c r="F290" s="97"/>
      <c r="G290" s="91"/>
      <c r="H290" s="100"/>
      <c r="I290" s="99"/>
      <c r="J290" s="12"/>
      <c r="K290" s="12"/>
      <c r="L290" s="12"/>
      <c r="M290" s="12"/>
      <c r="N290" s="12"/>
    </row>
    <row r="291" spans="1:14" ht="15.75" customHeight="1">
      <c r="A291" s="97"/>
      <c r="B291" s="98">
        <v>29</v>
      </c>
      <c r="C291" s="98">
        <v>13</v>
      </c>
      <c r="D291" s="98">
        <v>0</v>
      </c>
      <c r="E291" s="98">
        <v>22</v>
      </c>
      <c r="F291" s="98">
        <v>5.0499450463629003</v>
      </c>
      <c r="G291" s="5">
        <f t="shared" ref="G291:G295" ca="1" si="322">(B291*$B$3)+(C291*$C$3)+(D291*$D$3)</f>
        <v>5997700850</v>
      </c>
      <c r="H291" s="12">
        <f t="shared" ref="H291:H295" ca="1" si="323">($G$3-G291)/E291</f>
        <v>393499236.63636363</v>
      </c>
      <c r="I291" s="99"/>
      <c r="J291" s="3">
        <f t="shared" ref="J291:M291" si="324">$K$1*B291</f>
        <v>290</v>
      </c>
      <c r="K291" s="3">
        <f t="shared" si="324"/>
        <v>130</v>
      </c>
      <c r="L291" s="3">
        <f t="shared" si="324"/>
        <v>0</v>
      </c>
      <c r="M291" s="3">
        <f t="shared" si="324"/>
        <v>220</v>
      </c>
      <c r="N291">
        <f t="shared" ref="N291:N295" si="325">ROUNDDOWN(MIN($J$3/(B291+0.001),$K$3/(C291+0.001),$L$3/(D291+0.001),$M$3/(E291+0.001)),0)</f>
        <v>0</v>
      </c>
    </row>
    <row r="292" spans="1:14" ht="15.75" customHeight="1">
      <c r="A292" s="97"/>
      <c r="B292" s="98">
        <v>32</v>
      </c>
      <c r="C292" s="98">
        <v>10</v>
      </c>
      <c r="D292" s="98">
        <v>1</v>
      </c>
      <c r="E292" s="98">
        <v>22</v>
      </c>
      <c r="F292" s="98">
        <v>5.0499547064751997</v>
      </c>
      <c r="G292" s="5">
        <f t="shared" ca="1" si="322"/>
        <v>5743212279</v>
      </c>
      <c r="H292" s="12">
        <f t="shared" ca="1" si="323"/>
        <v>405066898.95454544</v>
      </c>
      <c r="I292" s="99"/>
      <c r="J292" s="3">
        <f t="shared" ref="J292:M292" si="326">$K$1*B292</f>
        <v>320</v>
      </c>
      <c r="K292" s="3">
        <f t="shared" si="326"/>
        <v>100</v>
      </c>
      <c r="L292" s="3">
        <f t="shared" si="326"/>
        <v>10</v>
      </c>
      <c r="M292" s="3">
        <f t="shared" si="326"/>
        <v>220</v>
      </c>
      <c r="N292">
        <f t="shared" si="325"/>
        <v>0</v>
      </c>
    </row>
    <row r="293" spans="1:14" ht="15.75" customHeight="1">
      <c r="A293" s="97"/>
      <c r="B293" s="98">
        <v>35</v>
      </c>
      <c r="C293" s="98">
        <v>7</v>
      </c>
      <c r="D293" s="98">
        <v>2</v>
      </c>
      <c r="E293" s="98">
        <v>22</v>
      </c>
      <c r="F293" s="98">
        <v>5.0499643666059004</v>
      </c>
      <c r="G293" s="5">
        <f t="shared" ca="1" si="322"/>
        <v>5488723708</v>
      </c>
      <c r="H293" s="12">
        <f t="shared" ca="1" si="323"/>
        <v>416634561.27272725</v>
      </c>
      <c r="I293" s="99"/>
      <c r="J293" s="3">
        <f t="shared" ref="J293:M293" si="327">$K$1*B293</f>
        <v>350</v>
      </c>
      <c r="K293" s="3">
        <f t="shared" si="327"/>
        <v>70</v>
      </c>
      <c r="L293" s="3">
        <f t="shared" si="327"/>
        <v>20</v>
      </c>
      <c r="M293" s="3">
        <f t="shared" si="327"/>
        <v>220</v>
      </c>
      <c r="N293">
        <f t="shared" si="325"/>
        <v>0</v>
      </c>
    </row>
    <row r="294" spans="1:14" ht="15.75" customHeight="1">
      <c r="A294" s="97"/>
      <c r="B294" s="98">
        <v>38</v>
      </c>
      <c r="C294" s="98">
        <v>4</v>
      </c>
      <c r="D294" s="98">
        <v>3</v>
      </c>
      <c r="E294" s="98">
        <v>22</v>
      </c>
      <c r="F294" s="98">
        <v>5.0499740267551996</v>
      </c>
      <c r="G294" s="5">
        <f t="shared" ca="1" si="322"/>
        <v>5234235137</v>
      </c>
      <c r="H294" s="12">
        <f t="shared" ca="1" si="323"/>
        <v>428202223.59090906</v>
      </c>
      <c r="I294" s="99"/>
      <c r="J294" s="3">
        <f t="shared" ref="J294:M294" si="328">$K$1*B294</f>
        <v>380</v>
      </c>
      <c r="K294" s="3">
        <f t="shared" si="328"/>
        <v>40</v>
      </c>
      <c r="L294" s="3">
        <f t="shared" si="328"/>
        <v>30</v>
      </c>
      <c r="M294" s="3">
        <f t="shared" si="328"/>
        <v>220</v>
      </c>
      <c r="N294">
        <f t="shared" si="325"/>
        <v>0</v>
      </c>
    </row>
    <row r="295" spans="1:14" ht="15.75" customHeight="1">
      <c r="A295" s="97"/>
      <c r="B295" s="98">
        <v>41</v>
      </c>
      <c r="C295" s="98">
        <v>1</v>
      </c>
      <c r="D295" s="98">
        <v>4</v>
      </c>
      <c r="E295" s="98">
        <v>22</v>
      </c>
      <c r="F295" s="98">
        <v>5.0499836869229</v>
      </c>
      <c r="G295" s="5">
        <f t="shared" ca="1" si="322"/>
        <v>4979746566</v>
      </c>
      <c r="H295" s="12">
        <f t="shared" ca="1" si="323"/>
        <v>439769885.90909094</v>
      </c>
      <c r="I295" s="99"/>
      <c r="J295" s="3">
        <f t="shared" ref="J295:M295" si="329">$K$1*B295</f>
        <v>410</v>
      </c>
      <c r="K295" s="3">
        <f t="shared" si="329"/>
        <v>10</v>
      </c>
      <c r="L295" s="3">
        <f t="shared" si="329"/>
        <v>40</v>
      </c>
      <c r="M295" s="3">
        <f t="shared" si="329"/>
        <v>220</v>
      </c>
      <c r="N295">
        <f t="shared" si="325"/>
        <v>0</v>
      </c>
    </row>
    <row r="296" spans="1:14" ht="15.75" customHeight="1">
      <c r="A296" s="97"/>
      <c r="B296" s="97"/>
      <c r="C296" s="97"/>
      <c r="D296" s="97"/>
      <c r="E296" s="97"/>
      <c r="F296" s="97"/>
      <c r="G296" s="91"/>
      <c r="H296" s="100"/>
      <c r="I296" s="99"/>
      <c r="J296" s="12"/>
      <c r="K296" s="12"/>
      <c r="L296" s="12"/>
      <c r="M296" s="12"/>
      <c r="N296" s="12"/>
    </row>
    <row r="297" spans="1:14" ht="15.75" customHeight="1">
      <c r="A297" s="97"/>
      <c r="B297" s="98">
        <v>42</v>
      </c>
      <c r="C297" s="98">
        <v>4</v>
      </c>
      <c r="D297" s="98">
        <v>0</v>
      </c>
      <c r="E297" s="98">
        <v>23</v>
      </c>
      <c r="F297" s="98">
        <v>5.0495452054988998</v>
      </c>
      <c r="G297" s="5">
        <f t="shared" ref="G297:G298" ca="1" si="330">(B297*$B$3)+(C297*$C$3)+(D297*$D$3)</f>
        <v>4775681680</v>
      </c>
      <c r="H297" s="12">
        <f t="shared" ref="H297:H298" ca="1" si="331">($G$3-G297)/E297</f>
        <v>429521842.43478262</v>
      </c>
      <c r="I297" s="99"/>
      <c r="J297" s="3">
        <f t="shared" ref="J297:M297" si="332">$K$1*B297</f>
        <v>420</v>
      </c>
      <c r="K297" s="3">
        <f t="shared" si="332"/>
        <v>40</v>
      </c>
      <c r="L297" s="3">
        <f t="shared" si="332"/>
        <v>0</v>
      </c>
      <c r="M297" s="3">
        <f t="shared" si="332"/>
        <v>230</v>
      </c>
      <c r="N297">
        <f t="shared" ref="N297:N298" si="333">ROUNDDOWN(MIN($J$3/(B297+0.001),$K$3/(C297+0.001),$L$3/(D297+0.001),$M$3/(E297+0.001)),0)</f>
        <v>0</v>
      </c>
    </row>
    <row r="298" spans="1:14" ht="15.75" customHeight="1">
      <c r="A298" s="97"/>
      <c r="B298" s="98">
        <v>45</v>
      </c>
      <c r="C298" s="98">
        <v>1</v>
      </c>
      <c r="D298" s="98">
        <v>1</v>
      </c>
      <c r="E298" s="98">
        <v>23</v>
      </c>
      <c r="F298" s="98">
        <v>5.0495548648463</v>
      </c>
      <c r="G298" s="5">
        <f t="shared" ca="1" si="330"/>
        <v>4521193109</v>
      </c>
      <c r="H298" s="12">
        <f t="shared" ca="1" si="331"/>
        <v>440586562.9130435</v>
      </c>
      <c r="I298" s="99"/>
      <c r="J298" s="3">
        <f t="shared" ref="J298:M298" si="334">$K$1*B298</f>
        <v>450</v>
      </c>
      <c r="K298" s="3">
        <f t="shared" si="334"/>
        <v>10</v>
      </c>
      <c r="L298" s="3">
        <f t="shared" si="334"/>
        <v>10</v>
      </c>
      <c r="M298" s="3">
        <f t="shared" si="334"/>
        <v>230</v>
      </c>
      <c r="N298">
        <f t="shared" si="333"/>
        <v>0</v>
      </c>
    </row>
    <row r="299" spans="1:14" ht="15.75" customHeight="1">
      <c r="A299" s="90"/>
      <c r="B299" s="90"/>
      <c r="C299" s="90"/>
      <c r="D299" s="90"/>
      <c r="E299" s="90"/>
      <c r="F299" s="90"/>
      <c r="G299" s="91"/>
      <c r="H299" s="90"/>
      <c r="I299" s="90"/>
    </row>
    <row r="300" spans="1:14" ht="15.75" customHeight="1">
      <c r="G300" s="5"/>
    </row>
    <row r="301" spans="1:14" ht="15.75" customHeight="1"/>
    <row r="302" spans="1:14" ht="15.75" customHeight="1"/>
    <row r="303" spans="1:14" ht="15.75" customHeight="1"/>
    <row r="304" spans="1:1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J2:K2"/>
  </mergeCells>
  <conditionalFormatting sqref="F6:F298">
    <cfRule type="containsBlanks" dxfId="12" priority="28">
      <formula>LEN(TRIM(F6))=0</formula>
    </cfRule>
    <cfRule type="colorScale" priority="29">
      <colorScale>
        <cfvo type="min"/>
        <cfvo type="percentile" val="90"/>
        <cfvo type="max"/>
        <color rgb="FFFFFFFF"/>
        <color rgb="FFABDDC5"/>
        <color rgb="FF57BB8A"/>
      </colorScale>
    </cfRule>
  </conditionalFormatting>
  <conditionalFormatting sqref="G5:G27">
    <cfRule type="colorScale" priority="1">
      <colorScale>
        <cfvo type="min"/>
        <cfvo type="max"/>
        <color rgb="FF57BB8A"/>
        <color rgb="FFFFFFFF"/>
      </colorScale>
    </cfRule>
  </conditionalFormatting>
  <conditionalFormatting sqref="G29:G49">
    <cfRule type="colorScale" priority="2">
      <colorScale>
        <cfvo type="min"/>
        <cfvo type="max"/>
        <color rgb="FF57BB8A"/>
        <color rgb="FFFFFFFF"/>
      </colorScale>
    </cfRule>
  </conditionalFormatting>
  <conditionalFormatting sqref="G51:G70">
    <cfRule type="colorScale" priority="3">
      <colorScale>
        <cfvo type="min"/>
        <cfvo type="max"/>
        <color rgb="FF57BB8A"/>
        <color rgb="FFFFFFFF"/>
      </colorScale>
    </cfRule>
  </conditionalFormatting>
  <conditionalFormatting sqref="G72:G88">
    <cfRule type="colorScale" priority="4">
      <colorScale>
        <cfvo type="min"/>
        <cfvo type="max"/>
        <color rgb="FF57BB8A"/>
        <color rgb="FFFFFFFF"/>
      </colorScale>
    </cfRule>
  </conditionalFormatting>
  <conditionalFormatting sqref="G90:G107">
    <cfRule type="colorScale" priority="5">
      <colorScale>
        <cfvo type="min"/>
        <cfvo type="max"/>
        <color rgb="FF57BB8A"/>
        <color rgb="FFFFFFFF"/>
      </colorScale>
    </cfRule>
  </conditionalFormatting>
  <conditionalFormatting sqref="G109:G128">
    <cfRule type="colorScale" priority="6">
      <colorScale>
        <cfvo type="min"/>
        <cfvo type="max"/>
        <color rgb="FF57BB8A"/>
        <color rgb="FFFFFFFF"/>
      </colorScale>
    </cfRule>
  </conditionalFormatting>
  <conditionalFormatting sqref="G130:G151">
    <cfRule type="colorScale" priority="7">
      <colorScale>
        <cfvo type="min"/>
        <cfvo type="max"/>
        <color rgb="FF57BB8A"/>
        <color rgb="FFFFFFFF"/>
      </colorScale>
    </cfRule>
  </conditionalFormatting>
  <conditionalFormatting sqref="G153:G172">
    <cfRule type="colorScale" priority="8">
      <colorScale>
        <cfvo type="min"/>
        <cfvo type="max"/>
        <color rgb="FF57BB8A"/>
        <color rgb="FFFFFFFF"/>
      </colorScale>
    </cfRule>
  </conditionalFormatting>
  <conditionalFormatting sqref="G174:G191">
    <cfRule type="colorScale" priority="9">
      <colorScale>
        <cfvo type="min"/>
        <cfvo type="max"/>
        <color rgb="FF57BB8A"/>
        <color rgb="FFFFFFFF"/>
      </colorScale>
    </cfRule>
  </conditionalFormatting>
  <conditionalFormatting sqref="G193:G206">
    <cfRule type="colorScale" priority="10">
      <colorScale>
        <cfvo type="min"/>
        <cfvo type="max"/>
        <color rgb="FF57BB8A"/>
        <color rgb="FFFFFFFF"/>
      </colorScale>
    </cfRule>
  </conditionalFormatting>
  <conditionalFormatting sqref="G208:G218">
    <cfRule type="colorScale" priority="11">
      <colorScale>
        <cfvo type="min"/>
        <cfvo type="max"/>
        <color rgb="FF57BB8A"/>
        <color rgb="FFFFFFFF"/>
      </colorScale>
    </cfRule>
  </conditionalFormatting>
  <conditionalFormatting sqref="G220:G226">
    <cfRule type="colorScale" priority="12">
      <colorScale>
        <cfvo type="min"/>
        <cfvo type="max"/>
        <color rgb="FF57BB8A"/>
        <color rgb="FFFFFFFF"/>
      </colorScale>
    </cfRule>
  </conditionalFormatting>
  <conditionalFormatting sqref="G228:G231">
    <cfRule type="colorScale" priority="13">
      <colorScale>
        <cfvo type="min"/>
        <cfvo type="max"/>
        <color rgb="FF57BB8A"/>
        <color rgb="FFFFFFFF"/>
      </colorScale>
    </cfRule>
  </conditionalFormatting>
  <conditionalFormatting sqref="G233">
    <cfRule type="colorScale" priority="14">
      <colorScale>
        <cfvo type="min"/>
        <cfvo type="max"/>
        <color rgb="FF57BB8A"/>
        <color rgb="FFFFFFFF"/>
      </colorScale>
    </cfRule>
  </conditionalFormatting>
  <conditionalFormatting sqref="G235">
    <cfRule type="colorScale" priority="15">
      <colorScale>
        <cfvo type="min"/>
        <cfvo type="max"/>
        <color rgb="FF57BB8A"/>
        <color rgb="FFFFFFFF"/>
      </colorScale>
    </cfRule>
  </conditionalFormatting>
  <conditionalFormatting sqref="G237:G238">
    <cfRule type="colorScale" priority="16">
      <colorScale>
        <cfvo type="min"/>
        <cfvo type="max"/>
        <color rgb="FF57BB8A"/>
        <color rgb="FFFFFFFF"/>
      </colorScale>
    </cfRule>
  </conditionalFormatting>
  <conditionalFormatting sqref="G240:G243">
    <cfRule type="colorScale" priority="17">
      <colorScale>
        <cfvo type="min"/>
        <cfvo type="max"/>
        <color rgb="FF57BB8A"/>
        <color rgb="FFFFFFFF"/>
      </colorScale>
    </cfRule>
  </conditionalFormatting>
  <conditionalFormatting sqref="G245:G250">
    <cfRule type="colorScale" priority="18">
      <colorScale>
        <cfvo type="min"/>
        <cfvo type="max"/>
        <color rgb="FF57BB8A"/>
        <color rgb="FFFFFFFF"/>
      </colorScale>
    </cfRule>
  </conditionalFormatting>
  <conditionalFormatting sqref="G252:G258">
    <cfRule type="colorScale" priority="19">
      <colorScale>
        <cfvo type="min"/>
        <cfvo type="max"/>
        <color rgb="FF57BB8A"/>
        <color rgb="FFFFFFFF"/>
      </colorScale>
    </cfRule>
  </conditionalFormatting>
  <conditionalFormatting sqref="G260:G268">
    <cfRule type="colorScale" priority="20">
      <colorScale>
        <cfvo type="min"/>
        <cfvo type="max"/>
        <color rgb="FF57BB8A"/>
        <color rgb="FFFFFFFF"/>
      </colorScale>
    </cfRule>
  </conditionalFormatting>
  <conditionalFormatting sqref="G270:G280">
    <cfRule type="colorScale" priority="21">
      <colorScale>
        <cfvo type="min"/>
        <cfvo type="max"/>
        <color rgb="FF57BB8A"/>
        <color rgb="FFFFFFFF"/>
      </colorScale>
    </cfRule>
  </conditionalFormatting>
  <conditionalFormatting sqref="G282:G289">
    <cfRule type="colorScale" priority="22">
      <colorScale>
        <cfvo type="min"/>
        <cfvo type="max"/>
        <color rgb="FF57BB8A"/>
        <color rgb="FFFFFFFF"/>
      </colorScale>
    </cfRule>
  </conditionalFormatting>
  <conditionalFormatting sqref="G291:G295">
    <cfRule type="colorScale" priority="23">
      <colorScale>
        <cfvo type="min"/>
        <cfvo type="max"/>
        <color rgb="FF57BB8A"/>
        <color rgb="FFFFFFFF"/>
      </colorScale>
    </cfRule>
  </conditionalFormatting>
  <conditionalFormatting sqref="G297:G298">
    <cfRule type="colorScale" priority="24">
      <colorScale>
        <cfvo type="min"/>
        <cfvo type="max"/>
        <color rgb="FF57BB8A"/>
        <color rgb="FFFFFFFF"/>
      </colorScale>
    </cfRule>
  </conditionalFormatting>
  <conditionalFormatting sqref="H29:H298">
    <cfRule type="containsBlanks" dxfId="11" priority="25">
      <formula>LEN(TRIM(H29))=0</formula>
    </cfRule>
    <cfRule type="cellIs" dxfId="10" priority="26" operator="lessThan">
      <formula>350000000</formula>
    </cfRule>
    <cfRule type="colorScale" priority="27">
      <colorScale>
        <cfvo type="formula" val="350000000"/>
        <cfvo type="max"/>
        <color rgb="FFFFFFFF"/>
        <color rgb="FF57BB8A"/>
      </colorScale>
    </cfRule>
  </conditionalFormatting>
  <conditionalFormatting sqref="J6:M298">
    <cfRule type="cellIs" dxfId="9" priority="31" operator="lessThanOrEqual">
      <formula>J$3</formula>
    </cfRule>
  </conditionalFormatting>
  <conditionalFormatting sqref="J5:O299">
    <cfRule type="containsBlanks" dxfId="8" priority="30">
      <formula>LEN(TRIM(J5))=0</formula>
    </cfRule>
  </conditionalFormatting>
  <conditionalFormatting sqref="N6:N298">
    <cfRule type="cellIs" dxfId="7" priority="32" operator="greaterThan">
      <formula>$K$1</formula>
    </cfRule>
    <cfRule type="colorScale" priority="33">
      <colorScale>
        <cfvo type="formula" val="0"/>
        <cfvo type="percentile" val="50"/>
        <cfvo type="formula" val="$K$1"/>
        <color rgb="FFF4C7C3"/>
        <color rgb="FFFCE8B2"/>
        <color rgb="FFABDDC5"/>
      </colorScale>
    </cfRule>
  </conditionalFormatting>
  <pageMargins left="0.7" right="0.7" top="0.78740157499999996" bottom="0.78740157499999996"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B1:S1000"/>
  <sheetViews>
    <sheetView topLeftCell="P1" workbookViewId="0">
      <selection activeCell="E11" sqref="E11"/>
    </sheetView>
  </sheetViews>
  <sheetFormatPr defaultColWidth="15.109375" defaultRowHeight="15" customHeight="1"/>
  <cols>
    <col min="1" max="1" width="4" customWidth="1"/>
    <col min="2" max="2" width="16.21875" customWidth="1"/>
    <col min="3" max="12" width="12.6640625" customWidth="1"/>
    <col min="13" max="13" width="16.33203125" customWidth="1"/>
    <col min="14" max="35" width="12.6640625" customWidth="1"/>
  </cols>
  <sheetData>
    <row r="1" spans="2:19" ht="15.75" customHeight="1">
      <c r="B1" s="3"/>
      <c r="C1" s="24"/>
      <c r="D1" s="3"/>
      <c r="E1" s="3"/>
    </row>
    <row r="2" spans="2:19" ht="15.75" customHeight="1">
      <c r="B2" s="3" t="s">
        <v>723</v>
      </c>
      <c r="C2" s="24"/>
      <c r="D2" s="3"/>
      <c r="E2" s="3"/>
    </row>
    <row r="3" spans="2:19" ht="15.75" customHeight="1">
      <c r="B3" s="101">
        <f>UserBuildings!C2</f>
        <v>0</v>
      </c>
      <c r="C3" s="3" t="s">
        <v>79</v>
      </c>
      <c r="D3" s="102" t="str">
        <f>UserBuildings!G2</f>
        <v>d2f7070074a24ff4c55a55a0c0ab3faa699c437a4d87b</v>
      </c>
      <c r="E3" s="101"/>
      <c r="F3" s="101"/>
      <c r="G3" s="101"/>
      <c r="H3" s="3" t="s">
        <v>724</v>
      </c>
    </row>
    <row r="4" spans="2:19" ht="15.75" customHeight="1">
      <c r="B4" s="3"/>
    </row>
    <row r="5" spans="2:19" ht="15.75" customHeight="1">
      <c r="B5" s="103"/>
      <c r="C5" s="3" t="s">
        <v>725</v>
      </c>
      <c r="E5" s="3" t="s">
        <v>726</v>
      </c>
      <c r="G5" s="3" t="s">
        <v>727</v>
      </c>
      <c r="H5" s="3" t="s">
        <v>728</v>
      </c>
    </row>
    <row r="6" spans="2:19" ht="15.75" customHeight="1">
      <c r="B6" s="104" t="str">
        <f>HYPERLINK("https://www.resources","https://www.resources")</f>
        <v>https://www.resources</v>
      </c>
      <c r="C6" s="45" t="str">
        <f>HYPERLINK("http://-game.ch/","-game.ch/")</f>
        <v>-game.ch/</v>
      </c>
      <c r="D6" s="3" t="s">
        <v>729</v>
      </c>
      <c r="E6" s="22" t="s">
        <v>730</v>
      </c>
      <c r="F6" s="22" t="s">
        <v>731</v>
      </c>
      <c r="G6" s="22">
        <v>0</v>
      </c>
      <c r="H6" s="22" t="s">
        <v>732</v>
      </c>
      <c r="I6" s="22" t="s">
        <v>733</v>
      </c>
      <c r="J6" s="22" t="s">
        <v>734</v>
      </c>
      <c r="K6" s="22" t="s">
        <v>735</v>
      </c>
      <c r="L6" s="22" t="s">
        <v>736</v>
      </c>
      <c r="M6" s="22" t="s">
        <v>737</v>
      </c>
    </row>
    <row r="7" spans="2:19" ht="15.75" customHeight="1"/>
    <row r="8" spans="2:19" ht="15.75" customHeight="1">
      <c r="B8" s="34" t="s">
        <v>738</v>
      </c>
      <c r="D8" s="34" t="s">
        <v>82</v>
      </c>
      <c r="I8" s="34" t="s">
        <v>739</v>
      </c>
      <c r="O8" s="34" t="s">
        <v>740</v>
      </c>
      <c r="S8" s="34" t="s">
        <v>84</v>
      </c>
    </row>
    <row r="9" spans="2:19" ht="15.75" customHeight="1">
      <c r="B9" s="45" t="e">
        <f ca="1">_xludf.textjoin("",TRUE,B6,C6,D6,0,F6,0,H6,D3,J6,$H$5,L6,10,"?")</f>
        <v>#NAME?</v>
      </c>
      <c r="D9" s="105" t="e">
        <f ca="1">_xludf.textjoin("",TRUE,B6,C6,D6,1,F6,0,H6,D3,J6,$H$5,L6,10,"?")</f>
        <v>#NAME?</v>
      </c>
      <c r="I9" s="105" t="e">
        <f ca="1">_xludf.textjoin("",TRUE,B6,C6,D6,2,F6,0,H6,D3,J6,$H$5,L6,10,"?")</f>
        <v>#NAME?</v>
      </c>
      <c r="N9" s="22"/>
      <c r="O9" s="105" t="e">
        <f ca="1">_xludf.textjoin("",TRUE,B6,C6,D6,3,F6,0,H6,D3,J6,$H$5,L6,10,"?")</f>
        <v>#NAME?</v>
      </c>
      <c r="S9" s="105" t="e">
        <f ca="1">_xludf.textjoin("",TRUE,B6,C6,D6,4,F6,0,H6,D3,J6,$H$5,L6,10,"?")</f>
        <v>#NAME?</v>
      </c>
    </row>
    <row r="10" spans="2:19" ht="15.75" customHeight="1">
      <c r="B10">
        <f ca="1">IFERROR(__xludf.DUMMYFUNCTION("if($B$3=1,importdata(B9),0)"),0)</f>
        <v>0</v>
      </c>
      <c r="D10">
        <f ca="1">IFERROR(__xludf.DUMMYFUNCTION("if($B$3=1,importdata(D9),0)"),0)</f>
        <v>0</v>
      </c>
      <c r="I10">
        <f ca="1">IFERROR(__xludf.DUMMYFUNCTION("if($B$3=1,importdata(I9),0)"),0)</f>
        <v>0</v>
      </c>
      <c r="O10">
        <f ca="1">IFERROR(__xludf.DUMMYFUNCTION("if($B$3=1,importdata(O9),0)"),0)</f>
        <v>0</v>
      </c>
      <c r="S10">
        <f ca="1">IFERROR(__xludf.DUMMYFUNCTION("if($B$3=1,importdata(S9),0)"),0)</f>
        <v>0</v>
      </c>
    </row>
    <row r="11" spans="2:19" ht="15.75" customHeight="1"/>
    <row r="12" spans="2:19" ht="15.75" customHeight="1">
      <c r="B12" s="3"/>
    </row>
    <row r="13" spans="2:19" ht="15.75" customHeight="1"/>
    <row r="14" spans="2:19" ht="15.75" customHeight="1"/>
    <row r="15" spans="2:19" ht="15.75" customHeight="1"/>
    <row r="16" spans="2:19" ht="15.75" customHeight="1"/>
    <row r="17" spans="14:15" ht="15.75" customHeight="1"/>
    <row r="18" spans="14:15" ht="15.75" customHeight="1"/>
    <row r="19" spans="14:15" ht="15.75" customHeight="1"/>
    <row r="20" spans="14:15" ht="15.75" customHeight="1"/>
    <row r="21" spans="14:15" ht="15.75" customHeight="1"/>
    <row r="22" spans="14:15" ht="15.75" customHeight="1"/>
    <row r="23" spans="14:15" ht="15.75" customHeight="1"/>
    <row r="24" spans="14:15" ht="15.75" customHeight="1"/>
    <row r="25" spans="14:15" ht="15.75" customHeight="1"/>
    <row r="26" spans="14:15" ht="15.75" customHeight="1"/>
    <row r="27" spans="14:15" ht="15.75" customHeight="1">
      <c r="O27" s="34" t="s">
        <v>80</v>
      </c>
    </row>
    <row r="28" spans="14:15" ht="15.75" customHeight="1">
      <c r="N28" s="22"/>
      <c r="O28" s="105" t="e">
        <f ca="1">_xludf.textjoin("",TRUE,B6,C6,D6,51,F6,0,H6,D3,J6,$H$5,L6,10,"?")</f>
        <v>#NAME?</v>
      </c>
    </row>
    <row r="29" spans="14:15" ht="15.75" customHeight="1">
      <c r="O29">
        <f ca="1">IFERROR(__xludf.DUMMYFUNCTION("if($B$3=0,0,importdata(O28))"),0)</f>
        <v>0</v>
      </c>
    </row>
    <row r="30" spans="14:15" ht="15.75" customHeight="1">
      <c r="N30">
        <f t="shared" ref="N30:N49" si="0">Q30</f>
        <v>0</v>
      </c>
    </row>
    <row r="31" spans="14:15" ht="15.75" customHeight="1">
      <c r="N31">
        <f t="shared" si="0"/>
        <v>0</v>
      </c>
    </row>
    <row r="32" spans="14:15" ht="15.75" customHeight="1">
      <c r="N32">
        <f t="shared" si="0"/>
        <v>0</v>
      </c>
    </row>
    <row r="33" spans="14:14" ht="15.75" customHeight="1">
      <c r="N33">
        <f t="shared" si="0"/>
        <v>0</v>
      </c>
    </row>
    <row r="34" spans="14:14" ht="15.75" customHeight="1">
      <c r="N34">
        <f t="shared" si="0"/>
        <v>0</v>
      </c>
    </row>
    <row r="35" spans="14:14" ht="15.75" customHeight="1">
      <c r="N35">
        <f t="shared" si="0"/>
        <v>0</v>
      </c>
    </row>
    <row r="36" spans="14:14" ht="15.75" customHeight="1">
      <c r="N36">
        <f t="shared" si="0"/>
        <v>0</v>
      </c>
    </row>
    <row r="37" spans="14:14" ht="15.75" customHeight="1">
      <c r="N37">
        <f t="shared" si="0"/>
        <v>0</v>
      </c>
    </row>
    <row r="38" spans="14:14" ht="15.75" customHeight="1">
      <c r="N38">
        <f t="shared" si="0"/>
        <v>0</v>
      </c>
    </row>
    <row r="39" spans="14:14" ht="15.75" customHeight="1">
      <c r="N39">
        <f t="shared" si="0"/>
        <v>0</v>
      </c>
    </row>
    <row r="40" spans="14:14" ht="15.75" customHeight="1">
      <c r="N40">
        <f t="shared" si="0"/>
        <v>0</v>
      </c>
    </row>
    <row r="41" spans="14:14" ht="15.75" customHeight="1">
      <c r="N41">
        <f t="shared" si="0"/>
        <v>0</v>
      </c>
    </row>
    <row r="42" spans="14:14" ht="15.75" customHeight="1">
      <c r="N42">
        <f t="shared" si="0"/>
        <v>0</v>
      </c>
    </row>
    <row r="43" spans="14:14" ht="15.75" customHeight="1">
      <c r="N43">
        <f t="shared" si="0"/>
        <v>0</v>
      </c>
    </row>
    <row r="44" spans="14:14" ht="15.75" customHeight="1">
      <c r="N44">
        <f t="shared" si="0"/>
        <v>0</v>
      </c>
    </row>
    <row r="45" spans="14:14" ht="15.75" customHeight="1">
      <c r="N45">
        <f t="shared" si="0"/>
        <v>0</v>
      </c>
    </row>
    <row r="46" spans="14:14" ht="15.75" customHeight="1">
      <c r="N46">
        <f t="shared" si="0"/>
        <v>0</v>
      </c>
    </row>
    <row r="47" spans="14:14" ht="15.75" customHeight="1">
      <c r="N47">
        <f t="shared" si="0"/>
        <v>0</v>
      </c>
    </row>
    <row r="48" spans="14:14" ht="15.75" customHeight="1">
      <c r="N48">
        <f t="shared" si="0"/>
        <v>0</v>
      </c>
    </row>
    <row r="49" spans="14:14" ht="15.75" customHeight="1">
      <c r="N49">
        <f t="shared" si="0"/>
        <v>0</v>
      </c>
    </row>
    <row r="50" spans="14:14" ht="15.75" customHeight="1"/>
    <row r="51" spans="14:14" ht="15.75" customHeight="1"/>
    <row r="52" spans="14:14" ht="15.75" customHeight="1"/>
    <row r="53" spans="14:14" ht="15.75" customHeight="1"/>
    <row r="54" spans="14:14" ht="15.75" customHeight="1"/>
    <row r="55" spans="14:14" ht="15.75" customHeight="1"/>
    <row r="56" spans="14:14" ht="15.75" customHeight="1"/>
    <row r="57" spans="14:14" ht="15.75" customHeight="1"/>
    <row r="58" spans="14:14" ht="15.75" customHeight="1"/>
    <row r="59" spans="14:14" ht="15.75" customHeight="1"/>
    <row r="60" spans="14:14" ht="15.75" customHeight="1"/>
    <row r="61" spans="14:14" ht="15.75" customHeight="1"/>
    <row r="62" spans="14:14" ht="15.75" customHeight="1"/>
    <row r="63" spans="14:14" ht="15.75" customHeight="1"/>
    <row r="64" spans="14:1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E1000"/>
  <sheetViews>
    <sheetView topLeftCell="A3" workbookViewId="0">
      <selection activeCell="G3" sqref="G3"/>
    </sheetView>
  </sheetViews>
  <sheetFormatPr defaultColWidth="15.109375" defaultRowHeight="15" customHeight="1"/>
  <cols>
    <col min="1" max="1" width="3.44140625" customWidth="1"/>
    <col min="2" max="2" width="15.88671875" customWidth="1"/>
    <col min="3" max="3" width="11.44140625" customWidth="1"/>
    <col min="4" max="4" width="11.33203125" customWidth="1"/>
    <col min="5" max="5" width="15.21875" customWidth="1"/>
    <col min="6" max="7" width="14.77734375" customWidth="1"/>
    <col min="8" max="8" width="13.33203125" customWidth="1"/>
    <col min="9" max="9" width="12.77734375" customWidth="1"/>
    <col min="10" max="10" width="4" customWidth="1"/>
    <col min="11" max="11" width="4.109375" customWidth="1"/>
    <col min="12" max="13" width="12.77734375" customWidth="1"/>
    <col min="14" max="14" width="4" customWidth="1"/>
    <col min="15" max="15" width="4.109375" customWidth="1"/>
    <col min="16" max="17" width="12.77734375" customWidth="1"/>
    <col min="18" max="18" width="4" customWidth="1"/>
    <col min="19" max="19" width="4.109375" customWidth="1"/>
    <col min="20" max="21" width="12.77734375" customWidth="1"/>
    <col min="22" max="22" width="13.88671875" customWidth="1"/>
    <col min="23" max="23" width="14.33203125" customWidth="1"/>
    <col min="24" max="24" width="13.88671875" customWidth="1"/>
    <col min="25" max="25" width="12.6640625" customWidth="1"/>
    <col min="26" max="26" width="15" customWidth="1"/>
    <col min="27" max="27" width="12.6640625" customWidth="1"/>
    <col min="28" max="28" width="14" customWidth="1"/>
    <col min="29" max="29" width="12.6640625" customWidth="1"/>
    <col min="30" max="30" width="15.77734375" customWidth="1"/>
    <col min="31" max="31" width="12.6640625" customWidth="1"/>
  </cols>
  <sheetData>
    <row r="1" spans="1:31" ht="15.75" customHeight="1">
      <c r="A1" s="12"/>
      <c r="B1" s="12"/>
      <c r="C1" s="12"/>
      <c r="D1" s="20"/>
      <c r="E1" s="20"/>
      <c r="F1" s="12"/>
      <c r="G1" s="12"/>
      <c r="H1" s="12"/>
      <c r="I1" s="12"/>
      <c r="J1" s="12"/>
      <c r="K1" s="12"/>
      <c r="L1" s="12"/>
      <c r="M1" s="12"/>
      <c r="N1" s="12"/>
      <c r="O1" s="12"/>
      <c r="P1" s="12"/>
      <c r="Q1" s="12"/>
      <c r="R1" s="12"/>
      <c r="S1" s="12"/>
      <c r="T1" s="12"/>
      <c r="U1" s="12"/>
      <c r="V1" s="12"/>
      <c r="W1" s="12"/>
      <c r="X1" s="12"/>
      <c r="Y1" s="12"/>
      <c r="Z1" s="12"/>
      <c r="AA1" s="12"/>
      <c r="AB1" s="12"/>
      <c r="AC1" s="12"/>
      <c r="AD1" s="12"/>
      <c r="AE1" s="12"/>
    </row>
    <row r="2" spans="1:31" ht="15.75" customHeight="1">
      <c r="A2" s="3"/>
      <c r="B2" s="106" t="s">
        <v>278</v>
      </c>
      <c r="C2" s="106" t="s">
        <v>741</v>
      </c>
      <c r="D2" s="106" t="s">
        <v>742</v>
      </c>
      <c r="E2" s="106" t="s">
        <v>743</v>
      </c>
      <c r="F2" s="106" t="s">
        <v>744</v>
      </c>
      <c r="G2" s="106" t="s">
        <v>745</v>
      </c>
      <c r="H2" s="106" t="s">
        <v>746</v>
      </c>
      <c r="I2" s="106" t="s">
        <v>747</v>
      </c>
      <c r="J2" s="106" t="s">
        <v>748</v>
      </c>
      <c r="K2" s="106" t="s">
        <v>748</v>
      </c>
      <c r="L2" s="106" t="s">
        <v>749</v>
      </c>
      <c r="M2" s="106" t="s">
        <v>750</v>
      </c>
      <c r="N2" s="106" t="s">
        <v>748</v>
      </c>
      <c r="O2" s="106" t="s">
        <v>748</v>
      </c>
      <c r="P2" s="106" t="s">
        <v>749</v>
      </c>
      <c r="Q2" s="106" t="s">
        <v>751</v>
      </c>
      <c r="R2" s="106" t="s">
        <v>748</v>
      </c>
      <c r="S2" s="106" t="s">
        <v>748</v>
      </c>
      <c r="T2" s="106" t="s">
        <v>749</v>
      </c>
      <c r="U2" s="106" t="s">
        <v>749</v>
      </c>
      <c r="V2" s="12"/>
      <c r="W2" s="12"/>
      <c r="X2" s="12"/>
      <c r="Y2" s="12"/>
      <c r="Z2" s="12"/>
      <c r="AA2" s="12"/>
      <c r="AB2" s="12"/>
      <c r="AC2" s="12"/>
      <c r="AD2" s="12"/>
      <c r="AE2" s="12"/>
    </row>
    <row r="3" spans="1:31" ht="15.75" customHeight="1">
      <c r="A3" s="12"/>
      <c r="B3" s="12" t="s">
        <v>752</v>
      </c>
      <c r="C3" s="107" t="e">
        <f ca="1">IF(H3/G3&lt;=0,"NO",H3/G3/24)</f>
        <v>#N/A</v>
      </c>
      <c r="D3" s="107" t="e">
        <f t="shared" ref="D3:D24" ca="1" si="0">IF(E3/G3&lt;=0,"NO",E3/G3/24)</f>
        <v>#N/A</v>
      </c>
      <c r="E3" s="108">
        <f ca="1">H3*(1.15-UserBuildings!$T$16*0.01)</f>
        <v>76278226499.999985</v>
      </c>
      <c r="F3" s="12" t="e">
        <f t="shared" ref="F3:F24" ca="1" si="1">G3*24</f>
        <v>#N/A</v>
      </c>
      <c r="G3" s="12" t="e">
        <f ca="1">Static!E4*'Supply Chain'!N33</f>
        <v>#N/A</v>
      </c>
      <c r="H3" s="12">
        <f ca="1">(I3*'Supply Chain'!E33)+U3+L3</f>
        <v>72645930000</v>
      </c>
      <c r="I3" s="12">
        <f>((UserBuildings!$M5+1)^2)*Static!$O4</f>
        <v>25489800</v>
      </c>
      <c r="J3" s="12">
        <f t="shared" ref="J3:J24" si="2">ROUNDUP(SQRT(I3/5000),0)</f>
        <v>72</v>
      </c>
      <c r="K3" s="109">
        <f>VLOOKUP("Clay",TblUserWarehouse,2,FALSE)</f>
        <v>126</v>
      </c>
      <c r="L3" s="12">
        <f t="shared" ref="L3:L24" si="3">IF(K3=0,0,IF((J3-K3)&lt;0,0,((416666+2/3)*J3^3-625000*J3^2+(208333+1/3)*J3)-((416666+2/3)*K3^3-625000*K3^2+(208333+1/3)*K3)))</f>
        <v>0</v>
      </c>
      <c r="M3" s="110" t="s">
        <v>753</v>
      </c>
      <c r="N3" s="110" t="s">
        <v>753</v>
      </c>
      <c r="O3" s="110" t="s">
        <v>753</v>
      </c>
      <c r="P3" s="110" t="s">
        <v>753</v>
      </c>
      <c r="Q3" s="110" t="s">
        <v>753</v>
      </c>
      <c r="R3" s="110" t="s">
        <v>753</v>
      </c>
      <c r="S3" s="110" t="s">
        <v>753</v>
      </c>
      <c r="T3" s="110" t="s">
        <v>753</v>
      </c>
      <c r="U3" s="12">
        <f>((UserBuildings!$M5+1)^2)*Static!$O5</f>
        <v>63724500000</v>
      </c>
      <c r="V3" s="12"/>
      <c r="W3" s="12"/>
      <c r="X3" s="12"/>
      <c r="Y3" s="12"/>
      <c r="Z3" s="12"/>
      <c r="AA3" s="12"/>
      <c r="AB3" s="12"/>
      <c r="AC3" s="12"/>
      <c r="AD3" s="12"/>
      <c r="AE3" s="12"/>
    </row>
    <row r="4" spans="1:31" ht="15.75" customHeight="1">
      <c r="A4" s="12"/>
      <c r="B4" s="12" t="s">
        <v>754</v>
      </c>
      <c r="C4" s="107" t="e">
        <f t="shared" ref="C4:C24" ca="1" si="4">IF(H4/G4&lt;=0,"NO",H4/G4/24)</f>
        <v>#N/A</v>
      </c>
      <c r="D4" s="107" t="e">
        <f t="shared" ca="1" si="0"/>
        <v>#N/A</v>
      </c>
      <c r="E4" s="108" t="e">
        <f ca="1">H4*(1.15-UserBuildings!$T$16*0.01)</f>
        <v>#N/A</v>
      </c>
      <c r="F4" s="12">
        <f t="shared" ca="1" si="1"/>
        <v>251928000</v>
      </c>
      <c r="G4" s="12">
        <f ca="1">Static!E5*'Supply Chain'!N34</f>
        <v>10497000</v>
      </c>
      <c r="H4" s="12" t="e">
        <f ca="1">(I4*'Supply Chain'!L33)+(M4*'Supply Chain'!E33)+(Q4*'Supply Chain'!E34)+U4+SUM(L4,P4,T4)</f>
        <v>#N/A</v>
      </c>
      <c r="I4" s="12">
        <f>((UserBuildings!$M6+1)^2)*Static!$O6</f>
        <v>24649000</v>
      </c>
      <c r="J4" s="12">
        <f t="shared" si="2"/>
        <v>71</v>
      </c>
      <c r="K4" s="109">
        <f>VLOOKUP("Bricks",TblUserWarehouse,2,FALSE)</f>
        <v>190</v>
      </c>
      <c r="L4" s="12">
        <f t="shared" si="3"/>
        <v>0</v>
      </c>
      <c r="M4" s="12">
        <f>((UserBuildings!$M6+1)^2)*Static!$O7</f>
        <v>24649000</v>
      </c>
      <c r="N4" s="12">
        <f t="shared" ref="N4:N24" si="5">ROUNDUP(SQRT(M4/5000),0)</f>
        <v>71</v>
      </c>
      <c r="O4" s="109">
        <f>VLOOKUP("Clay",TblUserWarehouse,2,FALSE)</f>
        <v>126</v>
      </c>
      <c r="P4" s="12">
        <f t="shared" ref="P4:P24" si="6">IF(O4=0,0,IF((N4-O4)&lt;0,0,((416666+2/3)*N4^3-625000*N4^2+(208333+1/3)*N4)-((416666+2/3)*O4^3-625000*O4^2+(208333+1/3)*O4)))</f>
        <v>0</v>
      </c>
      <c r="Q4" s="12">
        <f>((UserBuildings!$M6+1)^2)*Static!$O8</f>
        <v>12324500</v>
      </c>
      <c r="R4" s="12">
        <f t="shared" ref="R4:R24" si="7">ROUNDUP(SQRT(Q4/5000),0)</f>
        <v>50</v>
      </c>
      <c r="S4" s="109">
        <f>VLOOKUP("Limestone",TblUserWarehouse,2,FALSE)</f>
        <v>64</v>
      </c>
      <c r="T4" s="12">
        <f t="shared" ref="T4:T24" si="8">IF(S4=0,0,IF((R4-S4)&lt;0,0,((416666+2/3)*R4^3-625000*R4^2+(208333+1/3)*R4)-((416666+2/3)*S4^3-625000*S4^2+(208333+1/3)*S4)))</f>
        <v>0</v>
      </c>
      <c r="U4" s="12">
        <f>((UserBuildings!$M6+1)^2)*Static!$O9</f>
        <v>49298000000</v>
      </c>
      <c r="V4" s="12"/>
      <c r="W4" s="12"/>
      <c r="X4" s="12"/>
      <c r="Y4" s="12"/>
      <c r="Z4" s="12"/>
      <c r="AA4" s="12"/>
      <c r="AB4" s="12"/>
      <c r="AC4" s="12"/>
      <c r="AD4" s="12"/>
      <c r="AE4" s="12"/>
    </row>
    <row r="5" spans="1:31" ht="15.75" customHeight="1">
      <c r="A5" s="12"/>
      <c r="B5" s="12" t="s">
        <v>755</v>
      </c>
      <c r="C5" s="107" t="e">
        <f t="shared" ca="1" si="4"/>
        <v>#N/A</v>
      </c>
      <c r="D5" s="107" t="e">
        <f t="shared" ca="1" si="0"/>
        <v>#N/A</v>
      </c>
      <c r="E5" s="108" t="e">
        <f ca="1">H5*(1.15-UserBuildings!$T$16*0.01)</f>
        <v>#N/A</v>
      </c>
      <c r="F5" s="12">
        <f t="shared" ca="1" si="1"/>
        <v>51994800</v>
      </c>
      <c r="G5" s="12">
        <f ca="1">Static!E6*'Supply Chain'!N35</f>
        <v>2166450</v>
      </c>
      <c r="H5" s="12" t="e">
        <f ca="1">(I5*'Supply Chain'!L33)+(M5*'Supply Chain'!L34)+(Q5*'Supply Chain'!E34)+U5+SUM(L5,P5,T5)</f>
        <v>#N/A</v>
      </c>
      <c r="I5" s="12">
        <f>((UserBuildings!$M7+1)^2)*Static!$O10</f>
        <v>10562500</v>
      </c>
      <c r="J5" s="12">
        <f t="shared" si="2"/>
        <v>46</v>
      </c>
      <c r="K5" s="109">
        <f>VLOOKUP("Bricks",TblUserWarehouse,2,FALSE)</f>
        <v>190</v>
      </c>
      <c r="L5" s="12">
        <f t="shared" si="3"/>
        <v>0</v>
      </c>
      <c r="M5" s="12">
        <f>((UserBuildings!$M7+1)^2)*Static!$O11</f>
        <v>21125000</v>
      </c>
      <c r="N5" s="12">
        <f t="shared" si="5"/>
        <v>65</v>
      </c>
      <c r="O5" s="109">
        <f t="shared" ref="O5:O23" si="9">VLOOKUP("Concrete",TblUserWarehouse,2,FALSE)</f>
        <v>156</v>
      </c>
      <c r="P5" s="12">
        <f t="shared" si="6"/>
        <v>0</v>
      </c>
      <c r="Q5" s="12">
        <f>((UserBuildings!$M7+1)^2)*Static!$O12</f>
        <v>2112500</v>
      </c>
      <c r="R5" s="12">
        <f t="shared" si="7"/>
        <v>21</v>
      </c>
      <c r="S5" s="109">
        <f>VLOOKUP("Limestone",TblUserWarehouse,2,FALSE)</f>
        <v>64</v>
      </c>
      <c r="T5" s="12">
        <f t="shared" si="8"/>
        <v>0</v>
      </c>
      <c r="U5" s="12">
        <f>((UserBuildings!$M7+1)^2)*Static!$O13</f>
        <v>16900000000</v>
      </c>
      <c r="V5" s="12"/>
      <c r="W5" s="12"/>
      <c r="X5" s="12"/>
      <c r="Y5" s="12"/>
      <c r="Z5" s="12"/>
      <c r="AA5" s="12"/>
      <c r="AB5" s="12"/>
      <c r="AC5" s="12"/>
      <c r="AD5" s="12"/>
      <c r="AE5" s="12"/>
    </row>
    <row r="6" spans="1:31" ht="15.75" customHeight="1">
      <c r="A6" s="12"/>
      <c r="B6" s="12" t="s">
        <v>113</v>
      </c>
      <c r="C6" s="107" t="e">
        <f t="shared" ca="1" si="4"/>
        <v>#N/A</v>
      </c>
      <c r="D6" s="107" t="e">
        <f t="shared" ca="1" si="0"/>
        <v>#N/A</v>
      </c>
      <c r="E6" s="108" t="e">
        <f ca="1">H6*(1.15-UserBuildings!$T$16*0.01)</f>
        <v>#N/A</v>
      </c>
      <c r="F6" s="12">
        <f t="shared" ca="1" si="1"/>
        <v>165002400</v>
      </c>
      <c r="G6" s="12">
        <f ca="1">Static!E7*'Supply Chain'!N36</f>
        <v>6875100</v>
      </c>
      <c r="H6" s="12" t="e">
        <f ca="1">(I6*'Supply Chain'!L33)+(M6*'Supply Chain'!L34)+(Q6*'Supply Chain'!E34)+U6+SUM(L6,P6,T6)</f>
        <v>#N/A</v>
      </c>
      <c r="I6" s="12">
        <f>((UserBuildings!$M8+1)^2)*Static!$O14</f>
        <v>2178000</v>
      </c>
      <c r="J6" s="12">
        <f t="shared" si="2"/>
        <v>21</v>
      </c>
      <c r="K6" s="109">
        <f>VLOOKUP("Bricks",TblUserWarehouse,2,FALSE)</f>
        <v>190</v>
      </c>
      <c r="L6" s="12">
        <f t="shared" si="3"/>
        <v>0</v>
      </c>
      <c r="M6" s="12">
        <f>((UserBuildings!$M8+1)^2)*Static!$O15</f>
        <v>39204000</v>
      </c>
      <c r="N6" s="12">
        <f t="shared" si="5"/>
        <v>89</v>
      </c>
      <c r="O6" s="109">
        <f t="shared" si="9"/>
        <v>156</v>
      </c>
      <c r="P6" s="12">
        <f t="shared" si="6"/>
        <v>0</v>
      </c>
      <c r="Q6" s="12">
        <f>((UserBuildings!$M8+1)^2)*Static!$O16</f>
        <v>13068000</v>
      </c>
      <c r="R6" s="12">
        <f t="shared" si="7"/>
        <v>52</v>
      </c>
      <c r="S6" s="109">
        <f>VLOOKUP("Limestone",TblUserWarehouse,2,FALSE)</f>
        <v>64</v>
      </c>
      <c r="T6" s="12">
        <f t="shared" si="8"/>
        <v>0</v>
      </c>
      <c r="U6" s="12">
        <f>((UserBuildings!$M8+1)^2)*Static!$O17</f>
        <v>43560000000</v>
      </c>
      <c r="V6" s="12"/>
      <c r="W6" s="12"/>
      <c r="X6" s="12"/>
      <c r="Y6" s="12"/>
      <c r="Z6" s="12"/>
      <c r="AA6" s="12"/>
      <c r="AB6" s="12"/>
      <c r="AC6" s="12"/>
      <c r="AD6" s="12"/>
      <c r="AE6" s="12"/>
    </row>
    <row r="7" spans="1:31" ht="15.75" customHeight="1">
      <c r="A7" s="12"/>
      <c r="B7" s="12" t="s">
        <v>756</v>
      </c>
      <c r="C7" s="107">
        <f t="shared" ca="1" si="4"/>
        <v>1154.2621608650236</v>
      </c>
      <c r="D7" s="107">
        <f t="shared" ca="1" si="0"/>
        <v>1211.9752689082745</v>
      </c>
      <c r="E7" s="108">
        <f ca="1">H7*(1.15-UserBuildings!$T$16*0.01)</f>
        <v>549496012799.99988</v>
      </c>
      <c r="F7" s="12">
        <f t="shared" ca="1" si="1"/>
        <v>453388800</v>
      </c>
      <c r="G7" s="12">
        <f ca="1">Static!E8*'Supply Chain'!N37</f>
        <v>18891200</v>
      </c>
      <c r="H7" s="12">
        <f ca="1">(I7*'Supply Chain'!L36)+(M7*'Supply Chain'!L34)+(Q7*'Supply Chain'!E35)+U7+SUM(L7,P7,T7)</f>
        <v>523329536000</v>
      </c>
      <c r="I7" s="12">
        <f>((UserBuildings!$M9+1)^2)*Static!$O18</f>
        <v>2048000</v>
      </c>
      <c r="J7" s="12">
        <f t="shared" si="2"/>
        <v>21</v>
      </c>
      <c r="K7" s="109">
        <f>VLOOKUP("Steel",TblUserWarehouse,2,FALSE)</f>
        <v>64</v>
      </c>
      <c r="L7" s="12">
        <f t="shared" si="3"/>
        <v>0</v>
      </c>
      <c r="M7" s="12">
        <f>((UserBuildings!$M9+1)^2)*Static!$O19</f>
        <v>65536000</v>
      </c>
      <c r="N7" s="12">
        <f t="shared" si="5"/>
        <v>115</v>
      </c>
      <c r="O7" s="109">
        <f t="shared" si="9"/>
        <v>156</v>
      </c>
      <c r="P7" s="12">
        <f t="shared" si="6"/>
        <v>0</v>
      </c>
      <c r="Q7" s="12">
        <f>((UserBuildings!$M9+1)^2)*Static!$O20</f>
        <v>2048000</v>
      </c>
      <c r="R7" s="12">
        <f t="shared" si="7"/>
        <v>21</v>
      </c>
      <c r="S7" s="109">
        <f>VLOOKUP("Gravel",TblUserWarehouse,2,FALSE)</f>
        <v>60</v>
      </c>
      <c r="T7" s="12">
        <f t="shared" si="8"/>
        <v>0</v>
      </c>
      <c r="U7" s="12">
        <f>((UserBuildings!$M9+1)^2)*Static!$O21</f>
        <v>81920000000</v>
      </c>
      <c r="V7" s="12"/>
      <c r="W7" s="12"/>
      <c r="X7" s="12"/>
      <c r="Y7" s="12"/>
      <c r="Z7" s="12"/>
      <c r="AA7" s="12"/>
      <c r="AB7" s="12"/>
      <c r="AC7" s="12"/>
      <c r="AD7" s="12"/>
      <c r="AE7" s="12"/>
    </row>
    <row r="8" spans="1:31" ht="15.75" customHeight="1">
      <c r="A8" s="12"/>
      <c r="B8" s="12" t="s">
        <v>757</v>
      </c>
      <c r="C8" s="107" t="e">
        <f t="shared" ca="1" si="4"/>
        <v>#N/A</v>
      </c>
      <c r="D8" s="107" t="e">
        <f t="shared" ca="1" si="0"/>
        <v>#N/A</v>
      </c>
      <c r="E8" s="108" t="e">
        <f ca="1">H8*(1.15-UserBuildings!$T$16*0.01)</f>
        <v>#N/A</v>
      </c>
      <c r="F8" s="12">
        <f t="shared" ca="1" si="1"/>
        <v>263842560</v>
      </c>
      <c r="G8" s="12">
        <f ca="1">Static!E9*'Supply Chain'!N38</f>
        <v>10993440</v>
      </c>
      <c r="H8" s="12" t="e">
        <f ca="1">(I8*'Supply Chain'!L33)+(M8*'Supply Chain'!L34)+(Q8*'Supply Chain'!E34)+U8+SUM(L8,P8,T8)</f>
        <v>#N/A</v>
      </c>
      <c r="I8" s="12">
        <f>((UserBuildings!$M10+1)^2)*Static!$O22</f>
        <v>6912000</v>
      </c>
      <c r="J8" s="12">
        <f t="shared" si="2"/>
        <v>38</v>
      </c>
      <c r="K8" s="109">
        <f>VLOOKUP("Bricks",TblUserWarehouse,2,FALSE)</f>
        <v>190</v>
      </c>
      <c r="L8" s="12">
        <f t="shared" si="3"/>
        <v>0</v>
      </c>
      <c r="M8" s="12">
        <f>((UserBuildings!$M10+1)^2)*Static!$O23</f>
        <v>57600000</v>
      </c>
      <c r="N8" s="12">
        <f t="shared" si="5"/>
        <v>108</v>
      </c>
      <c r="O8" s="109">
        <f t="shared" si="9"/>
        <v>156</v>
      </c>
      <c r="P8" s="12">
        <f t="shared" si="6"/>
        <v>0</v>
      </c>
      <c r="Q8" s="12">
        <f>((UserBuildings!$M10+1)^2)*Static!$O24</f>
        <v>345600</v>
      </c>
      <c r="R8" s="12">
        <f t="shared" si="7"/>
        <v>9</v>
      </c>
      <c r="S8" s="109">
        <f>VLOOKUP("Limestone",TblUserWarehouse,2,FALSE)</f>
        <v>64</v>
      </c>
      <c r="T8" s="12">
        <f t="shared" si="8"/>
        <v>0</v>
      </c>
      <c r="U8" s="12">
        <f>((UserBuildings!$M10+1)^2)*Static!$O25</f>
        <v>46080000000</v>
      </c>
      <c r="V8" s="12"/>
      <c r="W8" s="12"/>
      <c r="X8" s="12"/>
      <c r="Y8" s="12"/>
      <c r="Z8" s="12"/>
      <c r="AA8" s="12"/>
      <c r="AB8" s="12"/>
      <c r="AC8" s="12"/>
      <c r="AD8" s="12"/>
      <c r="AE8" s="12"/>
    </row>
    <row r="9" spans="1:31" ht="15.75" customHeight="1">
      <c r="A9" s="12"/>
      <c r="B9" s="12" t="s">
        <v>758</v>
      </c>
      <c r="C9" s="107">
        <f t="shared" ca="1" si="4"/>
        <v>844.36168222332446</v>
      </c>
      <c r="D9" s="107">
        <f t="shared" ca="1" si="0"/>
        <v>886.57976633449061</v>
      </c>
      <c r="E9" s="108">
        <f ca="1">H9*(1.15-UserBuildings!$T$16*0.01)</f>
        <v>473567220524.99994</v>
      </c>
      <c r="F9" s="12">
        <f t="shared" ca="1" si="1"/>
        <v>534150720</v>
      </c>
      <c r="G9" s="12">
        <f ca="1">Static!E10*'Supply Chain'!N39</f>
        <v>22256280</v>
      </c>
      <c r="H9" s="12">
        <f ca="1">(I9*'Supply Chain'!L36)+(M9*'Supply Chain'!L34)+(Q9*'Supply Chain'!L38)+U9+SUM(L9,P9,T9)</f>
        <v>451016400500</v>
      </c>
      <c r="I9" s="12">
        <f>((UserBuildings!$M11+1)^2)*Static!$O26</f>
        <v>1849000</v>
      </c>
      <c r="J9" s="12">
        <f t="shared" si="2"/>
        <v>20</v>
      </c>
      <c r="K9" s="109">
        <f>VLOOKUP("Steel",TblUserWarehouse,2,FALSE)</f>
        <v>64</v>
      </c>
      <c r="L9" s="12">
        <f t="shared" si="3"/>
        <v>0</v>
      </c>
      <c r="M9" s="12">
        <f>((UserBuildings!$M11+1)^2)*Static!$O27</f>
        <v>46225000</v>
      </c>
      <c r="N9" s="12">
        <f t="shared" si="5"/>
        <v>97</v>
      </c>
      <c r="O9" s="109">
        <f t="shared" si="9"/>
        <v>156</v>
      </c>
      <c r="P9" s="12">
        <f t="shared" si="6"/>
        <v>0</v>
      </c>
      <c r="Q9" s="12">
        <f>((UserBuildings!$M11+1)^2)*Static!$O28</f>
        <v>924500</v>
      </c>
      <c r="R9" s="12">
        <f t="shared" si="7"/>
        <v>14</v>
      </c>
      <c r="S9" s="109">
        <f>VLOOKUP("Glass",TblUserWarehouse,2,FALSE)</f>
        <v>84</v>
      </c>
      <c r="T9" s="12">
        <f t="shared" si="8"/>
        <v>0</v>
      </c>
      <c r="U9" s="12">
        <f>((UserBuildings!$M11+1)^2)*Static!$O29</f>
        <v>73960000000</v>
      </c>
      <c r="V9" s="12"/>
      <c r="W9" s="12"/>
      <c r="X9" s="12"/>
      <c r="Y9" s="12"/>
      <c r="Z9" s="12"/>
      <c r="AA9" s="12"/>
      <c r="AB9" s="12"/>
      <c r="AC9" s="12"/>
      <c r="AD9" s="12"/>
      <c r="AE9" s="12"/>
    </row>
    <row r="10" spans="1:31" ht="15.75" customHeight="1">
      <c r="A10" s="12"/>
      <c r="B10" s="12" t="s">
        <v>759</v>
      </c>
      <c r="C10" s="107">
        <f t="shared" ca="1" si="4"/>
        <v>3116.2376932034726</v>
      </c>
      <c r="D10" s="107">
        <f t="shared" ca="1" si="0"/>
        <v>3272.0495778636455</v>
      </c>
      <c r="E10" s="108">
        <f ca="1">H10*(1.15-UserBuildings!$T$16*0.01)</f>
        <v>482161372874.99994</v>
      </c>
      <c r="F10" s="12">
        <f t="shared" ca="1" si="1"/>
        <v>147357600</v>
      </c>
      <c r="G10" s="12">
        <f ca="1">Static!E11*'Supply Chain'!N40</f>
        <v>6139900</v>
      </c>
      <c r="H10" s="12">
        <f ca="1">(I10*'Supply Chain'!L36)+(M10*'Supply Chain'!L34)+(Q10*'Supply Chain'!L39)+U10+SUM(L10,P10,T10)</f>
        <v>459201307500</v>
      </c>
      <c r="I10" s="12">
        <f>((UserBuildings!$M12+1)^2)*Static!$O30</f>
        <v>3042000</v>
      </c>
      <c r="J10" s="12">
        <f t="shared" si="2"/>
        <v>25</v>
      </c>
      <c r="K10" s="109">
        <f>VLOOKUP("Steel",TblUserWarehouse,2,FALSE)</f>
        <v>64</v>
      </c>
      <c r="L10" s="12">
        <f t="shared" si="3"/>
        <v>0</v>
      </c>
      <c r="M10" s="12">
        <f>((UserBuildings!$M12+1)^2)*Static!$O31</f>
        <v>38025000</v>
      </c>
      <c r="N10" s="12">
        <f t="shared" si="5"/>
        <v>88</v>
      </c>
      <c r="O10" s="109">
        <f t="shared" si="9"/>
        <v>156</v>
      </c>
      <c r="P10" s="12">
        <f t="shared" si="6"/>
        <v>0</v>
      </c>
      <c r="Q10" s="12">
        <f>((UserBuildings!$M12+1)^2)*Static!$O32</f>
        <v>760500</v>
      </c>
      <c r="R10" s="12">
        <f t="shared" si="7"/>
        <v>13</v>
      </c>
      <c r="S10" s="109">
        <f>VLOOKUP("Copper",TblUserWarehouse,2,FALSE)</f>
        <v>35</v>
      </c>
      <c r="T10" s="12">
        <f t="shared" si="8"/>
        <v>0</v>
      </c>
      <c r="U10" s="12">
        <f>((UserBuildings!$M12+1)^2)*Static!$O33</f>
        <v>45630000000</v>
      </c>
      <c r="V10" s="12"/>
      <c r="W10" s="12"/>
      <c r="X10" s="12"/>
      <c r="Y10" s="12"/>
      <c r="Z10" s="12"/>
      <c r="AA10" s="12"/>
      <c r="AB10" s="12"/>
      <c r="AC10" s="12"/>
      <c r="AD10" s="12"/>
      <c r="AE10" s="12"/>
    </row>
    <row r="11" spans="1:31" ht="15.75" customHeight="1">
      <c r="A11" s="12"/>
      <c r="B11" s="12" t="s">
        <v>760</v>
      </c>
      <c r="C11" s="107">
        <f t="shared" ca="1" si="4"/>
        <v>1278.4534926503868</v>
      </c>
      <c r="D11" s="107">
        <f t="shared" ca="1" si="0"/>
        <v>1342.376167282906</v>
      </c>
      <c r="E11" s="108">
        <f ca="1">H11*(1.15-UserBuildings!$T$16*0.01)</f>
        <v>854168775074.99988</v>
      </c>
      <c r="F11" s="12">
        <f t="shared" ca="1" si="1"/>
        <v>636311040</v>
      </c>
      <c r="G11" s="12">
        <f ca="1">Static!E12*'Supply Chain'!N41</f>
        <v>26512960</v>
      </c>
      <c r="H11" s="12">
        <f ca="1">(I11*'Supply Chain'!L36)+(M11*'Supply Chain'!L34)+(Q11*'Supply Chain'!L38)+U11+SUM(L11,P11,T11)</f>
        <v>813494071500</v>
      </c>
      <c r="I11" s="12">
        <f>((UserBuildings!$M13+1)^2)*Static!$O34</f>
        <v>5522500</v>
      </c>
      <c r="J11" s="12">
        <f t="shared" si="2"/>
        <v>34</v>
      </c>
      <c r="K11" s="109">
        <f>VLOOKUP("Steel",TblUserWarehouse,2,FALSE)</f>
        <v>64</v>
      </c>
      <c r="L11" s="12">
        <f t="shared" si="3"/>
        <v>0</v>
      </c>
      <c r="M11" s="12">
        <f>((UserBuildings!$M13+1)^2)*Static!$O35</f>
        <v>55225000</v>
      </c>
      <c r="N11" s="12">
        <f t="shared" si="5"/>
        <v>106</v>
      </c>
      <c r="O11" s="109">
        <f t="shared" si="9"/>
        <v>156</v>
      </c>
      <c r="P11" s="12">
        <f t="shared" si="6"/>
        <v>0</v>
      </c>
      <c r="Q11" s="12">
        <f>((UserBuildings!$M13+1)^2)*Static!$O36</f>
        <v>3313500</v>
      </c>
      <c r="R11" s="12">
        <f t="shared" si="7"/>
        <v>26</v>
      </c>
      <c r="S11" s="109">
        <f>VLOOKUP("Glass",TblUserWarehouse,2,FALSE)</f>
        <v>84</v>
      </c>
      <c r="T11" s="12">
        <f t="shared" si="8"/>
        <v>0</v>
      </c>
      <c r="U11" s="12">
        <f>((UserBuildings!$M13+1)^2)*Static!$O37</f>
        <v>88360000000</v>
      </c>
      <c r="V11" s="12"/>
      <c r="W11" s="12"/>
      <c r="X11" s="12"/>
      <c r="Y11" s="12"/>
      <c r="Z11" s="12"/>
      <c r="AA11" s="12"/>
      <c r="AB11" s="12"/>
      <c r="AC11" s="12"/>
      <c r="AD11" s="12"/>
      <c r="AE11" s="12"/>
    </row>
    <row r="12" spans="1:31" ht="15.75" customHeight="1">
      <c r="A12" s="12"/>
      <c r="B12" s="12" t="s">
        <v>761</v>
      </c>
      <c r="C12" s="107">
        <f t="shared" ca="1" si="4"/>
        <v>2089.0571577638648</v>
      </c>
      <c r="D12" s="107">
        <f t="shared" ca="1" si="0"/>
        <v>2193.510015652058</v>
      </c>
      <c r="E12" s="108">
        <f ca="1">H12*(1.15-UserBuildings!$T$16*0.01)</f>
        <v>426816337499.99994</v>
      </c>
      <c r="F12" s="12">
        <f t="shared" ca="1" si="1"/>
        <v>194581440</v>
      </c>
      <c r="G12" s="12">
        <f ca="1">Static!E13*'Supply Chain'!N42</f>
        <v>8107560</v>
      </c>
      <c r="H12" s="12">
        <f ca="1">(I12*'Supply Chain'!L36)+(M12*'Supply Chain'!L34)+(Q12*'Supply Chain'!L41)+U12+SUM(L12,P12,T12)</f>
        <v>406491750000</v>
      </c>
      <c r="I12" s="12">
        <f>((UserBuildings!$M14+1)^2)*Static!$O38</f>
        <v>1764000</v>
      </c>
      <c r="J12" s="12">
        <f t="shared" si="2"/>
        <v>19</v>
      </c>
      <c r="K12" s="109">
        <f>VLOOKUP("Steel",TblUserWarehouse,2,FALSE)</f>
        <v>64</v>
      </c>
      <c r="L12" s="12">
        <f t="shared" si="3"/>
        <v>0</v>
      </c>
      <c r="M12" s="12">
        <f>((UserBuildings!$M14+1)^2)*Static!$O39</f>
        <v>28224000</v>
      </c>
      <c r="N12" s="12">
        <f t="shared" si="5"/>
        <v>76</v>
      </c>
      <c r="O12" s="109">
        <f t="shared" si="9"/>
        <v>156</v>
      </c>
      <c r="P12" s="12">
        <f t="shared" si="6"/>
        <v>0</v>
      </c>
      <c r="Q12" s="12">
        <f>((UserBuildings!$M14+1)^2)*Static!$O40</f>
        <v>882000</v>
      </c>
      <c r="R12" s="12">
        <f t="shared" si="7"/>
        <v>14</v>
      </c>
      <c r="S12" s="109">
        <f>VLOOKUP("Aluminium",TblUserWarehouse,2,FALSE)</f>
        <v>69</v>
      </c>
      <c r="T12" s="12">
        <f t="shared" si="8"/>
        <v>0</v>
      </c>
      <c r="U12" s="12">
        <f>((UserBuildings!$M14+1)^2)*Static!$O41</f>
        <v>88200000000</v>
      </c>
      <c r="V12" s="12"/>
      <c r="W12" s="12"/>
      <c r="X12" s="12"/>
      <c r="Y12" s="12"/>
      <c r="Z12" s="12"/>
      <c r="AA12" s="12"/>
      <c r="AB12" s="12"/>
      <c r="AC12" s="12"/>
      <c r="AD12" s="12"/>
      <c r="AE12" s="12"/>
    </row>
    <row r="13" spans="1:31" ht="15.75" customHeight="1">
      <c r="A13" s="12"/>
      <c r="B13" s="12" t="s">
        <v>762</v>
      </c>
      <c r="C13" s="107">
        <f t="shared" ca="1" si="4"/>
        <v>3051.5747808336523</v>
      </c>
      <c r="D13" s="107">
        <f t="shared" ca="1" si="0"/>
        <v>3204.153519875335</v>
      </c>
      <c r="E13" s="108">
        <f ca="1">H13*(1.15-UserBuildings!$T$16*0.01)</f>
        <v>1054813747049.9999</v>
      </c>
      <c r="F13" s="12">
        <f t="shared" ca="1" si="1"/>
        <v>329202000</v>
      </c>
      <c r="G13" s="12">
        <f ca="1">Static!E14*'Supply Chain'!N43</f>
        <v>13716750</v>
      </c>
      <c r="H13" s="12">
        <f ca="1">(I13*'Supply Chain'!L36)+(M13*'Supply Chain'!L34)+(Q13*'Supply Chain'!L38)+U13+SUM(L13,P13,T13)</f>
        <v>1004584521000</v>
      </c>
      <c r="I13" s="12">
        <f>((UserBuildings!$M15+1)^2)*Static!$O42</f>
        <v>13690000</v>
      </c>
      <c r="J13" s="12">
        <f t="shared" si="2"/>
        <v>53</v>
      </c>
      <c r="K13" s="109">
        <f>VLOOKUP("Steel",TblUserWarehouse,2,FALSE)</f>
        <v>64</v>
      </c>
      <c r="L13" s="12">
        <f t="shared" si="3"/>
        <v>0</v>
      </c>
      <c r="M13" s="12">
        <f>((UserBuildings!$M15+1)^2)*Static!$O43</f>
        <v>34225000</v>
      </c>
      <c r="N13" s="12">
        <f t="shared" si="5"/>
        <v>83</v>
      </c>
      <c r="O13" s="109">
        <f t="shared" si="9"/>
        <v>156</v>
      </c>
      <c r="P13" s="12">
        <f t="shared" si="6"/>
        <v>0</v>
      </c>
      <c r="Q13" s="12">
        <f>((UserBuildings!$M15+1)^2)*Static!$O44</f>
        <v>1369000</v>
      </c>
      <c r="R13" s="12">
        <f t="shared" si="7"/>
        <v>17</v>
      </c>
      <c r="S13" s="109">
        <f t="shared" ref="S13:S18" si="10">VLOOKUP("Glass",TblUserWarehouse,2,FALSE)</f>
        <v>84</v>
      </c>
      <c r="T13" s="12">
        <f t="shared" si="8"/>
        <v>0</v>
      </c>
      <c r="U13" s="12">
        <f>((UserBuildings!$M15+1)^2)*Static!$O45</f>
        <v>82140000000</v>
      </c>
      <c r="V13" s="12"/>
      <c r="W13" s="12"/>
      <c r="X13" s="12"/>
      <c r="Y13" s="12"/>
      <c r="Z13" s="12"/>
      <c r="AA13" s="12"/>
      <c r="AB13" s="12"/>
      <c r="AC13" s="12"/>
      <c r="AD13" s="12"/>
      <c r="AE13" s="12"/>
    </row>
    <row r="14" spans="1:31" ht="15.75" customHeight="1">
      <c r="A14" s="12"/>
      <c r="B14" s="12" t="s">
        <v>763</v>
      </c>
      <c r="C14" s="107">
        <f t="shared" ca="1" si="4"/>
        <v>1468.6734512487781</v>
      </c>
      <c r="D14" s="107">
        <f t="shared" ca="1" si="0"/>
        <v>1542.1071238112165</v>
      </c>
      <c r="E14" s="108">
        <f ca="1">H14*(1.15-UserBuildings!$T$16*0.01)</f>
        <v>499687120799.99994</v>
      </c>
      <c r="F14" s="12">
        <f t="shared" ca="1" si="1"/>
        <v>324028800</v>
      </c>
      <c r="G14" s="12">
        <f ca="1">Static!E15*'Supply Chain'!N44</f>
        <v>13501200</v>
      </c>
      <c r="H14" s="12">
        <f ca="1">(I14*'Supply Chain'!L41)+(M14*'Supply Chain'!L34)+(Q14*'Supply Chain'!L38)+U14+SUM(L14,P14,T14)</f>
        <v>475892496000</v>
      </c>
      <c r="I14" s="12">
        <f>((UserBuildings!$M16+1)^2)*Static!$O46</f>
        <v>3240000</v>
      </c>
      <c r="J14" s="12">
        <f t="shared" si="2"/>
        <v>26</v>
      </c>
      <c r="K14" s="109">
        <f>VLOOKUP("Aluminium",TblUserWarehouse,2,FALSE)</f>
        <v>69</v>
      </c>
      <c r="L14" s="12">
        <f t="shared" si="3"/>
        <v>0</v>
      </c>
      <c r="M14" s="12">
        <f>((UserBuildings!$M16+1)^2)*Static!$O47</f>
        <v>6480000</v>
      </c>
      <c r="N14" s="12">
        <f t="shared" si="5"/>
        <v>36</v>
      </c>
      <c r="O14" s="109">
        <f t="shared" si="9"/>
        <v>156</v>
      </c>
      <c r="P14" s="12">
        <f t="shared" si="6"/>
        <v>0</v>
      </c>
      <c r="Q14" s="12">
        <f>((UserBuildings!$M16+1)^2)*Static!$O48</f>
        <v>1944000</v>
      </c>
      <c r="R14" s="12">
        <f t="shared" si="7"/>
        <v>20</v>
      </c>
      <c r="S14" s="109">
        <f t="shared" si="10"/>
        <v>84</v>
      </c>
      <c r="T14" s="12">
        <f t="shared" si="8"/>
        <v>0</v>
      </c>
      <c r="U14" s="12">
        <f>((UserBuildings!$M16+1)^2)*Static!$O49</f>
        <v>32400000000</v>
      </c>
      <c r="V14" s="12"/>
      <c r="W14" s="12"/>
      <c r="X14" s="12"/>
      <c r="Y14" s="12"/>
      <c r="Z14" s="12"/>
      <c r="AA14" s="12"/>
      <c r="AB14" s="12"/>
      <c r="AC14" s="12"/>
      <c r="AD14" s="12"/>
      <c r="AE14" s="12"/>
    </row>
    <row r="15" spans="1:31" ht="15.75" customHeight="1">
      <c r="A15" s="12"/>
      <c r="B15" s="12" t="s">
        <v>764</v>
      </c>
      <c r="C15" s="107" t="e">
        <f t="shared" ca="1" si="4"/>
        <v>#N/A</v>
      </c>
      <c r="D15" s="107" t="e">
        <f t="shared" ca="1" si="0"/>
        <v>#N/A</v>
      </c>
      <c r="E15" s="108" t="e">
        <f ca="1">H15*(1.15-UserBuildings!$T$16*0.01)</f>
        <v>#N/A</v>
      </c>
      <c r="F15" s="12" t="e">
        <f t="shared" ca="1" si="1"/>
        <v>#N/A</v>
      </c>
      <c r="G15" s="12" t="e">
        <f ca="1">Static!E16*'Supply Chain'!N45</f>
        <v>#N/A</v>
      </c>
      <c r="H15" s="12" t="e">
        <f ca="1">(I15*'Supply Chain'!L33)+(M15*'Supply Chain'!L34)+(Q15*'Supply Chain'!L38)+U15+SUM(L15,P15,T15)</f>
        <v>#N/A</v>
      </c>
      <c r="I15" s="12">
        <f>((UserBuildings!$M17+1)^2)*Static!$O50</f>
        <v>220500000</v>
      </c>
      <c r="J15" s="12">
        <f t="shared" si="2"/>
        <v>210</v>
      </c>
      <c r="K15" s="109">
        <f>VLOOKUP("Bricks",TblUserWarehouse,2,FALSE)</f>
        <v>190</v>
      </c>
      <c r="L15" s="12">
        <f t="shared" si="3"/>
        <v>995837499999.99951</v>
      </c>
      <c r="M15" s="12">
        <f>((UserBuildings!$M17+1)^2)*Static!$O51</f>
        <v>22050000</v>
      </c>
      <c r="N15" s="12">
        <f t="shared" si="5"/>
        <v>67</v>
      </c>
      <c r="O15" s="109">
        <f t="shared" si="9"/>
        <v>156</v>
      </c>
      <c r="P15" s="12">
        <f t="shared" si="6"/>
        <v>0</v>
      </c>
      <c r="Q15" s="12">
        <f>((UserBuildings!$M17+1)^2)*Static!$O52</f>
        <v>4410000</v>
      </c>
      <c r="R15" s="12">
        <f t="shared" si="7"/>
        <v>30</v>
      </c>
      <c r="S15" s="109">
        <f t="shared" si="10"/>
        <v>84</v>
      </c>
      <c r="T15" s="12">
        <f t="shared" si="8"/>
        <v>0</v>
      </c>
      <c r="U15" s="12">
        <f>((UserBuildings!$M17+1)^2)*Static!$O53</f>
        <v>88200000000</v>
      </c>
      <c r="V15" s="3"/>
      <c r="W15" s="3"/>
      <c r="X15" s="3"/>
      <c r="Y15" s="3"/>
      <c r="Z15" s="3"/>
      <c r="AA15" s="3"/>
      <c r="AB15" s="3"/>
      <c r="AC15" s="3"/>
      <c r="AD15" s="3"/>
      <c r="AE15" s="3"/>
    </row>
    <row r="16" spans="1:31" ht="15.75" customHeight="1">
      <c r="A16" s="17"/>
      <c r="B16" s="17" t="s">
        <v>765</v>
      </c>
      <c r="C16" s="107">
        <f t="shared" ca="1" si="4"/>
        <v>472.13147697761656</v>
      </c>
      <c r="D16" s="107">
        <f t="shared" ca="1" si="0"/>
        <v>495.73805082649727</v>
      </c>
      <c r="E16" s="108">
        <f ca="1">H16*(1.15-UserBuildings!$T$16*0.01)</f>
        <v>17317597499.999996</v>
      </c>
      <c r="F16" s="12">
        <f t="shared" ca="1" si="1"/>
        <v>34932960</v>
      </c>
      <c r="G16" s="12">
        <f ca="1">Static!E17*'Supply Chain'!N46</f>
        <v>1455540</v>
      </c>
      <c r="H16" s="12">
        <f ca="1">(I16*'Supply Chain'!L36)+(M16*'Supply Chain'!L34)+(Q16*'Supply Chain'!L38)+U16+SUM(L16,P16,T16)</f>
        <v>16492950000</v>
      </c>
      <c r="I16" s="12">
        <f>((UserBuildings!$M18+1)^2)*Static!$O54</f>
        <v>43200</v>
      </c>
      <c r="J16" s="12">
        <f t="shared" si="2"/>
        <v>3</v>
      </c>
      <c r="K16" s="109">
        <f>VLOOKUP("Steel",TblUserWarehouse,2,FALSE)</f>
        <v>64</v>
      </c>
      <c r="L16" s="12">
        <f t="shared" si="3"/>
        <v>0</v>
      </c>
      <c r="M16" s="12">
        <f>((UserBuildings!$M18+1)^2)*Static!$O55</f>
        <v>720000</v>
      </c>
      <c r="N16" s="12">
        <f t="shared" si="5"/>
        <v>12</v>
      </c>
      <c r="O16" s="109">
        <f t="shared" si="9"/>
        <v>156</v>
      </c>
      <c r="P16" s="12">
        <f t="shared" si="6"/>
        <v>0</v>
      </c>
      <c r="Q16" s="12">
        <f>((UserBuildings!$M18+1)^2)*Static!$O56</f>
        <v>54000</v>
      </c>
      <c r="R16" s="12">
        <f t="shared" si="7"/>
        <v>4</v>
      </c>
      <c r="S16" s="109">
        <f t="shared" si="10"/>
        <v>84</v>
      </c>
      <c r="T16" s="12">
        <f t="shared" si="8"/>
        <v>0</v>
      </c>
      <c r="U16" s="12">
        <f>((UserBuildings!$M18+1)^2)*Static!$O57</f>
        <v>7920000000</v>
      </c>
      <c r="V16" s="12"/>
      <c r="W16" s="12"/>
      <c r="X16" s="12"/>
      <c r="Y16" s="12"/>
      <c r="Z16" s="12"/>
      <c r="AA16" s="12"/>
      <c r="AB16" s="12"/>
      <c r="AC16" s="12"/>
      <c r="AD16" s="12"/>
      <c r="AE16" s="12"/>
    </row>
    <row r="17" spans="1:31" ht="15.75" customHeight="1">
      <c r="A17" s="12"/>
      <c r="B17" s="111" t="s">
        <v>766</v>
      </c>
      <c r="C17" s="107">
        <f t="shared" ca="1" si="4"/>
        <v>8422.0071692071542</v>
      </c>
      <c r="D17" s="107">
        <f t="shared" ca="1" si="0"/>
        <v>8843.1075276675092</v>
      </c>
      <c r="E17" s="108">
        <f ca="1">H17*(1.15-UserBuildings!$T$16*0.01)</f>
        <v>1295997732749.9998</v>
      </c>
      <c r="F17" s="12">
        <f t="shared" ca="1" si="1"/>
        <v>146554560</v>
      </c>
      <c r="G17" s="12">
        <f ca="1">Static!E18*'Supply Chain'!N47</f>
        <v>6106440</v>
      </c>
      <c r="H17" s="12">
        <f ca="1">(I17*'Supply Chain'!L41)+(M17*'Supply Chain'!L34)+(Q17*'Supply Chain'!L38)+U17+SUM(L17,P17,T17)</f>
        <v>1234283555000</v>
      </c>
      <c r="I17" s="12">
        <f>((UserBuildings!$M19+1)^2)*Static!$O58</f>
        <v>1369000</v>
      </c>
      <c r="J17" s="12">
        <f t="shared" si="2"/>
        <v>17</v>
      </c>
      <c r="K17" s="109">
        <f>VLOOKUP("Aluminium",TblUserWarehouse,2,FALSE)</f>
        <v>69</v>
      </c>
      <c r="L17" s="12">
        <f t="shared" si="3"/>
        <v>0</v>
      </c>
      <c r="M17" s="12">
        <f>((UserBuildings!$M19+1)^2)*Static!$O59</f>
        <v>27380000</v>
      </c>
      <c r="N17" s="12">
        <f t="shared" si="5"/>
        <v>74</v>
      </c>
      <c r="O17" s="109">
        <f t="shared" si="9"/>
        <v>156</v>
      </c>
      <c r="P17" s="12">
        <f t="shared" si="6"/>
        <v>0</v>
      </c>
      <c r="Q17" s="12">
        <f>((UserBuildings!$M19+1)^2)*Static!$O60</f>
        <v>10952000</v>
      </c>
      <c r="R17" s="12">
        <f t="shared" si="7"/>
        <v>47</v>
      </c>
      <c r="S17" s="109">
        <f t="shared" si="10"/>
        <v>84</v>
      </c>
      <c r="T17" s="12">
        <f t="shared" si="8"/>
        <v>0</v>
      </c>
      <c r="U17" s="12">
        <f>((UserBuildings!$M19+1)^2)*Static!$O61</f>
        <v>410700000000</v>
      </c>
      <c r="V17" s="17"/>
      <c r="W17" s="17"/>
      <c r="X17" s="17"/>
      <c r="Y17" s="17"/>
      <c r="Z17" s="17"/>
      <c r="AA17" s="17"/>
      <c r="AB17" s="17"/>
      <c r="AC17" s="17"/>
      <c r="AD17" s="17"/>
      <c r="AE17" s="17"/>
    </row>
    <row r="18" spans="1:31" ht="15.75" customHeight="1">
      <c r="A18" s="12"/>
      <c r="B18" s="111" t="s">
        <v>767</v>
      </c>
      <c r="C18" s="107">
        <f t="shared" ca="1" si="4"/>
        <v>2125.1939405918088</v>
      </c>
      <c r="D18" s="107">
        <f t="shared" ca="1" si="0"/>
        <v>2231.4536376213987</v>
      </c>
      <c r="E18" s="108">
        <f ca="1">H18*(1.15-UserBuildings!$T$16*0.01)</f>
        <v>571726270499.99988</v>
      </c>
      <c r="F18" s="12">
        <f t="shared" ca="1" si="1"/>
        <v>256212480</v>
      </c>
      <c r="G18" s="12">
        <f ca="1">Static!E19*'Supply Chain'!N48</f>
        <v>10675520</v>
      </c>
      <c r="H18" s="12">
        <f ca="1">(I18*'Supply Chain'!L36)+(M18*'Supply Chain'!L34)+(Q18*'Supply Chain'!L38)+U18+SUM(L18,P18,T18)</f>
        <v>544501210000</v>
      </c>
      <c r="I18" s="12">
        <f>((UserBuildings!$M20+1)^2)*Static!$O62</f>
        <v>4840000</v>
      </c>
      <c r="J18" s="12">
        <f t="shared" si="2"/>
        <v>32</v>
      </c>
      <c r="K18" s="109">
        <f>VLOOKUP("Steel",TblUserWarehouse,2,FALSE)</f>
        <v>64</v>
      </c>
      <c r="L18" s="12">
        <f t="shared" si="3"/>
        <v>0</v>
      </c>
      <c r="M18" s="12">
        <f>((UserBuildings!$M20+1)^2)*Static!$O63</f>
        <v>14520000</v>
      </c>
      <c r="N18" s="12">
        <f t="shared" si="5"/>
        <v>54</v>
      </c>
      <c r="O18" s="109">
        <f t="shared" si="9"/>
        <v>156</v>
      </c>
      <c r="P18" s="12">
        <f t="shared" si="6"/>
        <v>0</v>
      </c>
      <c r="Q18" s="12">
        <f>((UserBuildings!$M20+1)^2)*Static!$O64</f>
        <v>1210000</v>
      </c>
      <c r="R18" s="12">
        <f t="shared" si="7"/>
        <v>16</v>
      </c>
      <c r="S18" s="109">
        <f t="shared" si="10"/>
        <v>84</v>
      </c>
      <c r="T18" s="12">
        <f t="shared" si="8"/>
        <v>0</v>
      </c>
      <c r="U18" s="12">
        <f>((UserBuildings!$M20+1)^2)*Static!$O65</f>
        <v>169400000000</v>
      </c>
      <c r="V18" s="12"/>
      <c r="W18" s="12"/>
      <c r="X18" s="12"/>
      <c r="Y18" s="12"/>
      <c r="Z18" s="12"/>
      <c r="AA18" s="12"/>
      <c r="AB18" s="12"/>
      <c r="AC18" s="12"/>
      <c r="AD18" s="12"/>
      <c r="AE18" s="12"/>
    </row>
    <row r="19" spans="1:31" ht="15.75" customHeight="1">
      <c r="A19" s="12"/>
      <c r="B19" s="111" t="s">
        <v>768</v>
      </c>
      <c r="C19" s="107">
        <f t="shared" ca="1" si="4"/>
        <v>827.75419221492086</v>
      </c>
      <c r="D19" s="107">
        <f t="shared" ca="1" si="0"/>
        <v>869.14190182566688</v>
      </c>
      <c r="E19" s="108">
        <f ca="1">H19*(1.15-UserBuildings!$T$16*0.01)</f>
        <v>1184427089999.9998</v>
      </c>
      <c r="F19" s="12">
        <f t="shared" ca="1" si="1"/>
        <v>1362754560</v>
      </c>
      <c r="G19" s="12">
        <f ca="1">Static!E20*'Supply Chain'!N49</f>
        <v>56781440</v>
      </c>
      <c r="H19" s="12">
        <f ca="1">(I19*'Supply Chain'!L36)+(M19*'Supply Chain'!L34)+(Q19*'Supply Chain'!L42)+U19+SUM(L19,P19,T19)</f>
        <v>1128025800000</v>
      </c>
      <c r="I19" s="12">
        <f>((UserBuildings!$M21+1)^2)*Static!$O66</f>
        <v>8550000</v>
      </c>
      <c r="J19" s="12">
        <f t="shared" si="2"/>
        <v>42</v>
      </c>
      <c r="K19" s="109">
        <f>VLOOKUP("Steel",TblUserWarehouse,2,FALSE)</f>
        <v>64</v>
      </c>
      <c r="L19" s="12">
        <f t="shared" si="3"/>
        <v>0</v>
      </c>
      <c r="M19" s="12">
        <f>((UserBuildings!$M21+1)^2)*Static!$O67</f>
        <v>36000000</v>
      </c>
      <c r="N19" s="12">
        <f t="shared" si="5"/>
        <v>85</v>
      </c>
      <c r="O19" s="109">
        <f t="shared" si="9"/>
        <v>156</v>
      </c>
      <c r="P19" s="12">
        <f t="shared" si="6"/>
        <v>0</v>
      </c>
      <c r="Q19" s="12">
        <f>((UserBuildings!$M21+1)^2)*Static!$O68</f>
        <v>14400000</v>
      </c>
      <c r="R19" s="12">
        <f t="shared" si="7"/>
        <v>54</v>
      </c>
      <c r="S19" s="109">
        <f>VLOOKUP("Plastics",TblUserWarehouse,2,FALSE)</f>
        <v>59</v>
      </c>
      <c r="T19" s="12">
        <f t="shared" si="8"/>
        <v>0</v>
      </c>
      <c r="U19" s="12">
        <f>((UserBuildings!$M21+1)^2)*Static!$O69</f>
        <v>450000000000</v>
      </c>
      <c r="V19" s="12"/>
      <c r="W19" s="12"/>
      <c r="X19" s="12"/>
      <c r="Y19" s="12"/>
      <c r="Z19" s="3"/>
      <c r="AB19" s="12"/>
      <c r="AC19" s="12"/>
      <c r="AD19" s="12"/>
      <c r="AE19" s="12"/>
    </row>
    <row r="20" spans="1:31" ht="15.75" customHeight="1">
      <c r="A20" s="12"/>
      <c r="B20" s="111" t="s">
        <v>769</v>
      </c>
      <c r="C20" s="107">
        <f t="shared" ca="1" si="4"/>
        <v>3464.173477176173</v>
      </c>
      <c r="D20" s="107">
        <f t="shared" ca="1" si="0"/>
        <v>3637.3821510349808</v>
      </c>
      <c r="E20" s="108">
        <f ca="1">H20*(1.15-UserBuildings!$T$16*0.01)</f>
        <v>310142407574.99994</v>
      </c>
      <c r="F20" s="12">
        <f t="shared" ca="1" si="1"/>
        <v>85265280</v>
      </c>
      <c r="G20" s="12">
        <f ca="1">Static!E21*'Supply Chain'!N50</f>
        <v>3552720</v>
      </c>
      <c r="H20" s="12">
        <f ca="1">(I20*'Supply Chain'!L36)+(M20*'Supply Chain'!L34)+(Q20*'Supply Chain'!L38)+U20+SUM(L20,P20,T20)</f>
        <v>295373721500</v>
      </c>
      <c r="I20" s="12">
        <f>((UserBuildings!$M22+1)^2)*Static!$O70</f>
        <v>2535000</v>
      </c>
      <c r="J20" s="12">
        <f t="shared" si="2"/>
        <v>23</v>
      </c>
      <c r="K20" s="109">
        <f>VLOOKUP("Steel",TblUserWarehouse,2,FALSE)</f>
        <v>64</v>
      </c>
      <c r="L20" s="12">
        <f t="shared" si="3"/>
        <v>0</v>
      </c>
      <c r="M20" s="12">
        <f>((UserBuildings!$M22+1)^2)*Static!$O71</f>
        <v>5915000</v>
      </c>
      <c r="N20" s="12">
        <f t="shared" si="5"/>
        <v>35</v>
      </c>
      <c r="O20" s="109">
        <f t="shared" si="9"/>
        <v>156</v>
      </c>
      <c r="P20" s="12">
        <f t="shared" si="6"/>
        <v>0</v>
      </c>
      <c r="Q20" s="12">
        <f>((UserBuildings!$M22+1)^2)*Static!$O72</f>
        <v>253500</v>
      </c>
      <c r="R20" s="12">
        <f t="shared" si="7"/>
        <v>8</v>
      </c>
      <c r="S20" s="109">
        <f>VLOOKUP("Glass",TblUserWarehouse,2,FALSE)</f>
        <v>84</v>
      </c>
      <c r="T20" s="12">
        <f t="shared" si="8"/>
        <v>0</v>
      </c>
      <c r="U20" s="12">
        <f>((UserBuildings!$M22+1)^2)*Static!$O73</f>
        <v>126750000000</v>
      </c>
      <c r="V20" s="12"/>
      <c r="W20" s="12"/>
      <c r="X20" s="12"/>
      <c r="Y20" s="12"/>
      <c r="Z20" s="12"/>
      <c r="AA20" s="12"/>
      <c r="AB20" s="12"/>
      <c r="AC20" s="12"/>
      <c r="AD20" s="12"/>
      <c r="AE20" s="12"/>
    </row>
    <row r="21" spans="1:31" ht="15.75" customHeight="1">
      <c r="A21" s="12"/>
      <c r="B21" s="111" t="s">
        <v>770</v>
      </c>
      <c r="C21" s="107">
        <f t="shared" ca="1" si="4"/>
        <v>5262.8842488323062</v>
      </c>
      <c r="D21" s="107">
        <f t="shared" ca="1" si="0"/>
        <v>5526.0284612739206</v>
      </c>
      <c r="E21" s="108">
        <f ca="1">H21*(1.15-UserBuildings!$T$16*0.01)</f>
        <v>1573438019999.9998</v>
      </c>
      <c r="F21" s="12">
        <f t="shared" ca="1" si="1"/>
        <v>284732160</v>
      </c>
      <c r="G21" s="12">
        <f ca="1">Static!E22*'Supply Chain'!N51</f>
        <v>11863840</v>
      </c>
      <c r="H21" s="12">
        <f ca="1">(I21*'Supply Chain'!L36)+(M21*'Supply Chain'!L34)+(Q21*'Supply Chain'!L38)+U21+SUM(L21,P21,T21)</f>
        <v>1498512400000</v>
      </c>
      <c r="I21" s="12">
        <f>((UserBuildings!$M23+1)^2)*Static!$O74</f>
        <v>9680000</v>
      </c>
      <c r="J21" s="12">
        <f t="shared" si="2"/>
        <v>44</v>
      </c>
      <c r="K21" s="109">
        <f>VLOOKUP("Steel",TblUserWarehouse,2,FALSE)</f>
        <v>64</v>
      </c>
      <c r="L21" s="12">
        <f t="shared" si="3"/>
        <v>0</v>
      </c>
      <c r="M21" s="12">
        <f>((UserBuildings!$M23+1)^2)*Static!$O75</f>
        <v>9680000</v>
      </c>
      <c r="N21" s="12">
        <f t="shared" si="5"/>
        <v>44</v>
      </c>
      <c r="O21" s="109">
        <f t="shared" si="9"/>
        <v>156</v>
      </c>
      <c r="P21" s="12">
        <f t="shared" si="6"/>
        <v>0</v>
      </c>
      <c r="Q21" s="12">
        <f>((UserBuildings!$M23+1)^2)*Static!$O76</f>
        <v>9680000</v>
      </c>
      <c r="R21" s="12">
        <f t="shared" si="7"/>
        <v>44</v>
      </c>
      <c r="S21" s="109">
        <f>VLOOKUP("Glass",TblUserWarehouse,2,FALSE)</f>
        <v>84</v>
      </c>
      <c r="T21" s="12">
        <f t="shared" si="8"/>
        <v>0</v>
      </c>
      <c r="U21" s="12">
        <f>((UserBuildings!$M23+1)^2)*Static!$O77</f>
        <v>484000000000</v>
      </c>
      <c r="V21" s="12"/>
      <c r="W21" s="12"/>
      <c r="X21" s="12"/>
      <c r="Y21" s="12"/>
      <c r="Z21" s="12"/>
      <c r="AA21" s="12"/>
      <c r="AB21" s="12"/>
      <c r="AC21" s="12"/>
      <c r="AD21" s="12"/>
      <c r="AE21" s="12"/>
    </row>
    <row r="22" spans="1:31" ht="15.75" customHeight="1">
      <c r="A22" s="12"/>
      <c r="B22" s="111" t="s">
        <v>163</v>
      </c>
      <c r="C22" s="107" t="e">
        <f t="shared" ca="1" si="4"/>
        <v>#N/A</v>
      </c>
      <c r="D22" s="107" t="e">
        <f t="shared" ca="1" si="0"/>
        <v>#N/A</v>
      </c>
      <c r="E22" s="108" t="e">
        <f ca="1">H22*(1.15-UserBuildings!$T$16*0.01)</f>
        <v>#N/A</v>
      </c>
      <c r="F22" s="12">
        <f t="shared" ca="1" si="1"/>
        <v>732945600</v>
      </c>
      <c r="G22" s="12">
        <f ca="1">Static!E23*'Supply Chain'!N52</f>
        <v>30539400</v>
      </c>
      <c r="H22" s="12" t="e">
        <f ca="1">(I22*'Supply Chain'!L33)+(M22*'Supply Chain'!L34)+(Q22*'Supply Chain'!L38)+U22+SUM(L22,P22,T22)</f>
        <v>#N/A</v>
      </c>
      <c r="I22" s="12">
        <f>((UserBuildings!$M24+1)^2)*Static!$O78</f>
        <v>216090000</v>
      </c>
      <c r="J22" s="12">
        <f t="shared" si="2"/>
        <v>208</v>
      </c>
      <c r="K22" s="109">
        <f>VLOOKUP("Bricks",TblUserWarehouse,2,FALSE)</f>
        <v>190</v>
      </c>
      <c r="L22" s="12">
        <f t="shared" si="3"/>
        <v>887156250000</v>
      </c>
      <c r="M22" s="12">
        <f>((UserBuildings!$M24+1)^2)*Static!$O79</f>
        <v>48020000</v>
      </c>
      <c r="N22" s="12">
        <f t="shared" si="5"/>
        <v>98</v>
      </c>
      <c r="O22" s="109">
        <f t="shared" si="9"/>
        <v>156</v>
      </c>
      <c r="P22" s="12">
        <f t="shared" si="6"/>
        <v>0</v>
      </c>
      <c r="Q22" s="12">
        <f>((UserBuildings!$M24+1)^2)*Static!$O80</f>
        <v>48020000</v>
      </c>
      <c r="R22" s="12">
        <f t="shared" si="7"/>
        <v>98</v>
      </c>
      <c r="S22" s="109">
        <f>VLOOKUP("Glass",TblUserWarehouse,2,FALSE)</f>
        <v>84</v>
      </c>
      <c r="T22" s="12">
        <f t="shared" si="8"/>
        <v>143613750000.00006</v>
      </c>
      <c r="U22" s="12">
        <f>((UserBuildings!$M24+1)^2)*Static!$O81</f>
        <v>1200500000000</v>
      </c>
      <c r="V22" s="12"/>
      <c r="W22" s="12"/>
      <c r="X22" s="12"/>
      <c r="Y22" s="12"/>
      <c r="Z22" s="12"/>
      <c r="AA22" s="12"/>
      <c r="AB22" s="12"/>
      <c r="AC22" s="12"/>
      <c r="AD22" s="12"/>
      <c r="AE22" s="12"/>
    </row>
    <row r="23" spans="1:31" ht="15.75" customHeight="1">
      <c r="A23" s="12"/>
      <c r="B23" s="111" t="s">
        <v>771</v>
      </c>
      <c r="C23" s="107" t="e">
        <f t="shared" ca="1" si="4"/>
        <v>#N/A</v>
      </c>
      <c r="D23" s="107" t="e">
        <f t="shared" ca="1" si="0"/>
        <v>#N/A</v>
      </c>
      <c r="E23" s="108" t="e">
        <f ca="1">H23*(1.15-UserBuildings!$T$16*0.01)</f>
        <v>#N/A</v>
      </c>
      <c r="F23" s="12">
        <f t="shared" ca="1" si="1"/>
        <v>395887008</v>
      </c>
      <c r="G23" s="12">
        <f ca="1">Static!E24*'Supply Chain'!N53</f>
        <v>16495292</v>
      </c>
      <c r="H23" s="12" t="e">
        <f ca="1">(I23*'Supply Chain'!L33)+(M23*'Supply Chain'!L34)+(Q23*'Supply Chain'!L42)+U23+SUM(L23,P23,T23)</f>
        <v>#N/A</v>
      </c>
      <c r="I23" s="12">
        <f>((UserBuildings!$M25+1)^2)*Static!$O82</f>
        <v>120000</v>
      </c>
      <c r="J23" s="12">
        <f t="shared" si="2"/>
        <v>5</v>
      </c>
      <c r="K23" s="109">
        <f>VLOOKUP("Plastics",TblUserWarehouse,2,FALSE)</f>
        <v>59</v>
      </c>
      <c r="L23" s="12">
        <f t="shared" si="3"/>
        <v>0</v>
      </c>
      <c r="M23" s="12">
        <f>((UserBuildings!$M25+1)^2)*Static!$O83</f>
        <v>80000</v>
      </c>
      <c r="N23" s="12">
        <f t="shared" si="5"/>
        <v>4</v>
      </c>
      <c r="O23" s="109">
        <f t="shared" si="9"/>
        <v>156</v>
      </c>
      <c r="P23" s="12">
        <f t="shared" si="6"/>
        <v>0</v>
      </c>
      <c r="Q23" s="12">
        <f>((UserBuildings!$M25+1)^2)*Static!$O84</f>
        <v>40000</v>
      </c>
      <c r="R23" s="12">
        <f t="shared" si="7"/>
        <v>3</v>
      </c>
      <c r="S23" s="109">
        <f>VLOOKUP("Glass",TblUserWarehouse,2,FALSE)</f>
        <v>84</v>
      </c>
      <c r="T23" s="12">
        <f t="shared" si="8"/>
        <v>0</v>
      </c>
      <c r="U23" s="12">
        <f>((UserBuildings!$M25+1)^2)*Static!$O85</f>
        <v>2000000000</v>
      </c>
      <c r="V23" s="12"/>
      <c r="W23" s="12"/>
      <c r="X23" s="12"/>
      <c r="Y23" s="12"/>
      <c r="Z23" s="12"/>
      <c r="AA23" s="12"/>
      <c r="AB23" s="12"/>
      <c r="AC23" s="12"/>
      <c r="AD23" s="12"/>
      <c r="AE23" s="12"/>
    </row>
    <row r="24" spans="1:31" ht="15.75" customHeight="1">
      <c r="A24" s="12"/>
      <c r="B24" s="111" t="s">
        <v>167</v>
      </c>
      <c r="C24" s="107" t="e">
        <f t="shared" ca="1" si="4"/>
        <v>#N/A</v>
      </c>
      <c r="D24" s="107" t="e">
        <f t="shared" ca="1" si="0"/>
        <v>#N/A</v>
      </c>
      <c r="E24" s="108" t="e">
        <f ca="1">H24*(1.15-UserBuildings!$T$16*0.01)</f>
        <v>#N/A</v>
      </c>
      <c r="F24" s="12">
        <f t="shared" ca="1" si="1"/>
        <v>109225200</v>
      </c>
      <c r="G24" s="12">
        <f ca="1">Static!E25*'Supply Chain'!N54</f>
        <v>4551050</v>
      </c>
      <c r="H24" s="12" t="e">
        <f ca="1">(I24*'Supply Chain'!L33)+(M24*'Supply Chain'!L50)+(Q24*'Supply Chain'!L47)+U24+SUM(L24,P24,T24)</f>
        <v>#N/A</v>
      </c>
      <c r="I24" s="12">
        <f>((UserBuildings!$M26+1)^2)*Static!$O86</f>
        <v>60500000</v>
      </c>
      <c r="J24" s="12">
        <f t="shared" si="2"/>
        <v>110</v>
      </c>
      <c r="K24" s="109">
        <f>VLOOKUP("Bricks",TblUserWarehouse,2,FALSE)</f>
        <v>190</v>
      </c>
      <c r="L24" s="12">
        <f t="shared" si="3"/>
        <v>0</v>
      </c>
      <c r="M24" s="12">
        <f>((UserBuildings!$M26+1)^2)*Static!$O87</f>
        <v>6050000</v>
      </c>
      <c r="N24" s="12">
        <f t="shared" si="5"/>
        <v>35</v>
      </c>
      <c r="O24" s="109">
        <f>VLOOKUP("Silver",TblUserWarehouse,2,FALSE)</f>
        <v>201</v>
      </c>
      <c r="P24" s="12">
        <f t="shared" si="6"/>
        <v>0</v>
      </c>
      <c r="Q24" s="12">
        <f>((UserBuildings!$M26+1)^2)*Static!$O88</f>
        <v>10890000</v>
      </c>
      <c r="R24" s="12">
        <f t="shared" si="7"/>
        <v>47</v>
      </c>
      <c r="S24" s="109">
        <f>VLOOKUP("Electronics",TblUserWarehouse,2,FALSE)</f>
        <v>50</v>
      </c>
      <c r="T24" s="12">
        <f t="shared" si="8"/>
        <v>0</v>
      </c>
      <c r="U24" s="12">
        <f>((UserBuildings!$M26+1)^2)*Static!$O89</f>
        <v>242000000000</v>
      </c>
      <c r="V24" s="12"/>
      <c r="W24" s="12"/>
      <c r="X24" s="12"/>
      <c r="Y24" s="12"/>
      <c r="Z24" s="12"/>
      <c r="AA24" s="12"/>
      <c r="AB24" s="12"/>
      <c r="AC24" s="12"/>
      <c r="AD24" s="12"/>
      <c r="AE24" s="12"/>
    </row>
    <row r="25" spans="1:31" ht="15.75" customHeight="1">
      <c r="A25" s="12"/>
      <c r="B25" s="111" t="s">
        <v>144</v>
      </c>
      <c r="C25" s="107" t="e">
        <f ca="1">SpecialBuildings!E2</f>
        <v>#N/A</v>
      </c>
      <c r="D25" s="107" t="e">
        <f ca="1">SpecialBuildings!C2</f>
        <v>#N/A</v>
      </c>
      <c r="E25" s="108"/>
      <c r="F25" s="12" t="s">
        <v>772</v>
      </c>
      <c r="G25" s="12"/>
      <c r="H25" s="12" t="s">
        <v>773</v>
      </c>
      <c r="I25" s="12"/>
      <c r="J25" s="12"/>
      <c r="K25" s="109"/>
      <c r="L25" s="12"/>
      <c r="M25" s="12"/>
      <c r="N25" s="12"/>
      <c r="O25" s="109"/>
      <c r="P25" s="12"/>
      <c r="Q25" s="12"/>
      <c r="R25" s="12"/>
      <c r="S25" s="109"/>
      <c r="T25" s="12"/>
      <c r="U25" s="12"/>
      <c r="V25" s="12"/>
      <c r="W25" s="12"/>
      <c r="X25" s="12"/>
      <c r="Y25" s="12"/>
      <c r="Z25" s="12"/>
      <c r="AA25" s="12"/>
      <c r="AB25" s="12"/>
      <c r="AC25" s="12"/>
      <c r="AD25" s="12"/>
      <c r="AE25" s="12"/>
    </row>
    <row r="26" spans="1:31" ht="15.75" customHeight="1">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row>
    <row r="27" spans="1:31" ht="15.75" customHeight="1">
      <c r="A27" s="12"/>
      <c r="B27" s="106" t="s">
        <v>774</v>
      </c>
      <c r="C27" s="52">
        <v>100</v>
      </c>
      <c r="D27" s="52">
        <v>150</v>
      </c>
      <c r="E27" s="52">
        <v>200</v>
      </c>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row>
    <row r="28" spans="1:31" ht="15.75" customHeight="1">
      <c r="A28" s="12"/>
      <c r="B28" s="12" t="s">
        <v>752</v>
      </c>
      <c r="C28" s="5" t="e">
        <f t="shared" ref="C28:E28" ca="1" si="11">$G3*24*C$27-$H3</f>
        <v>#N/A</v>
      </c>
      <c r="D28" s="5" t="e">
        <f t="shared" ca="1" si="11"/>
        <v>#N/A</v>
      </c>
      <c r="E28" s="5" t="e">
        <f t="shared" ca="1" si="11"/>
        <v>#N/A</v>
      </c>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row>
    <row r="29" spans="1:31" ht="15.75" customHeight="1">
      <c r="A29" s="12"/>
      <c r="B29" s="12" t="s">
        <v>754</v>
      </c>
      <c r="C29" s="5" t="e">
        <f t="shared" ref="C29:E29" ca="1" si="12">$G4*24*C$27-$H4</f>
        <v>#N/A</v>
      </c>
      <c r="D29" s="5" t="e">
        <f t="shared" ca="1" si="12"/>
        <v>#N/A</v>
      </c>
      <c r="E29" s="5" t="e">
        <f t="shared" ca="1" si="12"/>
        <v>#N/A</v>
      </c>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row>
    <row r="30" spans="1:31" ht="15.75" customHeight="1">
      <c r="A30" s="12"/>
      <c r="B30" s="12" t="s">
        <v>755</v>
      </c>
      <c r="C30" s="5" t="e">
        <f t="shared" ref="C30:E30" ca="1" si="13">$G5*24*C$27-$H5</f>
        <v>#N/A</v>
      </c>
      <c r="D30" s="5" t="e">
        <f t="shared" ca="1" si="13"/>
        <v>#N/A</v>
      </c>
      <c r="E30" s="5" t="e">
        <f t="shared" ca="1" si="13"/>
        <v>#N/A</v>
      </c>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row>
    <row r="31" spans="1:31" ht="15.75" customHeight="1">
      <c r="A31" s="12"/>
      <c r="B31" s="12" t="s">
        <v>113</v>
      </c>
      <c r="C31" s="5" t="e">
        <f t="shared" ref="C31:E31" ca="1" si="14">$G6*24*C$27-$H6</f>
        <v>#N/A</v>
      </c>
      <c r="D31" s="5" t="e">
        <f t="shared" ca="1" si="14"/>
        <v>#N/A</v>
      </c>
      <c r="E31" s="5" t="e">
        <f t="shared" ca="1" si="14"/>
        <v>#N/A</v>
      </c>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row>
    <row r="32" spans="1:31" ht="15.75" customHeight="1">
      <c r="A32" s="12"/>
      <c r="B32" s="12" t="s">
        <v>756</v>
      </c>
      <c r="C32" s="5">
        <f t="shared" ref="C32:E32" ca="1" si="15">$G7*24*C$27-$H7</f>
        <v>-477990656000</v>
      </c>
      <c r="D32" s="5">
        <f t="shared" ca="1" si="15"/>
        <v>-455321216000</v>
      </c>
      <c r="E32" s="5">
        <f t="shared" ca="1" si="15"/>
        <v>-432651776000</v>
      </c>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row>
    <row r="33" spans="1:31" ht="15.75" customHeight="1">
      <c r="A33" s="12"/>
      <c r="B33" s="12" t="s">
        <v>757</v>
      </c>
      <c r="C33" s="5" t="e">
        <f t="shared" ref="C33:E33" ca="1" si="16">$G8*24*C$27-$H8</f>
        <v>#N/A</v>
      </c>
      <c r="D33" s="5" t="e">
        <f t="shared" ca="1" si="16"/>
        <v>#N/A</v>
      </c>
      <c r="E33" s="5" t="e">
        <f t="shared" ca="1" si="16"/>
        <v>#N/A</v>
      </c>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row>
    <row r="34" spans="1:31" ht="15.75" customHeight="1">
      <c r="A34" s="12"/>
      <c r="B34" s="12" t="s">
        <v>758</v>
      </c>
      <c r="C34" s="5">
        <f t="shared" ref="C34:E34" ca="1" si="17">$G9*24*C$27-$H9</f>
        <v>-397601328500</v>
      </c>
      <c r="D34" s="5">
        <f t="shared" ca="1" si="17"/>
        <v>-370893792500</v>
      </c>
      <c r="E34" s="5">
        <f t="shared" ca="1" si="17"/>
        <v>-344186256500</v>
      </c>
      <c r="F34" s="12"/>
      <c r="G34" s="12"/>
      <c r="H34" s="12"/>
      <c r="I34" s="12"/>
      <c r="J34" s="12"/>
      <c r="K34" s="12"/>
      <c r="L34" s="12"/>
      <c r="M34" s="12"/>
      <c r="N34" s="12"/>
      <c r="O34" s="12"/>
      <c r="P34" s="12"/>
      <c r="Q34" s="12"/>
      <c r="R34" s="12"/>
      <c r="S34" s="12"/>
      <c r="T34" s="12"/>
      <c r="U34" s="12"/>
      <c r="V34" s="3"/>
      <c r="W34" s="3"/>
      <c r="X34" s="3"/>
      <c r="Y34" s="3"/>
      <c r="Z34" s="3"/>
      <c r="AA34" s="3"/>
      <c r="AB34" s="3"/>
      <c r="AC34" s="3"/>
      <c r="AD34" s="3"/>
      <c r="AE34" s="3"/>
    </row>
    <row r="35" spans="1:31" ht="15.75" customHeight="1">
      <c r="A35" s="12"/>
      <c r="B35" s="12" t="s">
        <v>759</v>
      </c>
      <c r="C35" s="5">
        <f t="shared" ref="C35:E35" ca="1" si="18">$G10*24*C$27-$H10</f>
        <v>-444465547500</v>
      </c>
      <c r="D35" s="5">
        <f t="shared" ca="1" si="18"/>
        <v>-437097667500</v>
      </c>
      <c r="E35" s="5">
        <f t="shared" ca="1" si="18"/>
        <v>-429729787500</v>
      </c>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row>
    <row r="36" spans="1:31" ht="15.75" customHeight="1">
      <c r="A36" s="12"/>
      <c r="B36" s="12" t="s">
        <v>760</v>
      </c>
      <c r="C36" s="5">
        <f t="shared" ref="C36:E36" ca="1" si="19">$G11*24*C$27-$H11</f>
        <v>-749862967500</v>
      </c>
      <c r="D36" s="5">
        <f t="shared" ca="1" si="19"/>
        <v>-718047415500</v>
      </c>
      <c r="E36" s="5">
        <f t="shared" ca="1" si="19"/>
        <v>-686231863500</v>
      </c>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row>
    <row r="37" spans="1:31" ht="15.75" customHeight="1">
      <c r="A37" s="12"/>
      <c r="B37" s="12" t="s">
        <v>761</v>
      </c>
      <c r="C37" s="5">
        <f t="shared" ref="C37:E37" ca="1" si="20">$G12*24*C$27-$H12</f>
        <v>-387033606000</v>
      </c>
      <c r="D37" s="5">
        <f t="shared" ca="1" si="20"/>
        <v>-377304534000</v>
      </c>
      <c r="E37" s="5">
        <f t="shared" ca="1" si="20"/>
        <v>-367575462000</v>
      </c>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row>
    <row r="38" spans="1:31" ht="15.75" customHeight="1">
      <c r="A38" s="12"/>
      <c r="B38" s="12" t="s">
        <v>762</v>
      </c>
      <c r="C38" s="5">
        <f t="shared" ref="C38:E38" ca="1" si="21">$G13*24*C$27-$H13</f>
        <v>-971664321000</v>
      </c>
      <c r="D38" s="5">
        <f t="shared" ca="1" si="21"/>
        <v>-955204221000</v>
      </c>
      <c r="E38" s="5">
        <f t="shared" ca="1" si="21"/>
        <v>-938744121000</v>
      </c>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row>
    <row r="39" spans="1:31" ht="15.75" customHeight="1">
      <c r="A39" s="12"/>
      <c r="B39" s="12" t="s">
        <v>763</v>
      </c>
      <c r="C39" s="5">
        <f t="shared" ref="C39:E39" ca="1" si="22">$G14*24*C$27-$H14</f>
        <v>-443489616000</v>
      </c>
      <c r="D39" s="5">
        <f t="shared" ca="1" si="22"/>
        <v>-427288176000</v>
      </c>
      <c r="E39" s="5">
        <f t="shared" ca="1" si="22"/>
        <v>-411086736000</v>
      </c>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row>
    <row r="40" spans="1:31" ht="15.75" customHeight="1">
      <c r="A40" s="12"/>
      <c r="B40" s="12" t="s">
        <v>764</v>
      </c>
      <c r="C40" s="5" t="e">
        <f t="shared" ref="C40:E40" ca="1" si="23">$G15*24*C$27-$H15</f>
        <v>#N/A</v>
      </c>
      <c r="D40" s="5" t="e">
        <f t="shared" ca="1" si="23"/>
        <v>#N/A</v>
      </c>
      <c r="E40" s="5" t="e">
        <f t="shared" ca="1" si="23"/>
        <v>#N/A</v>
      </c>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row>
    <row r="41" spans="1:31" ht="15.75" customHeight="1">
      <c r="A41" s="17"/>
      <c r="B41" s="17" t="s">
        <v>765</v>
      </c>
      <c r="C41" s="5">
        <f t="shared" ref="C41:E41" ca="1" si="24">$G16*24*C$27-$H16</f>
        <v>-12999654000</v>
      </c>
      <c r="D41" s="5">
        <f t="shared" ca="1" si="24"/>
        <v>-11253006000</v>
      </c>
      <c r="E41" s="5">
        <f t="shared" ca="1" si="24"/>
        <v>-9506358000</v>
      </c>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row>
    <row r="42" spans="1:31" ht="15.75" customHeight="1">
      <c r="A42" s="12"/>
      <c r="B42" s="111" t="s">
        <v>766</v>
      </c>
      <c r="C42" s="5">
        <f t="shared" ref="C42:E42" ca="1" si="25">$G17*24*C$27-$H17</f>
        <v>-1219628099000</v>
      </c>
      <c r="D42" s="5">
        <f t="shared" ca="1" si="25"/>
        <v>-1212300371000</v>
      </c>
      <c r="E42" s="5">
        <f t="shared" ca="1" si="25"/>
        <v>-1204972643000</v>
      </c>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row>
    <row r="43" spans="1:31" ht="15.75" customHeight="1">
      <c r="A43" s="12"/>
      <c r="B43" s="111" t="s">
        <v>767</v>
      </c>
      <c r="C43" s="5">
        <f t="shared" ref="C43:E43" ca="1" si="26">$G18*24*C$27-$H18</f>
        <v>-518879962000</v>
      </c>
      <c r="D43" s="5">
        <f t="shared" ca="1" si="26"/>
        <v>-506069338000</v>
      </c>
      <c r="E43" s="5">
        <f t="shared" ca="1" si="26"/>
        <v>-493258714000</v>
      </c>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row>
    <row r="44" spans="1:31" ht="15.75" customHeight="1">
      <c r="A44" s="12"/>
      <c r="B44" s="111" t="s">
        <v>768</v>
      </c>
      <c r="C44" s="5">
        <f t="shared" ref="C44:E44" ca="1" si="27">$G19*24*C$27-$H19</f>
        <v>-991750344000</v>
      </c>
      <c r="D44" s="5">
        <f t="shared" ca="1" si="27"/>
        <v>-923612616000</v>
      </c>
      <c r="E44" s="5">
        <f t="shared" ca="1" si="27"/>
        <v>-855474888000</v>
      </c>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row>
    <row r="45" spans="1:31" ht="15.75" customHeight="1">
      <c r="A45" s="12"/>
      <c r="B45" s="111" t="s">
        <v>769</v>
      </c>
      <c r="C45" s="5">
        <f t="shared" ref="C45:E45" ca="1" si="28">$G20*24*C$27-$H20</f>
        <v>-286847193500</v>
      </c>
      <c r="D45" s="5">
        <f t="shared" ca="1" si="28"/>
        <v>-282583929500</v>
      </c>
      <c r="E45" s="5">
        <f t="shared" ca="1" si="28"/>
        <v>-278320665500</v>
      </c>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row>
    <row r="46" spans="1:31" ht="15.75" customHeight="1">
      <c r="A46" s="12"/>
      <c r="B46" s="111" t="s">
        <v>770</v>
      </c>
      <c r="C46" s="5">
        <f t="shared" ref="C46:E46" ca="1" si="29">$G21*24*C$27-$H21</f>
        <v>-1470039184000</v>
      </c>
      <c r="D46" s="5">
        <f t="shared" ca="1" si="29"/>
        <v>-1455802576000</v>
      </c>
      <c r="E46" s="5">
        <f t="shared" ca="1" si="29"/>
        <v>-1441565968000</v>
      </c>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row>
    <row r="47" spans="1:31" ht="15.75" customHeight="1">
      <c r="A47" s="12"/>
      <c r="B47" s="111" t="s">
        <v>163</v>
      </c>
      <c r="C47" s="5" t="e">
        <f t="shared" ref="C47:E47" ca="1" si="30">$G22*24*C$27-$H22</f>
        <v>#N/A</v>
      </c>
      <c r="D47" s="5" t="e">
        <f t="shared" ca="1" si="30"/>
        <v>#N/A</v>
      </c>
      <c r="E47" s="5" t="e">
        <f t="shared" ca="1" si="30"/>
        <v>#N/A</v>
      </c>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row>
    <row r="48" spans="1:31" ht="15.75" customHeight="1">
      <c r="A48" s="12"/>
      <c r="B48" s="111" t="s">
        <v>771</v>
      </c>
      <c r="C48" s="5" t="e">
        <f t="shared" ref="C48:E48" ca="1" si="31">$G23*24*C$27-$H23</f>
        <v>#N/A</v>
      </c>
      <c r="D48" s="5" t="e">
        <f t="shared" ca="1" si="31"/>
        <v>#N/A</v>
      </c>
      <c r="E48" s="5" t="e">
        <f t="shared" ca="1" si="31"/>
        <v>#N/A</v>
      </c>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row>
    <row r="49" spans="1:31" ht="15.75" customHeight="1">
      <c r="A49" s="12"/>
      <c r="B49" s="111" t="s">
        <v>167</v>
      </c>
      <c r="C49" s="5" t="e">
        <f t="shared" ref="C49:E49" ca="1" si="32">$G24*24*C$27-$H24</f>
        <v>#N/A</v>
      </c>
      <c r="D49" s="5" t="e">
        <f t="shared" ca="1" si="32"/>
        <v>#N/A</v>
      </c>
      <c r="E49" s="5" t="e">
        <f t="shared" ca="1" si="32"/>
        <v>#N/A</v>
      </c>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row>
    <row r="50" spans="1:31" ht="15.75" customHeight="1">
      <c r="A50" s="12"/>
      <c r="B50" s="111"/>
      <c r="C50" s="111"/>
      <c r="D50" s="111"/>
      <c r="E50" s="111"/>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row>
    <row r="51" spans="1:31" ht="15.75" customHeight="1">
      <c r="A51" s="12"/>
      <c r="B51" s="111"/>
      <c r="C51" s="111"/>
      <c r="D51" s="111"/>
      <c r="E51" s="111"/>
      <c r="F51" s="12"/>
      <c r="G51" s="12"/>
      <c r="H51" s="12"/>
      <c r="I51" s="12"/>
      <c r="J51" s="12"/>
      <c r="K51" s="12"/>
      <c r="L51" s="12"/>
      <c r="M51" s="12"/>
      <c r="N51" s="12"/>
      <c r="O51" s="12"/>
      <c r="P51" s="12"/>
      <c r="Q51" s="12"/>
      <c r="R51" s="12"/>
      <c r="S51" s="12"/>
      <c r="T51" s="12"/>
      <c r="U51" s="12"/>
      <c r="V51" s="3"/>
      <c r="W51" s="3"/>
      <c r="X51" s="3"/>
      <c r="Y51" s="3"/>
      <c r="Z51" s="3"/>
      <c r="AA51" s="3"/>
      <c r="AB51" s="3"/>
      <c r="AC51" s="3"/>
      <c r="AD51" s="3"/>
      <c r="AE51" s="3"/>
    </row>
    <row r="52" spans="1:31" ht="15.75" customHeight="1">
      <c r="A52" s="12"/>
      <c r="B52" s="111"/>
      <c r="C52" s="111"/>
      <c r="D52" s="111"/>
      <c r="E52" s="111"/>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row>
    <row r="53" spans="1:31" ht="15.75" customHeight="1">
      <c r="A53" s="17"/>
      <c r="B53" s="112"/>
      <c r="C53" s="112"/>
      <c r="D53" s="112"/>
      <c r="E53" s="112"/>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row>
    <row r="54" spans="1:31" ht="15.75" customHeight="1">
      <c r="A54" s="12"/>
      <c r="B54" s="111"/>
      <c r="C54" s="111"/>
      <c r="D54" s="111"/>
      <c r="E54" s="111"/>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row>
    <row r="55" spans="1:31" ht="15.7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row>
    <row r="56" spans="1:31" ht="15.75" customHeight="1"/>
    <row r="57" spans="1:31" ht="15.75" customHeight="1"/>
    <row r="58" spans="1:31" ht="15.75" customHeight="1"/>
    <row r="59" spans="1:31" ht="15.75" customHeight="1"/>
    <row r="60" spans="1:31" ht="15.75" customHeight="1"/>
    <row r="61" spans="1:31" ht="15.75" customHeight="1"/>
    <row r="62" spans="1:31" ht="15.75" customHeight="1"/>
    <row r="63" spans="1:31" ht="15.75" customHeight="1"/>
    <row r="64" spans="1:3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53:E53">
    <cfRule type="containsText" dxfId="6" priority="1" operator="containsText" text="NO">
      <formula>NOT(ISERROR(SEARCH(("NO"),(B53))))</formula>
    </cfRule>
    <cfRule type="colorScale" priority="2">
      <colorScale>
        <cfvo type="min"/>
        <cfvo type="percentile" val="50"/>
        <cfvo type="max"/>
        <color rgb="FF57BB8A"/>
        <color rgb="FFFFD666"/>
        <color rgb="FFE67C73"/>
      </colorScale>
    </cfRule>
  </conditionalFormatting>
  <conditionalFormatting sqref="C3:C25">
    <cfRule type="containsText" dxfId="5" priority="3" operator="containsText" text="NO">
      <formula>NOT(ISERROR(SEARCH(("NO"),(C3))))</formula>
    </cfRule>
    <cfRule type="colorScale" priority="4">
      <colorScale>
        <cfvo type="min"/>
        <cfvo type="percentile" val="50"/>
        <cfvo type="max"/>
        <color rgb="FF57BB8A"/>
        <color rgb="FFFFD666"/>
        <color rgb="FFE67C73"/>
      </colorScale>
    </cfRule>
  </conditionalFormatting>
  <conditionalFormatting sqref="C28:C49">
    <cfRule type="colorScale" priority="8">
      <colorScale>
        <cfvo type="min"/>
        <cfvo type="percentile" val="50"/>
        <cfvo type="max"/>
        <color rgb="FFE67C73"/>
        <color rgb="FFFFD666"/>
        <color rgb="FF57BB8A"/>
      </colorScale>
    </cfRule>
  </conditionalFormatting>
  <conditionalFormatting sqref="C28:E49">
    <cfRule type="cellIs" dxfId="4" priority="7" operator="lessThanOrEqual">
      <formula>0</formula>
    </cfRule>
  </conditionalFormatting>
  <conditionalFormatting sqref="D3:D25">
    <cfRule type="colorScale" priority="5">
      <colorScale>
        <cfvo type="min"/>
        <cfvo type="percentile" val="50"/>
        <cfvo type="max"/>
        <color rgb="FF57BB8A"/>
        <color rgb="FFFFD666"/>
        <color rgb="FFE67C73"/>
      </colorScale>
    </cfRule>
    <cfRule type="containsText" dxfId="3" priority="6" operator="containsText" text="NO">
      <formula>NOT(ISERROR(SEARCH(("NO"),(D3))))</formula>
    </cfRule>
  </conditionalFormatting>
  <conditionalFormatting sqref="D28:D49">
    <cfRule type="colorScale" priority="9">
      <colorScale>
        <cfvo type="min"/>
        <cfvo type="percentile" val="50"/>
        <cfvo type="max"/>
        <color rgb="FFE67C73"/>
        <color rgb="FFFFD666"/>
        <color rgb="FF57BB8A"/>
      </colorScale>
    </cfRule>
  </conditionalFormatting>
  <conditionalFormatting sqref="E28:E49">
    <cfRule type="colorScale" priority="10">
      <colorScale>
        <cfvo type="min"/>
        <cfvo type="percentile" val="50"/>
        <cfvo type="max"/>
        <color rgb="FFE67C73"/>
        <color rgb="FFFFD666"/>
        <color rgb="FF57BB8A"/>
      </colorScale>
    </cfRule>
  </conditionalFormatting>
  <pageMargins left="0.7" right="0.7" top="0.78740157499999996" bottom="0.78740157499999996"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B1:O1000"/>
  <sheetViews>
    <sheetView workbookViewId="0"/>
  </sheetViews>
  <sheetFormatPr defaultColWidth="15.109375" defaultRowHeight="15" customHeight="1"/>
  <cols>
    <col min="1" max="1" width="3.77734375" customWidth="1"/>
    <col min="2" max="26" width="12.6640625" customWidth="1"/>
  </cols>
  <sheetData>
    <row r="1" spans="2:15" ht="15.75" customHeight="1">
      <c r="B1" s="3"/>
      <c r="C1" s="24"/>
      <c r="D1" s="3"/>
      <c r="E1" s="3"/>
      <c r="O1">
        <f ca="1">IFERROR(__xludf.DUMMYFUNCTION("if(AND($C$8=""ON"",UserBuildings!$C$2=1   ),importdata(B9),0)"),0)</f>
        <v>0</v>
      </c>
    </row>
    <row r="2" spans="2:15" ht="15.75" customHeight="1">
      <c r="B2" s="3" t="s">
        <v>723</v>
      </c>
      <c r="C2" s="24"/>
      <c r="D2" s="3"/>
      <c r="E2" s="3"/>
    </row>
    <row r="3" spans="2:15" ht="15.75" customHeight="1">
      <c r="B3" s="101">
        <f>UserBuildings!C2</f>
        <v>0</v>
      </c>
      <c r="C3" s="3" t="s">
        <v>79</v>
      </c>
      <c r="D3" s="102" t="str">
        <f>UserBuildings!G2</f>
        <v>d2f7070074a24ff4c55a55a0c0ab3faa699c437a4d87b</v>
      </c>
      <c r="E3" s="101"/>
      <c r="F3" s="101"/>
      <c r="G3" s="101"/>
      <c r="H3" s="3" t="s">
        <v>724</v>
      </c>
    </row>
    <row r="4" spans="2:15" ht="15.75" customHeight="1">
      <c r="B4" s="3"/>
    </row>
    <row r="5" spans="2:15" ht="15.75" customHeight="1">
      <c r="B5" s="103"/>
      <c r="C5" s="3" t="s">
        <v>725</v>
      </c>
      <c r="E5" s="3" t="s">
        <v>726</v>
      </c>
      <c r="G5" s="3" t="s">
        <v>727</v>
      </c>
      <c r="H5" s="3" t="s">
        <v>728</v>
      </c>
    </row>
    <row r="6" spans="2:15" ht="15.75" customHeight="1">
      <c r="B6" s="104" t="str">
        <f>HYPERLINK("https://www.resources","https://www.resources")</f>
        <v>https://www.resources</v>
      </c>
      <c r="C6" s="45" t="str">
        <f>HYPERLINK("http://-game.ch/","-game.ch/")</f>
        <v>-game.ch/</v>
      </c>
      <c r="D6" s="3" t="s">
        <v>729</v>
      </c>
      <c r="E6" s="22" t="s">
        <v>730</v>
      </c>
      <c r="F6" s="22" t="s">
        <v>731</v>
      </c>
      <c r="G6" s="22">
        <v>0</v>
      </c>
      <c r="H6" s="22" t="s">
        <v>732</v>
      </c>
      <c r="I6" s="22" t="s">
        <v>733</v>
      </c>
      <c r="J6" s="22" t="s">
        <v>734</v>
      </c>
      <c r="K6" s="22" t="s">
        <v>735</v>
      </c>
      <c r="L6" s="22" t="s">
        <v>736</v>
      </c>
      <c r="M6" s="22" t="s">
        <v>737</v>
      </c>
    </row>
    <row r="7" spans="2:15" ht="15.75" customHeight="1"/>
    <row r="8" spans="2:15" ht="15.75" customHeight="1">
      <c r="B8" s="34" t="s">
        <v>775</v>
      </c>
      <c r="C8" s="113" t="s">
        <v>776</v>
      </c>
      <c r="D8" s="34"/>
      <c r="E8" s="114"/>
      <c r="I8" s="34"/>
      <c r="J8" s="113"/>
      <c r="O8" s="34"/>
    </row>
    <row r="9" spans="2:15" ht="15.75" customHeight="1">
      <c r="B9" s="45" t="e">
        <f ca="1">_xludf.textjoin("",TRUE,B6,C6,D6,5,F6,0,H6,D3,J6,$H$5,L6,10,"?")</f>
        <v>#NAME?</v>
      </c>
      <c r="D9" s="22"/>
      <c r="I9" s="22"/>
      <c r="N9" s="22"/>
      <c r="O9" s="22"/>
    </row>
    <row r="10" spans="2:15" ht="15.75" customHeight="1"/>
    <row r="11" spans="2:15" ht="15.75" customHeight="1"/>
    <row r="12" spans="2:15" ht="15.75" customHeight="1"/>
    <row r="13" spans="2:15" ht="15.75" customHeight="1"/>
    <row r="14" spans="2:15" ht="15.75" customHeight="1"/>
    <row r="15" spans="2:15" ht="15.75" customHeight="1"/>
    <row r="16" spans="2:15"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M1000"/>
  <sheetViews>
    <sheetView workbookViewId="0"/>
  </sheetViews>
  <sheetFormatPr defaultColWidth="15.109375" defaultRowHeight="15" customHeight="1"/>
  <cols>
    <col min="1" max="1" width="3.33203125" customWidth="1"/>
    <col min="2" max="2" width="13.109375" customWidth="1"/>
    <col min="3" max="3" width="16.109375" customWidth="1"/>
    <col min="4" max="4" width="16.21875" customWidth="1"/>
    <col min="5" max="5" width="14.33203125" customWidth="1"/>
    <col min="6" max="6" width="15.33203125" customWidth="1"/>
    <col min="7" max="7" width="13.109375" customWidth="1"/>
    <col min="8" max="8" width="16.21875" customWidth="1"/>
    <col min="9" max="9" width="13.88671875" customWidth="1"/>
    <col min="10" max="10" width="15.88671875" customWidth="1"/>
    <col min="11" max="11" width="15" customWidth="1"/>
    <col min="12" max="12" width="16.21875" customWidth="1"/>
    <col min="13" max="26" width="12.6640625" customWidth="1"/>
  </cols>
  <sheetData>
    <row r="1" spans="1:13" ht="15.75" customHeight="1">
      <c r="A1" s="3"/>
      <c r="B1" s="115">
        <f>UserBuildings!W5</f>
        <v>9</v>
      </c>
      <c r="C1" s="3"/>
      <c r="D1" s="3"/>
      <c r="E1" s="3"/>
      <c r="F1" s="3"/>
      <c r="G1" s="3"/>
      <c r="H1" s="3"/>
      <c r="I1" s="3"/>
      <c r="J1" s="3"/>
      <c r="K1" s="3"/>
      <c r="L1" s="3"/>
    </row>
    <row r="2" spans="1:13" ht="15.75" customHeight="1">
      <c r="A2" s="3"/>
      <c r="B2" s="1" t="s">
        <v>777</v>
      </c>
      <c r="C2" s="1" t="s">
        <v>778</v>
      </c>
      <c r="D2" s="1" t="s">
        <v>779</v>
      </c>
      <c r="E2" s="1" t="s">
        <v>780</v>
      </c>
      <c r="F2" s="1" t="s">
        <v>747</v>
      </c>
      <c r="G2" s="1" t="s">
        <v>715</v>
      </c>
      <c r="H2" s="1" t="s">
        <v>750</v>
      </c>
      <c r="I2" s="1" t="s">
        <v>715</v>
      </c>
      <c r="J2" s="1" t="s">
        <v>751</v>
      </c>
      <c r="K2" s="1" t="s">
        <v>715</v>
      </c>
      <c r="L2" s="1" t="s">
        <v>781</v>
      </c>
      <c r="M2" s="1" t="s">
        <v>715</v>
      </c>
    </row>
    <row r="3" spans="1:13" ht="15.75" customHeight="1">
      <c r="A3" s="3"/>
      <c r="B3" s="3">
        <v>2</v>
      </c>
      <c r="C3" s="12">
        <f ca="1">(G3+I3+K3+M3)*(1.15-(UserBuildings!T$16*0.01))</f>
        <v>2959424999.9999995</v>
      </c>
      <c r="D3" s="12">
        <f ca="1">(G3+I3+K3+M3)</f>
        <v>2818500000</v>
      </c>
      <c r="E3" s="12">
        <v>750000</v>
      </c>
      <c r="F3" s="3" t="s">
        <v>21</v>
      </c>
      <c r="G3" s="12">
        <f t="shared" ref="G3:G11" ca="1" si="0">IF(VLOOKUP(F3,TblMarket,3,FALSE)=0,(VLOOKUP(F3,TblMarket,2,FALSE)*$E3), (VLOOKUP(F3,TblMarket,3,FALSE)*$E3))</f>
        <v>262500000</v>
      </c>
      <c r="H3" s="12" t="s">
        <v>23</v>
      </c>
      <c r="I3" s="12">
        <f t="shared" ref="I3:I11" ca="1" si="1">IF(VLOOKUP(H3,TblMarket,3,FALSE)=0,(VLOOKUP(H3,TblMarket,2,FALSE)*$E3), (VLOOKUP(H3,TblMarket,3,FALSE)*$E3))</f>
        <v>360000000</v>
      </c>
      <c r="J3" s="12" t="s">
        <v>22</v>
      </c>
      <c r="K3" s="12">
        <f t="shared" ref="K3:K11" ca="1" si="2">IF(VLOOKUP(J3,TblMarket,3,FALSE)=0,(VLOOKUP(J3,TblMarket,2,FALSE)*$E3), (VLOOKUP(J3,TblMarket,3,FALSE)*$E3))</f>
        <v>384000000</v>
      </c>
      <c r="L3" s="12" t="s">
        <v>24</v>
      </c>
      <c r="M3" s="12">
        <f t="shared" ref="M3:M11" ca="1" si="3">IF(VLOOKUP(L3,TblMarket,3,FALSE)=0,(VLOOKUP(L3,TblMarket,2,FALSE)*$E3), (VLOOKUP(L3,TblMarket,3,FALSE)*$E3))</f>
        <v>1812000000</v>
      </c>
    </row>
    <row r="4" spans="1:13" ht="15.75" customHeight="1">
      <c r="A4" s="3"/>
      <c r="B4" s="3">
        <v>3</v>
      </c>
      <c r="C4" s="12" t="e">
        <f ca="1">(G4+I4+K4+M4)*(1.15-(UserBuildings!T$16*0.01))</f>
        <v>#N/A</v>
      </c>
      <c r="D4" s="12" t="e">
        <f t="shared" ref="D4:D11" ca="1" si="4">G4+I4+K4+M4</f>
        <v>#N/A</v>
      </c>
      <c r="E4" s="12">
        <v>1500000</v>
      </c>
      <c r="F4" s="3" t="s">
        <v>45</v>
      </c>
      <c r="G4" s="12">
        <f t="shared" ca="1" si="0"/>
        <v>7764000000</v>
      </c>
      <c r="H4" s="12" t="s">
        <v>44</v>
      </c>
      <c r="I4" s="12" t="e">
        <f t="shared" ca="1" si="1"/>
        <v>#N/A</v>
      </c>
      <c r="J4" s="12" t="s">
        <v>46</v>
      </c>
      <c r="K4" s="12">
        <f t="shared" ca="1" si="2"/>
        <v>3256500000</v>
      </c>
      <c r="L4" s="12" t="s">
        <v>25</v>
      </c>
      <c r="M4" s="12">
        <f t="shared" ca="1" si="3"/>
        <v>2064000000</v>
      </c>
    </row>
    <row r="5" spans="1:13" ht="15.75" customHeight="1">
      <c r="A5" s="3"/>
      <c r="B5" s="3">
        <v>4</v>
      </c>
      <c r="C5" s="12">
        <f ca="1">(G5+I5+K5+M5)*(1.15-(UserBuildings!T$16*0.01))</f>
        <v>13318199999.999998</v>
      </c>
      <c r="D5" s="12">
        <f t="shared" ca="1" si="4"/>
        <v>12684000000</v>
      </c>
      <c r="E5" s="12">
        <v>2000000</v>
      </c>
      <c r="F5" s="3" t="s">
        <v>26</v>
      </c>
      <c r="G5" s="12">
        <f t="shared" ca="1" si="0"/>
        <v>5156000000</v>
      </c>
      <c r="H5" s="12" t="s">
        <v>27</v>
      </c>
      <c r="I5" s="12">
        <f t="shared" ca="1" si="1"/>
        <v>714000000</v>
      </c>
      <c r="J5" s="12" t="s">
        <v>28</v>
      </c>
      <c r="K5" s="12">
        <f t="shared" ca="1" si="2"/>
        <v>2714000000</v>
      </c>
      <c r="L5" s="12" t="s">
        <v>29</v>
      </c>
      <c r="M5" s="12">
        <f t="shared" ca="1" si="3"/>
        <v>4100000000</v>
      </c>
    </row>
    <row r="6" spans="1:13" ht="15.75" customHeight="1">
      <c r="A6" s="3"/>
      <c r="B6" s="3">
        <v>5</v>
      </c>
      <c r="C6" s="12">
        <f ca="1">(G6+I6+K6+M6)*(1.15-(UserBuildings!T$16*0.01))</f>
        <v>545737499999.99988</v>
      </c>
      <c r="D6" s="12">
        <f t="shared" ca="1" si="4"/>
        <v>519750000000</v>
      </c>
      <c r="E6" s="12">
        <v>3000000</v>
      </c>
      <c r="F6" s="3" t="s">
        <v>782</v>
      </c>
      <c r="G6" s="12">
        <f t="shared" ca="1" si="0"/>
        <v>96399000000</v>
      </c>
      <c r="H6" s="12" t="s">
        <v>50</v>
      </c>
      <c r="I6" s="12">
        <f t="shared" ca="1" si="1"/>
        <v>262005000000</v>
      </c>
      <c r="J6" s="12" t="s">
        <v>47</v>
      </c>
      <c r="K6" s="12">
        <f t="shared" ca="1" si="2"/>
        <v>148260000000</v>
      </c>
      <c r="L6" s="12" t="s">
        <v>51</v>
      </c>
      <c r="M6" s="12">
        <f t="shared" ca="1" si="3"/>
        <v>13086000000</v>
      </c>
    </row>
    <row r="7" spans="1:13" ht="15.75" customHeight="1">
      <c r="A7" s="3"/>
      <c r="B7" s="3">
        <v>6</v>
      </c>
      <c r="C7" s="12">
        <f ca="1">(G7+I7+K7+M7)*(1.15-(UserBuildings!T$16*0.01))</f>
        <v>536255999999.99994</v>
      </c>
      <c r="D7" s="12">
        <f t="shared" ca="1" si="4"/>
        <v>510720000000</v>
      </c>
      <c r="E7" s="12">
        <v>4000000</v>
      </c>
      <c r="F7" s="3" t="s">
        <v>52</v>
      </c>
      <c r="G7" s="12">
        <f t="shared" ca="1" si="0"/>
        <v>385612000000</v>
      </c>
      <c r="H7" s="12" t="s">
        <v>54</v>
      </c>
      <c r="I7" s="12">
        <f t="shared" ca="1" si="1"/>
        <v>121960000000</v>
      </c>
      <c r="J7" s="12" t="s">
        <v>30</v>
      </c>
      <c r="K7" s="12">
        <f t="shared" ca="1" si="2"/>
        <v>1948000000</v>
      </c>
      <c r="L7" s="12" t="s">
        <v>31</v>
      </c>
      <c r="M7" s="12">
        <f t="shared" ca="1" si="3"/>
        <v>1200000000</v>
      </c>
    </row>
    <row r="8" spans="1:13" ht="15.75" customHeight="1">
      <c r="A8" s="3"/>
      <c r="B8" s="3">
        <v>7</v>
      </c>
      <c r="C8" s="12">
        <f ca="1">(G8+I8+K8+M8)*(1.15-(UserBuildings!T$16*0.01))</f>
        <v>2008445249999.9998</v>
      </c>
      <c r="D8" s="12">
        <f t="shared" ca="1" si="4"/>
        <v>1912805000000</v>
      </c>
      <c r="E8" s="12">
        <v>5000000</v>
      </c>
      <c r="F8" s="3" t="s">
        <v>49</v>
      </c>
      <c r="G8" s="12">
        <f t="shared" ca="1" si="0"/>
        <v>251045000000</v>
      </c>
      <c r="H8" s="12" t="s">
        <v>55</v>
      </c>
      <c r="I8" s="12">
        <f t="shared" ca="1" si="1"/>
        <v>1032965000000</v>
      </c>
      <c r="J8" s="12" t="s">
        <v>57</v>
      </c>
      <c r="K8" s="12">
        <f t="shared" ca="1" si="2"/>
        <v>604785000000</v>
      </c>
      <c r="L8" s="12" t="s">
        <v>53</v>
      </c>
      <c r="M8" s="12">
        <f t="shared" ca="1" si="3"/>
        <v>24010000000</v>
      </c>
    </row>
    <row r="9" spans="1:13" ht="15.75" customHeight="1">
      <c r="A9" s="3"/>
      <c r="B9" s="3">
        <v>8</v>
      </c>
      <c r="C9" s="12">
        <f ca="1">(G9+I9+K9+M9)*(1.15-(UserBuildings!T$16*0.01))</f>
        <v>444643499999.99994</v>
      </c>
      <c r="D9" s="12">
        <f t="shared" ca="1" si="4"/>
        <v>423470000000</v>
      </c>
      <c r="E9" s="12">
        <v>10000000</v>
      </c>
      <c r="F9" s="3" t="s">
        <v>63</v>
      </c>
      <c r="G9" s="12">
        <f t="shared" ca="1" si="0"/>
        <v>364610000000</v>
      </c>
      <c r="H9" s="12" t="s">
        <v>32</v>
      </c>
      <c r="I9" s="12">
        <f t="shared" ca="1" si="1"/>
        <v>15110000000</v>
      </c>
      <c r="J9" s="12" t="s">
        <v>34</v>
      </c>
      <c r="K9" s="12">
        <f t="shared" ca="1" si="2"/>
        <v>34230000000</v>
      </c>
      <c r="L9" s="12" t="s">
        <v>33</v>
      </c>
      <c r="M9" s="12">
        <f t="shared" ca="1" si="3"/>
        <v>9520000000</v>
      </c>
    </row>
    <row r="10" spans="1:13" ht="15.75" customHeight="1">
      <c r="A10" s="3"/>
      <c r="B10" s="3">
        <v>9</v>
      </c>
      <c r="C10" s="12">
        <f ca="1">(G10+I10+K10+M10)*(1.15-(UserBuildings!T$16*0.01))</f>
        <v>8054234999999.999</v>
      </c>
      <c r="D10" s="12">
        <f t="shared" ca="1" si="4"/>
        <v>7670700000000</v>
      </c>
      <c r="E10" s="12">
        <v>25000000</v>
      </c>
      <c r="F10" s="3" t="s">
        <v>61</v>
      </c>
      <c r="G10" s="12">
        <f t="shared" ca="1" si="0"/>
        <v>1590450000000</v>
      </c>
      <c r="H10" s="12" t="s">
        <v>65</v>
      </c>
      <c r="I10" s="12">
        <f t="shared" ca="1" si="1"/>
        <v>40650000000</v>
      </c>
      <c r="J10" s="12" t="s">
        <v>66</v>
      </c>
      <c r="K10" s="12">
        <f t="shared" ca="1" si="2"/>
        <v>1559050000000</v>
      </c>
      <c r="L10" s="12" t="s">
        <v>64</v>
      </c>
      <c r="M10" s="12">
        <f t="shared" ca="1" si="3"/>
        <v>4480550000000</v>
      </c>
    </row>
    <row r="11" spans="1:13" ht="15.75" customHeight="1">
      <c r="A11" s="3"/>
      <c r="B11" s="3">
        <v>10</v>
      </c>
      <c r="C11" s="12" t="e">
        <f ca="1">(G11+I11+K11+M11)*(1.15-(UserBuildings!T$16*0.01))</f>
        <v>#N/A</v>
      </c>
      <c r="D11" s="12" t="e">
        <f t="shared" ca="1" si="4"/>
        <v>#N/A</v>
      </c>
      <c r="E11" s="12">
        <v>50000000</v>
      </c>
      <c r="F11" s="3" t="s">
        <v>56</v>
      </c>
      <c r="G11" s="12" t="e">
        <f t="shared" ca="1" si="0"/>
        <v>#N/A</v>
      </c>
      <c r="H11" s="12" t="s">
        <v>47</v>
      </c>
      <c r="I11" s="12">
        <f t="shared" ca="1" si="1"/>
        <v>2471000000000</v>
      </c>
      <c r="J11" s="12" t="s">
        <v>49</v>
      </c>
      <c r="K11" s="12">
        <f t="shared" ca="1" si="2"/>
        <v>2510450000000</v>
      </c>
      <c r="L11" s="12" t="s">
        <v>67</v>
      </c>
      <c r="M11" s="12">
        <f t="shared" ca="1" si="3"/>
        <v>103696500000000</v>
      </c>
    </row>
    <row r="12" spans="1:13" ht="15.75" customHeight="1">
      <c r="A12" s="3"/>
      <c r="B12" s="3"/>
    </row>
    <row r="13" spans="1:13" ht="15.75" customHeight="1">
      <c r="A13" s="3"/>
      <c r="B13" s="3"/>
    </row>
    <row r="14" spans="1:13" ht="15.75" customHeight="1">
      <c r="A14" s="3"/>
      <c r="B14" s="116" t="s">
        <v>783</v>
      </c>
      <c r="C14" s="3"/>
      <c r="D14" s="3"/>
      <c r="E14" s="3"/>
    </row>
    <row r="15" spans="1:13" ht="15.75" customHeight="1">
      <c r="A15" s="3"/>
      <c r="B15" s="1" t="s">
        <v>784</v>
      </c>
      <c r="C15" s="1" t="s">
        <v>785</v>
      </c>
      <c r="D15" s="1" t="s">
        <v>786</v>
      </c>
      <c r="E15" s="1" t="s">
        <v>787</v>
      </c>
      <c r="F15" s="1" t="s">
        <v>788</v>
      </c>
      <c r="G15" s="1" t="s">
        <v>789</v>
      </c>
      <c r="H15" s="1" t="s">
        <v>790</v>
      </c>
    </row>
    <row r="16" spans="1:13" ht="15.75" customHeight="1">
      <c r="A16" s="17"/>
      <c r="B16" s="17" t="e">
        <f ca="1">(VLOOKUP(UserBuildings!W5+1,B3:C11,2,FALSE)/C16)</f>
        <v>#N/A</v>
      </c>
      <c r="C16" s="12">
        <f ca="1">D16*24</f>
        <v>30864364806.8535</v>
      </c>
      <c r="D16" s="12">
        <f ca="1">G16-E16</f>
        <v>1286015200.2855625</v>
      </c>
      <c r="E16" s="17">
        <f ca="1">SUM(F20:F33)</f>
        <v>13003042580.665108</v>
      </c>
      <c r="F16" s="12">
        <f ca="1">E16*24</f>
        <v>312073021935.96259</v>
      </c>
      <c r="G16" s="17">
        <f ca="1">SUM(G20:G33)</f>
        <v>14289057780.95067</v>
      </c>
      <c r="H16" s="25">
        <v>154</v>
      </c>
    </row>
    <row r="17" spans="1:9" ht="15.75" customHeight="1">
      <c r="A17" s="17"/>
      <c r="B17" s="117" t="s">
        <v>791</v>
      </c>
      <c r="C17" s="118">
        <f t="shared" ref="C17:G17" ca="1" si="5">C16/$H$16</f>
        <v>200417953.29125649</v>
      </c>
      <c r="D17" s="118">
        <f t="shared" ca="1" si="5"/>
        <v>8350748.0538023543</v>
      </c>
      <c r="E17" s="118">
        <f t="shared" ca="1" si="5"/>
        <v>84435341.432890311</v>
      </c>
      <c r="F17" s="118">
        <f t="shared" ca="1" si="5"/>
        <v>2026448194.3893673</v>
      </c>
      <c r="G17" s="118">
        <f t="shared" ca="1" si="5"/>
        <v>92786089.486692667</v>
      </c>
    </row>
    <row r="18" spans="1:9" ht="15.75" customHeight="1">
      <c r="A18" s="17"/>
      <c r="B18" s="17"/>
      <c r="C18" s="12"/>
      <c r="D18" s="12"/>
      <c r="E18" s="17"/>
      <c r="F18" s="17"/>
    </row>
    <row r="19" spans="1:9" ht="15.75" customHeight="1">
      <c r="A19" s="3"/>
      <c r="B19" s="92" t="s">
        <v>792</v>
      </c>
      <c r="C19" s="1" t="s">
        <v>793</v>
      </c>
      <c r="D19" s="1" t="s">
        <v>794</v>
      </c>
      <c r="E19" s="92" t="s">
        <v>91</v>
      </c>
      <c r="F19" s="92" t="s">
        <v>795</v>
      </c>
      <c r="G19" s="92" t="s">
        <v>796</v>
      </c>
      <c r="H19" s="92" t="s">
        <v>797</v>
      </c>
      <c r="I19" s="92" t="s">
        <v>798</v>
      </c>
    </row>
    <row r="20" spans="1:9" ht="15.75" customHeight="1">
      <c r="A20" s="3"/>
      <c r="B20" s="3" t="s">
        <v>21</v>
      </c>
      <c r="C20" s="119">
        <f ca="1">SUMIFS('API Mine Detail'!S:S, 'API Mine Detail'!R:R,"&gt;1",'API Mine Detail'!Z:Z,B20)</f>
        <v>0</v>
      </c>
      <c r="D20" s="120">
        <v>0</v>
      </c>
      <c r="E20" s="17">
        <f t="shared" ref="E20:E33" ca="1" si="6">IF(C20=0,D20,C20)</f>
        <v>0</v>
      </c>
      <c r="F20" s="121">
        <f t="shared" ref="F20:F33" ca="1" si="7">VLOOKUP(B20,TblMarket,5,FALSE)*E20</f>
        <v>0</v>
      </c>
      <c r="G20" s="121">
        <f ca="1">(F20/(UserBuildings!$W$5*0.9+1))*((UserBuildings!$W$5+1)*0.9+1)</f>
        <v>0</v>
      </c>
      <c r="H20" s="121">
        <f ca="1">(E20/(UserBuildings!$W$5*0.9+1))*((UserBuildings!$W$5+1)*0.9+1)</f>
        <v>0</v>
      </c>
      <c r="I20" s="122">
        <f t="shared" ref="I20:I33" ca="1" si="8">F20*24</f>
        <v>0</v>
      </c>
    </row>
    <row r="21" spans="1:9" ht="15.75" customHeight="1">
      <c r="A21" s="3"/>
      <c r="B21" s="3" t="s">
        <v>24</v>
      </c>
      <c r="C21" s="119">
        <f ca="1">SUMIFS('API Mine Detail'!S:S, 'API Mine Detail'!R:R,"&gt;1",'API Mine Detail'!Z:Z,B21)</f>
        <v>0</v>
      </c>
      <c r="D21" s="120">
        <v>0</v>
      </c>
      <c r="E21" s="17">
        <f t="shared" ca="1" si="6"/>
        <v>0</v>
      </c>
      <c r="F21" s="121">
        <f t="shared" ca="1" si="7"/>
        <v>0</v>
      </c>
      <c r="G21" s="121">
        <f ca="1">(F21/(UserBuildings!$W$5*0.9+1))*((UserBuildings!$W$5+1)*0.9+1)</f>
        <v>0</v>
      </c>
      <c r="H21" s="121">
        <f ca="1">(E21/(UserBuildings!$W$5*0.9+1))*((UserBuildings!$W$5+1)*0.9+1)</f>
        <v>0</v>
      </c>
      <c r="I21" s="122">
        <f t="shared" ca="1" si="8"/>
        <v>0</v>
      </c>
    </row>
    <row r="22" spans="1:9" ht="15.75" customHeight="1">
      <c r="A22" s="3"/>
      <c r="B22" s="3" t="s">
        <v>28</v>
      </c>
      <c r="C22" s="119">
        <f ca="1">SUMIFS('API Mine Detail'!S:S, 'API Mine Detail'!R:R,"&gt;1",'API Mine Detail'!Z:Z,B22)</f>
        <v>0</v>
      </c>
      <c r="D22" s="120">
        <v>0</v>
      </c>
      <c r="E22" s="17">
        <f t="shared" ca="1" si="6"/>
        <v>0</v>
      </c>
      <c r="F22" s="121">
        <f t="shared" ca="1" si="7"/>
        <v>0</v>
      </c>
      <c r="G22" s="121">
        <f ca="1">(F22/(UserBuildings!$W$5*0.9+1))*((UserBuildings!$W$5+1)*0.9+1)</f>
        <v>0</v>
      </c>
      <c r="H22" s="121">
        <f ca="1">(E22/(UserBuildings!$W$5*0.9+1))*((UserBuildings!$W$5+1)*0.9+1)</f>
        <v>0</v>
      </c>
      <c r="I22" s="122">
        <f t="shared" ca="1" si="8"/>
        <v>0</v>
      </c>
    </row>
    <row r="23" spans="1:9" ht="15.75" customHeight="1">
      <c r="A23" s="3"/>
      <c r="B23" s="3" t="s">
        <v>111</v>
      </c>
      <c r="C23" s="119">
        <f ca="1">SUMIFS('API Mine Detail'!S:S, 'API Mine Detail'!R:R,"&gt;1",'API Mine Detail'!Z:Z,B23)</f>
        <v>0</v>
      </c>
      <c r="D23" s="120">
        <v>3547403.5482885791</v>
      </c>
      <c r="E23" s="17">
        <f t="shared" ca="1" si="6"/>
        <v>3547403.5482885791</v>
      </c>
      <c r="F23" s="121">
        <f t="shared" ca="1" si="7"/>
        <v>12142762345.791807</v>
      </c>
      <c r="G23" s="121">
        <f ca="1">(F23/(UserBuildings!$W$5*0.9+1))*((UserBuildings!$W$5+1)*0.9+1)</f>
        <v>13343694885.485504</v>
      </c>
      <c r="H23" s="121">
        <f ca="1">(E23/(UserBuildings!$W$5*0.9+1))*((UserBuildings!$W$5+1)*0.9+1)</f>
        <v>3898245.6574599771</v>
      </c>
      <c r="I23" s="122">
        <f t="shared" ca="1" si="8"/>
        <v>291426296299.00336</v>
      </c>
    </row>
    <row r="24" spans="1:9" ht="15.75" customHeight="1">
      <c r="A24" s="3"/>
      <c r="B24" s="3" t="s">
        <v>23</v>
      </c>
      <c r="C24" s="119">
        <f ca="1">SUMIFS('API Mine Detail'!S:S, 'API Mine Detail'!R:R,"&gt;1",'API Mine Detail'!Z:Z,B24)</f>
        <v>0</v>
      </c>
      <c r="D24" s="120">
        <v>0</v>
      </c>
      <c r="E24" s="17">
        <f t="shared" ca="1" si="6"/>
        <v>0</v>
      </c>
      <c r="F24" s="121">
        <f t="shared" ca="1" si="7"/>
        <v>0</v>
      </c>
      <c r="G24" s="121">
        <f ca="1">(F24/(UserBuildings!$W$5*0.9+1))*((UserBuildings!$W$5+1)*0.9+1)</f>
        <v>0</v>
      </c>
      <c r="H24" s="121">
        <f ca="1">(E24/(UserBuildings!$W$5*0.9+1))*((UserBuildings!$W$5+1)*0.9+1)</f>
        <v>0</v>
      </c>
      <c r="I24" s="122">
        <f t="shared" ca="1" si="8"/>
        <v>0</v>
      </c>
    </row>
    <row r="25" spans="1:9" ht="15.75" customHeight="1">
      <c r="A25" s="3"/>
      <c r="B25" s="3" t="s">
        <v>31</v>
      </c>
      <c r="C25" s="119">
        <f ca="1">SUMIFS('API Mine Detail'!S:S, 'API Mine Detail'!R:R,"&gt;1",'API Mine Detail'!Z:Z,B25)</f>
        <v>0</v>
      </c>
      <c r="D25" s="120">
        <v>0</v>
      </c>
      <c r="E25" s="17">
        <f t="shared" ca="1" si="6"/>
        <v>0</v>
      </c>
      <c r="F25" s="121">
        <f t="shared" ca="1" si="7"/>
        <v>0</v>
      </c>
      <c r="G25" s="121">
        <f ca="1">(F25/(UserBuildings!$W$5*0.9+1))*((UserBuildings!$W$5+1)*0.9+1)</f>
        <v>0</v>
      </c>
      <c r="H25" s="121">
        <f ca="1">(E25/(UserBuildings!$W$5*0.9+1))*((UserBuildings!$W$5+1)*0.9+1)</f>
        <v>0</v>
      </c>
      <c r="I25" s="122">
        <f t="shared" ca="1" si="8"/>
        <v>0</v>
      </c>
    </row>
    <row r="26" spans="1:9" ht="15.75" customHeight="1">
      <c r="A26" s="3"/>
      <c r="B26" s="3" t="s">
        <v>123</v>
      </c>
      <c r="C26" s="119">
        <f ca="1">SUMIFS('API Mine Detail'!S:S, 'API Mine Detail'!R:R,"&gt;1",'API Mine Detail'!Z:Z,B26)</f>
        <v>0</v>
      </c>
      <c r="D26" s="120">
        <v>0</v>
      </c>
      <c r="E26" s="17">
        <f t="shared" ca="1" si="6"/>
        <v>0</v>
      </c>
      <c r="F26" s="121">
        <f t="shared" ca="1" si="7"/>
        <v>0</v>
      </c>
      <c r="G26" s="121">
        <f ca="1">(F26/(UserBuildings!$W$5*0.9+1))*((UserBuildings!$W$5+1)*0.9+1)</f>
        <v>0</v>
      </c>
      <c r="H26" s="121">
        <f ca="1">(E26/(UserBuildings!$W$5*0.9+1))*((UserBuildings!$W$5+1)*0.9+1)</f>
        <v>0</v>
      </c>
      <c r="I26" s="122">
        <f t="shared" ca="1" si="8"/>
        <v>0</v>
      </c>
    </row>
    <row r="27" spans="1:9" ht="15.75" customHeight="1">
      <c r="A27" s="3"/>
      <c r="B27" s="3" t="s">
        <v>127</v>
      </c>
      <c r="C27" s="119">
        <f ca="1">SUMIFS('API Mine Detail'!S:S, 'API Mine Detail'!R:R,"&gt;1",'API Mine Detail'!Z:Z,B27)</f>
        <v>0</v>
      </c>
      <c r="D27" s="120">
        <v>1766489.1886515429</v>
      </c>
      <c r="E27" s="17">
        <f t="shared" ca="1" si="6"/>
        <v>1766489.1886515429</v>
      </c>
      <c r="F27" s="121">
        <f t="shared" ca="1" si="7"/>
        <v>860280234.87330139</v>
      </c>
      <c r="G27" s="121">
        <f ca="1">(F27/(UserBuildings!$W$5*0.9+1))*((UserBuildings!$W$5+1)*0.9+1)</f>
        <v>945362895.46516645</v>
      </c>
      <c r="H27" s="121">
        <f ca="1">(E27/(UserBuildings!$W$5*0.9+1))*((UserBuildings!$W$5+1)*0.9+1)</f>
        <v>1941196.9106060914</v>
      </c>
      <c r="I27" s="122">
        <f t="shared" ca="1" si="8"/>
        <v>20646725636.959232</v>
      </c>
    </row>
    <row r="28" spans="1:9" ht="15.75" customHeight="1">
      <c r="A28" s="3"/>
      <c r="B28" s="3" t="s">
        <v>131</v>
      </c>
      <c r="C28" s="119">
        <f ca="1">SUMIFS('API Mine Detail'!S:S, 'API Mine Detail'!R:R,"&gt;1",'API Mine Detail'!Z:Z,B28)</f>
        <v>0</v>
      </c>
      <c r="D28" s="120">
        <v>0</v>
      </c>
      <c r="E28" s="17">
        <f t="shared" ca="1" si="6"/>
        <v>0</v>
      </c>
      <c r="F28" s="121">
        <f t="shared" ca="1" si="7"/>
        <v>0</v>
      </c>
      <c r="G28" s="121">
        <f ca="1">(F28/(UserBuildings!$W$5*0.9+1))*((UserBuildings!$W$5+1)*0.9+1)</f>
        <v>0</v>
      </c>
      <c r="H28" s="121">
        <f ca="1">(E28/(UserBuildings!$W$5*0.9+1))*((UserBuildings!$W$5+1)*0.9+1)</f>
        <v>0</v>
      </c>
      <c r="I28" s="122">
        <f t="shared" ca="1" si="8"/>
        <v>0</v>
      </c>
    </row>
    <row r="29" spans="1:9" ht="15.75" customHeight="1">
      <c r="A29" s="3"/>
      <c r="B29" s="3" t="s">
        <v>135</v>
      </c>
      <c r="C29" s="119">
        <f ca="1">SUMIFS('API Mine Detail'!S:S, 'API Mine Detail'!R:R,"&gt;1",'API Mine Detail'!Z:Z,B29)</f>
        <v>0</v>
      </c>
      <c r="D29" s="120">
        <v>0</v>
      </c>
      <c r="E29" s="17">
        <f t="shared" ca="1" si="6"/>
        <v>0</v>
      </c>
      <c r="F29" s="121">
        <f t="shared" ca="1" si="7"/>
        <v>0</v>
      </c>
      <c r="G29" s="121">
        <f ca="1">(F29/(UserBuildings!$W$5*0.9+1))*((UserBuildings!$W$5+1)*0.9+1)</f>
        <v>0</v>
      </c>
      <c r="H29" s="121">
        <f ca="1">(E29/(UserBuildings!$W$5*0.9+1))*((UserBuildings!$W$5+1)*0.9+1)</f>
        <v>0</v>
      </c>
      <c r="I29" s="122">
        <f t="shared" ca="1" si="8"/>
        <v>0</v>
      </c>
    </row>
    <row r="30" spans="1:9" ht="15.75" customHeight="1">
      <c r="A30" s="3"/>
      <c r="B30" s="3" t="s">
        <v>29</v>
      </c>
      <c r="C30" s="119">
        <f ca="1">SUMIFS('API Mine Detail'!S:S, 'API Mine Detail'!R:R,"&gt;1",'API Mine Detail'!Z:Z,B30)</f>
        <v>0</v>
      </c>
      <c r="D30" s="120">
        <v>0</v>
      </c>
      <c r="E30" s="17">
        <f t="shared" ca="1" si="6"/>
        <v>0</v>
      </c>
      <c r="F30" s="121">
        <f t="shared" ca="1" si="7"/>
        <v>0</v>
      </c>
      <c r="G30" s="121">
        <f ca="1">(F30/(UserBuildings!$W$5*0.9+1))*((UserBuildings!$W$5+1)*0.9+1)</f>
        <v>0</v>
      </c>
      <c r="H30" s="121">
        <f ca="1">(E30/(UserBuildings!$W$5*0.9+1))*((UserBuildings!$W$5+1)*0.9+1)</f>
        <v>0</v>
      </c>
      <c r="I30" s="122">
        <f t="shared" ca="1" si="8"/>
        <v>0</v>
      </c>
    </row>
    <row r="31" spans="1:9" ht="15.75" customHeight="1">
      <c r="A31" s="3"/>
      <c r="B31" s="3" t="s">
        <v>118</v>
      </c>
      <c r="C31" s="119">
        <f ca="1">SUMIFS('API Mine Detail'!S:S, 'API Mine Detail'!R:R,"&gt;1",'API Mine Detail'!Z:Z,B31)</f>
        <v>0</v>
      </c>
      <c r="D31" s="120">
        <v>0</v>
      </c>
      <c r="E31" s="17">
        <f t="shared" ca="1" si="6"/>
        <v>0</v>
      </c>
      <c r="F31" s="121">
        <f t="shared" ca="1" si="7"/>
        <v>0</v>
      </c>
      <c r="G31" s="121">
        <f ca="1">(F31/(UserBuildings!$W$5*0.9+1))*((UserBuildings!$W$5+1)*0.9+1)</f>
        <v>0</v>
      </c>
      <c r="H31" s="121">
        <f ca="1">(E31/(UserBuildings!$W$5*0.9+1))*((UserBuildings!$W$5+1)*0.9+1)</f>
        <v>0</v>
      </c>
      <c r="I31" s="122">
        <f t="shared" ca="1" si="8"/>
        <v>0</v>
      </c>
    </row>
    <row r="32" spans="1:9" ht="15.75" customHeight="1">
      <c r="A32" s="3"/>
      <c r="B32" s="3" t="s">
        <v>122</v>
      </c>
      <c r="C32" s="119">
        <f ca="1">SUMIFS('API Mine Detail'!S:S, 'API Mine Detail'!R:R,"&gt;1",'API Mine Detail'!Z:Z,B32)</f>
        <v>0</v>
      </c>
      <c r="D32" s="120">
        <v>0</v>
      </c>
      <c r="E32" s="17">
        <f t="shared" ca="1" si="6"/>
        <v>0</v>
      </c>
      <c r="F32" s="121">
        <f t="shared" ca="1" si="7"/>
        <v>0</v>
      </c>
      <c r="G32" s="121">
        <f ca="1">(F32/(UserBuildings!$W$5*0.9+1))*((UserBuildings!$W$5+1)*0.9+1)</f>
        <v>0</v>
      </c>
      <c r="H32" s="121">
        <f ca="1">(E32/(UserBuildings!$W$5*0.9+1))*((UserBuildings!$W$5+1)*0.9+1)</f>
        <v>0</v>
      </c>
      <c r="I32" s="122">
        <f t="shared" ca="1" si="8"/>
        <v>0</v>
      </c>
    </row>
    <row r="33" spans="1:10" ht="15.75" customHeight="1">
      <c r="A33" s="3"/>
      <c r="B33" s="3" t="s">
        <v>22</v>
      </c>
      <c r="C33" s="119">
        <f ca="1">SUMIFS('API Mine Detail'!S:S, 'API Mine Detail'!R:R,"&gt;1",'API Mine Detail'!Z:Z,B33)</f>
        <v>0</v>
      </c>
      <c r="D33" s="120">
        <v>0</v>
      </c>
      <c r="E33" s="17">
        <f t="shared" ca="1" si="6"/>
        <v>0</v>
      </c>
      <c r="F33" s="121">
        <f t="shared" ca="1" si="7"/>
        <v>0</v>
      </c>
      <c r="G33" s="121">
        <f ca="1">(F33/(UserBuildings!$W$5*0.9+1))*((UserBuildings!$W$5+1)*0.9+1)</f>
        <v>0</v>
      </c>
      <c r="H33" s="121">
        <f ca="1">(E33/(UserBuildings!$W$5*0.9+1))*((UserBuildings!$W$5+1)*0.9+1)</f>
        <v>0</v>
      </c>
      <c r="I33" s="122">
        <f t="shared" ca="1" si="8"/>
        <v>0</v>
      </c>
    </row>
    <row r="34" spans="1:10" ht="15.75" customHeight="1">
      <c r="A34" s="3"/>
      <c r="B34" s="3" t="s">
        <v>799</v>
      </c>
      <c r="C34" s="17"/>
      <c r="D34" s="17"/>
      <c r="E34" s="17"/>
      <c r="F34" s="17"/>
      <c r="G34" s="12"/>
    </row>
    <row r="35" spans="1:10" ht="15.75" customHeight="1">
      <c r="A35" s="3"/>
      <c r="B35" s="3"/>
      <c r="C35" s="17"/>
      <c r="D35" s="17"/>
      <c r="E35" s="17"/>
      <c r="F35" s="17"/>
      <c r="G35" s="12"/>
    </row>
    <row r="36" spans="1:10" ht="15.75" customHeight="1">
      <c r="A36" s="3"/>
      <c r="B36" s="189" t="s">
        <v>800</v>
      </c>
      <c r="C36" s="190"/>
      <c r="D36" s="190"/>
      <c r="E36" s="94"/>
      <c r="F36" s="17"/>
      <c r="G36" s="189" t="s">
        <v>801</v>
      </c>
      <c r="H36" s="190"/>
      <c r="I36" s="190"/>
      <c r="J36" s="94"/>
    </row>
    <row r="37" spans="1:10" ht="15.75" customHeight="1">
      <c r="A37" s="3"/>
      <c r="B37" s="1" t="s">
        <v>11</v>
      </c>
      <c r="C37" s="1" t="s">
        <v>802</v>
      </c>
      <c r="D37" s="1" t="s">
        <v>803</v>
      </c>
      <c r="E37" s="1" t="s">
        <v>804</v>
      </c>
      <c r="F37" s="17"/>
      <c r="G37" s="96" t="s">
        <v>11</v>
      </c>
      <c r="H37" s="1" t="s">
        <v>802</v>
      </c>
      <c r="I37" s="1" t="s">
        <v>803</v>
      </c>
      <c r="J37" s="96" t="s">
        <v>804</v>
      </c>
    </row>
    <row r="38" spans="1:10" ht="15.75" customHeight="1">
      <c r="A38" s="3"/>
      <c r="B38" s="123" t="str">
        <f>VLOOKUP($B$1+1,$B$3:$M$11,5,FALSE)</f>
        <v>Weapons</v>
      </c>
      <c r="C38" s="124">
        <v>11511284</v>
      </c>
      <c r="D38" s="125">
        <f t="shared" ref="D38:D41" si="9">VLOOKUP($B$1+1,$B$3:$M$11,4,FALSE) - C38</f>
        <v>38488716</v>
      </c>
      <c r="E38" s="126" t="e">
        <f ca="1">VLOOKUP(B38,Markets!$F$4:$L$61,5,FALSE) * D38</f>
        <v>#N/A</v>
      </c>
      <c r="F38" s="17"/>
      <c r="G38" s="3">
        <f>'API Raw'!AE11</f>
        <v>0</v>
      </c>
      <c r="H38" s="32">
        <f>'API Raw'!V11</f>
        <v>0</v>
      </c>
      <c r="I38" s="125">
        <f t="shared" ref="I38:I41" si="10">VLOOKUP($B$1+1,$B$3:$M$11,4,FALSE) - H38</f>
        <v>50000000</v>
      </c>
      <c r="J38" s="126" t="e">
        <f ca="1">VLOOKUP(G38,Markets!$F$4:$L$61,5,FALSE) * I38</f>
        <v>#N/A</v>
      </c>
    </row>
    <row r="39" spans="1:10" ht="15.75" customHeight="1">
      <c r="A39" s="3"/>
      <c r="B39" s="127" t="str">
        <f>VLOOKUP($B$1+1,$B$3:$M$11,7,FALSE)</f>
        <v>Steel</v>
      </c>
      <c r="C39" s="124">
        <v>10549553</v>
      </c>
      <c r="D39" s="125">
        <f t="shared" si="9"/>
        <v>39450447</v>
      </c>
      <c r="E39" s="126">
        <f ca="1">VLOOKUP(B39,Markets!$F$4:$L$61,5,FALSE) * D39</f>
        <v>1949641090740</v>
      </c>
      <c r="F39" s="17"/>
      <c r="G39" s="12">
        <f>'API Raw'!AF11</f>
        <v>0</v>
      </c>
      <c r="H39" s="32">
        <f>'API Raw'!W11</f>
        <v>0</v>
      </c>
      <c r="I39" s="125">
        <f t="shared" si="10"/>
        <v>50000000</v>
      </c>
      <c r="J39" s="126" t="e">
        <f ca="1">VLOOKUP(G39,Markets!$F$4:$L$61,5,FALSE) * I39</f>
        <v>#N/A</v>
      </c>
    </row>
    <row r="40" spans="1:10" ht="15.75" customHeight="1">
      <c r="A40" s="3"/>
      <c r="B40" s="127" t="str">
        <f>VLOOKUP($B$1+1,$B$3:$M$11,9,FALSE)</f>
        <v>Glass</v>
      </c>
      <c r="C40" s="124">
        <v>50000000</v>
      </c>
      <c r="D40" s="125">
        <f t="shared" si="9"/>
        <v>0</v>
      </c>
      <c r="E40" s="126">
        <f ca="1">VLOOKUP(B40,Markets!$F$4:$L$61,5,FALSE) * D40</f>
        <v>0</v>
      </c>
      <c r="F40" s="17"/>
      <c r="G40" s="12">
        <f>'API Raw'!AG11</f>
        <v>0</v>
      </c>
      <c r="H40" s="32">
        <f>'API Raw'!X11</f>
        <v>0</v>
      </c>
      <c r="I40" s="125">
        <f t="shared" si="10"/>
        <v>50000000</v>
      </c>
      <c r="J40" s="126" t="e">
        <f ca="1">VLOOKUP(G40,Markets!$F$4:$L$61,5,FALSE) * I40</f>
        <v>#N/A</v>
      </c>
    </row>
    <row r="41" spans="1:10" ht="15.75" customHeight="1">
      <c r="A41" s="3"/>
      <c r="B41" s="128" t="str">
        <f>VLOOKUP($B$1+1,$B$3:$M$11,11,FALSE)</f>
        <v>Jewellery</v>
      </c>
      <c r="C41" s="129">
        <v>50000000</v>
      </c>
      <c r="D41" s="130">
        <f t="shared" si="9"/>
        <v>0</v>
      </c>
      <c r="E41" s="126">
        <f ca="1">VLOOKUP(B41,Markets!$F$4:$L$61,5,FALSE) * D41</f>
        <v>0</v>
      </c>
      <c r="F41" s="17"/>
      <c r="G41" s="12">
        <f>'API Raw'!AH11</f>
        <v>0</v>
      </c>
      <c r="H41" s="131">
        <f>'API Raw'!Y11</f>
        <v>0</v>
      </c>
      <c r="I41" s="130">
        <f t="shared" si="10"/>
        <v>50000000</v>
      </c>
      <c r="J41" s="126" t="e">
        <f ca="1">VLOOKUP(G41,Markets!$F$4:$L$61,5,FALSE) * I41</f>
        <v>#N/A</v>
      </c>
    </row>
    <row r="42" spans="1:10" ht="15.75" customHeight="1">
      <c r="A42" s="3"/>
      <c r="B42" s="1" t="s">
        <v>805</v>
      </c>
      <c r="C42" s="18" t="e">
        <f ca="1">E42/'Supply Chain'!C2</f>
        <v>#N/A</v>
      </c>
      <c r="D42" s="1" t="s">
        <v>806</v>
      </c>
      <c r="E42" s="1" t="e">
        <f ca="1">SUM(E38:E41)</f>
        <v>#N/A</v>
      </c>
      <c r="F42" s="17"/>
      <c r="G42" s="1" t="s">
        <v>805</v>
      </c>
      <c r="H42" s="1" t="e">
        <f ca="1">J42/'Supply Chain'!C2</f>
        <v>#N/A</v>
      </c>
      <c r="I42" s="1" t="s">
        <v>806</v>
      </c>
      <c r="J42" s="1" t="e">
        <f ca="1">SUM(J38:J41)</f>
        <v>#N/A</v>
      </c>
    </row>
    <row r="43" spans="1:10" ht="15.75" customHeight="1">
      <c r="A43" s="3"/>
      <c r="B43" s="49"/>
      <c r="C43" s="49"/>
      <c r="D43" s="49"/>
      <c r="E43" s="132" t="e">
        <f ca="1">E42</f>
        <v>#N/A</v>
      </c>
      <c r="F43" s="17"/>
      <c r="G43" s="49"/>
      <c r="H43" s="49"/>
      <c r="I43" s="49"/>
      <c r="J43" s="132" t="e">
        <f ca="1">J42</f>
        <v>#N/A</v>
      </c>
    </row>
    <row r="44" spans="1:10" ht="15.75" customHeight="1">
      <c r="A44" s="3"/>
      <c r="F44" s="17"/>
      <c r="G44" s="12"/>
    </row>
    <row r="45" spans="1:10" ht="15.75" customHeight="1">
      <c r="A45" s="3"/>
      <c r="F45" s="17"/>
      <c r="G45" s="12"/>
    </row>
    <row r="46" spans="1:10" ht="15.75" customHeight="1">
      <c r="A46" s="3"/>
      <c r="F46" s="17"/>
      <c r="G46" s="12"/>
    </row>
    <row r="47" spans="1:10" ht="15.75" customHeight="1">
      <c r="A47" s="3"/>
      <c r="F47" s="17"/>
      <c r="G47" s="12"/>
    </row>
    <row r="48" spans="1:10" ht="15.75" customHeight="1">
      <c r="A48" s="3"/>
      <c r="F48" s="17"/>
      <c r="G48" s="12"/>
    </row>
    <row r="49" spans="1:7" ht="15.75" customHeight="1">
      <c r="A49" s="3"/>
      <c r="F49" s="17"/>
      <c r="G49" s="12"/>
    </row>
    <row r="50" spans="1:7" ht="15.75" customHeight="1">
      <c r="A50" s="3"/>
      <c r="F50" s="17"/>
      <c r="G50" s="12"/>
    </row>
    <row r="51" spans="1:7" ht="15.75" customHeight="1">
      <c r="A51" s="3"/>
      <c r="F51" s="17"/>
      <c r="G51" s="12"/>
    </row>
    <row r="52" spans="1:7" ht="15.75" customHeight="1">
      <c r="A52" s="3"/>
      <c r="B52" s="3"/>
      <c r="C52" s="17"/>
      <c r="D52" s="17"/>
      <c r="E52" s="17"/>
      <c r="F52" s="17"/>
      <c r="G52" s="12"/>
    </row>
    <row r="53" spans="1:7" ht="15.75" customHeight="1">
      <c r="A53" s="3"/>
      <c r="B53" s="3"/>
      <c r="C53" s="17"/>
      <c r="D53" s="17"/>
      <c r="E53" s="17"/>
      <c r="F53" s="17"/>
      <c r="G53" s="12"/>
    </row>
    <row r="54" spans="1:7" ht="15.75" customHeight="1">
      <c r="A54" s="3"/>
      <c r="B54" s="3"/>
      <c r="C54" s="17"/>
      <c r="D54" s="17"/>
      <c r="E54" s="17"/>
      <c r="F54" s="17"/>
      <c r="G54" s="12"/>
    </row>
    <row r="55" spans="1:7" ht="15.75" customHeight="1">
      <c r="A55" s="3"/>
      <c r="B55" s="3"/>
      <c r="C55" s="17"/>
      <c r="D55" s="17"/>
      <c r="E55" s="17"/>
      <c r="F55" s="17"/>
      <c r="G55" s="12"/>
    </row>
    <row r="56" spans="1:7" ht="15.75" customHeight="1">
      <c r="A56" s="3"/>
      <c r="B56" s="3"/>
      <c r="C56" s="17"/>
      <c r="D56" s="17"/>
      <c r="E56" s="17"/>
      <c r="F56" s="17"/>
      <c r="G56" s="12"/>
    </row>
    <row r="57" spans="1:7" ht="15.75" customHeight="1">
      <c r="A57" s="3"/>
      <c r="B57" s="3"/>
      <c r="C57" s="17"/>
      <c r="D57" s="17"/>
      <c r="E57" s="17"/>
      <c r="F57" s="17"/>
      <c r="G57" s="12"/>
    </row>
    <row r="58" spans="1:7" ht="15.75" customHeight="1">
      <c r="A58" s="3"/>
      <c r="B58" s="3"/>
      <c r="C58" s="17"/>
      <c r="D58" s="17"/>
      <c r="E58" s="17"/>
      <c r="F58" s="17"/>
      <c r="G58" s="12"/>
    </row>
    <row r="59" spans="1:7" ht="15.75" customHeight="1">
      <c r="A59" s="3"/>
      <c r="B59" s="3"/>
      <c r="C59" s="17"/>
      <c r="D59" s="17"/>
      <c r="E59" s="17"/>
      <c r="F59" s="17"/>
      <c r="G59" s="12"/>
    </row>
    <row r="60" spans="1:7" ht="15.75" customHeight="1">
      <c r="A60" s="3"/>
      <c r="B60" s="3"/>
      <c r="C60" s="17"/>
      <c r="D60" s="17"/>
      <c r="E60" s="17"/>
      <c r="F60" s="17"/>
      <c r="G60" s="12"/>
    </row>
    <row r="61" spans="1:7" ht="15.75" customHeight="1">
      <c r="A61" s="3"/>
      <c r="B61" s="3"/>
      <c r="C61" s="17"/>
      <c r="D61" s="17"/>
      <c r="E61" s="17"/>
      <c r="F61" s="17"/>
      <c r="G61" s="12"/>
    </row>
    <row r="62" spans="1:7" ht="15.75" customHeight="1">
      <c r="A62" s="3"/>
      <c r="B62" s="3"/>
      <c r="C62" s="17"/>
      <c r="D62" s="17"/>
      <c r="E62" s="17"/>
      <c r="F62" s="17"/>
      <c r="G62" s="12"/>
    </row>
    <row r="63" spans="1:7" ht="15.75" customHeight="1">
      <c r="A63" s="3"/>
      <c r="B63" s="3"/>
      <c r="C63" s="17"/>
      <c r="D63" s="17"/>
      <c r="E63" s="17"/>
      <c r="F63" s="17"/>
      <c r="G63" s="12"/>
    </row>
    <row r="64" spans="1:7" ht="15.75" customHeight="1">
      <c r="A64" s="3"/>
      <c r="B64" s="3"/>
      <c r="C64" s="17"/>
      <c r="D64" s="17"/>
      <c r="E64" s="17"/>
      <c r="F64" s="17"/>
      <c r="G64" s="12"/>
    </row>
    <row r="65" spans="1:7" ht="15.75" customHeight="1">
      <c r="A65" s="3"/>
      <c r="B65" s="3"/>
      <c r="C65" s="17"/>
      <c r="D65" s="17"/>
      <c r="E65" s="17"/>
      <c r="F65" s="17"/>
      <c r="G65" s="12"/>
    </row>
    <row r="66" spans="1:7" ht="15.75" customHeight="1">
      <c r="A66" s="3"/>
      <c r="B66" s="3"/>
      <c r="C66" s="17"/>
      <c r="D66" s="17"/>
      <c r="E66" s="17"/>
      <c r="F66" s="17"/>
      <c r="G66" s="12"/>
    </row>
    <row r="67" spans="1:7" ht="15.75" customHeight="1">
      <c r="A67" s="3"/>
      <c r="B67" s="3"/>
      <c r="C67" s="17"/>
      <c r="D67" s="17"/>
      <c r="E67" s="17"/>
      <c r="F67" s="17"/>
      <c r="G67" s="12"/>
    </row>
    <row r="68" spans="1:7" ht="15.75" customHeight="1">
      <c r="A68" s="3"/>
      <c r="B68" s="3"/>
      <c r="C68" s="17"/>
      <c r="D68" s="17"/>
      <c r="E68" s="17"/>
      <c r="F68" s="17"/>
      <c r="G68" s="12"/>
    </row>
    <row r="69" spans="1:7" ht="15.75" customHeight="1">
      <c r="A69" s="3"/>
      <c r="B69" s="3"/>
      <c r="C69" s="17"/>
      <c r="D69" s="17"/>
      <c r="E69" s="17"/>
      <c r="F69" s="17"/>
      <c r="G69" s="12"/>
    </row>
    <row r="70" spans="1:7" ht="15.75" customHeight="1">
      <c r="A70" s="3"/>
      <c r="B70" s="3"/>
      <c r="C70" s="17"/>
      <c r="D70" s="17"/>
      <c r="E70" s="17"/>
      <c r="F70" s="17"/>
      <c r="G70" s="12"/>
    </row>
    <row r="71" spans="1:7" ht="15.75" customHeight="1">
      <c r="A71" s="3"/>
      <c r="B71" s="3"/>
      <c r="C71" s="17"/>
      <c r="D71" s="17"/>
      <c r="E71" s="17"/>
      <c r="F71" s="17"/>
      <c r="G71" s="12"/>
    </row>
    <row r="72" spans="1:7" ht="15.75" customHeight="1">
      <c r="A72" s="3"/>
      <c r="B72" s="3"/>
      <c r="C72" s="17"/>
      <c r="D72" s="17"/>
      <c r="E72" s="17"/>
      <c r="F72" s="17"/>
      <c r="G72" s="12"/>
    </row>
    <row r="73" spans="1:7" ht="15.75" customHeight="1">
      <c r="A73" s="3"/>
      <c r="B73" s="3"/>
      <c r="C73" s="17"/>
      <c r="D73" s="17"/>
      <c r="E73" s="17"/>
      <c r="F73" s="17"/>
      <c r="G73" s="12"/>
    </row>
    <row r="74" spans="1:7" ht="15.75" customHeight="1">
      <c r="A74" s="3"/>
      <c r="B74" s="3"/>
      <c r="C74" s="17"/>
      <c r="D74" s="17"/>
      <c r="E74" s="17"/>
      <c r="F74" s="17"/>
      <c r="G74" s="12"/>
    </row>
    <row r="75" spans="1:7" ht="15.75" customHeight="1">
      <c r="A75" s="3"/>
      <c r="B75" s="3"/>
      <c r="C75" s="17"/>
      <c r="D75" s="17"/>
      <c r="E75" s="17"/>
      <c r="F75" s="17"/>
      <c r="G75" s="12"/>
    </row>
    <row r="76" spans="1:7" ht="15.75" customHeight="1">
      <c r="A76" s="3"/>
      <c r="B76" s="3"/>
      <c r="C76" s="17"/>
      <c r="D76" s="17"/>
      <c r="E76" s="17"/>
      <c r="F76" s="17"/>
      <c r="G76" s="12"/>
    </row>
    <row r="77" spans="1:7" ht="15.75" customHeight="1">
      <c r="A77" s="3"/>
      <c r="B77" s="3"/>
      <c r="C77" s="17"/>
      <c r="D77" s="17"/>
      <c r="E77" s="17"/>
      <c r="F77" s="17"/>
      <c r="G77" s="12"/>
    </row>
    <row r="78" spans="1:7" ht="15.75" customHeight="1">
      <c r="A78" s="3"/>
      <c r="B78" s="3"/>
      <c r="C78" s="17"/>
      <c r="D78" s="17"/>
      <c r="E78" s="17"/>
      <c r="F78" s="17"/>
      <c r="G78" s="12"/>
    </row>
    <row r="79" spans="1:7" ht="15.75" customHeight="1">
      <c r="A79" s="3"/>
      <c r="B79" s="3"/>
      <c r="C79" s="17"/>
      <c r="D79" s="17"/>
      <c r="E79" s="17"/>
      <c r="F79" s="17"/>
      <c r="G79" s="12"/>
    </row>
    <row r="80" spans="1:7" ht="15.75" customHeight="1">
      <c r="A80" s="3"/>
      <c r="B80" s="3"/>
      <c r="C80" s="17"/>
      <c r="D80" s="17"/>
      <c r="E80" s="17"/>
      <c r="F80" s="17"/>
      <c r="G80" s="12"/>
    </row>
    <row r="81" spans="1:7" ht="15.75" customHeight="1">
      <c r="A81" s="3"/>
      <c r="B81" s="3"/>
      <c r="C81" s="17"/>
      <c r="D81" s="17"/>
      <c r="E81" s="17"/>
      <c r="F81" s="17"/>
      <c r="G81" s="12"/>
    </row>
    <row r="82" spans="1:7" ht="15.75" customHeight="1">
      <c r="A82" s="3"/>
      <c r="B82" s="3"/>
      <c r="C82" s="17"/>
      <c r="D82" s="17"/>
      <c r="E82" s="17"/>
      <c r="F82" s="17"/>
      <c r="G82" s="12"/>
    </row>
    <row r="83" spans="1:7" ht="15.75" customHeight="1">
      <c r="A83" s="3"/>
      <c r="B83" s="3"/>
      <c r="C83" s="17"/>
      <c r="D83" s="17"/>
      <c r="E83" s="17"/>
      <c r="F83" s="17"/>
      <c r="G83" s="12"/>
    </row>
    <row r="84" spans="1:7" ht="15.75" customHeight="1">
      <c r="A84" s="3"/>
      <c r="B84" s="3"/>
      <c r="C84" s="17"/>
      <c r="D84" s="17"/>
      <c r="E84" s="17"/>
      <c r="F84" s="17"/>
      <c r="G84" s="12"/>
    </row>
    <row r="85" spans="1:7" ht="15.75" customHeight="1">
      <c r="A85" s="3"/>
      <c r="B85" s="3"/>
      <c r="C85" s="17"/>
      <c r="D85" s="17"/>
      <c r="E85" s="17"/>
      <c r="F85" s="17"/>
      <c r="G85" s="12"/>
    </row>
    <row r="86" spans="1:7" ht="15.75" customHeight="1">
      <c r="A86" s="3"/>
      <c r="B86" s="3"/>
      <c r="C86" s="17"/>
      <c r="D86" s="17"/>
      <c r="E86" s="17"/>
      <c r="F86" s="17"/>
      <c r="G86" s="12"/>
    </row>
    <row r="87" spans="1:7" ht="15.75" customHeight="1">
      <c r="A87" s="3"/>
      <c r="B87" s="3"/>
      <c r="C87" s="17"/>
      <c r="D87" s="17"/>
      <c r="E87" s="17"/>
      <c r="F87" s="17"/>
      <c r="G87" s="12"/>
    </row>
    <row r="88" spans="1:7" ht="15.75" customHeight="1">
      <c r="A88" s="3"/>
      <c r="B88" s="3"/>
      <c r="C88" s="17"/>
      <c r="D88" s="17"/>
      <c r="E88" s="17"/>
      <c r="F88" s="17"/>
      <c r="G88" s="12"/>
    </row>
    <row r="89" spans="1:7" ht="15.75" customHeight="1">
      <c r="A89" s="3"/>
      <c r="B89" s="3"/>
      <c r="C89" s="17"/>
      <c r="D89" s="17"/>
      <c r="E89" s="17"/>
      <c r="F89" s="17"/>
      <c r="G89" s="12"/>
    </row>
    <row r="90" spans="1:7" ht="15.75" customHeight="1">
      <c r="A90" s="3"/>
      <c r="B90" s="3"/>
      <c r="C90" s="17"/>
      <c r="D90" s="17"/>
      <c r="E90" s="17"/>
      <c r="F90" s="17"/>
      <c r="G90" s="12"/>
    </row>
    <row r="91" spans="1:7" ht="15.75" customHeight="1">
      <c r="A91" s="3"/>
      <c r="B91" s="3"/>
      <c r="C91" s="17"/>
      <c r="D91" s="17"/>
      <c r="E91" s="17"/>
      <c r="F91" s="17"/>
      <c r="G91" s="12"/>
    </row>
    <row r="92" spans="1:7" ht="15.75" customHeight="1">
      <c r="A92" s="3"/>
      <c r="B92" s="3"/>
      <c r="C92" s="17"/>
      <c r="D92" s="17"/>
      <c r="E92" s="17"/>
      <c r="F92" s="17"/>
      <c r="G92" s="12"/>
    </row>
    <row r="93" spans="1:7" ht="15.75" customHeight="1">
      <c r="A93" s="3"/>
      <c r="B93" s="3"/>
      <c r="C93" s="17"/>
      <c r="D93" s="17"/>
      <c r="E93" s="17"/>
      <c r="F93" s="17"/>
      <c r="G93" s="12"/>
    </row>
    <row r="94" spans="1:7" ht="15.75" customHeight="1">
      <c r="A94" s="3"/>
      <c r="B94" s="3"/>
      <c r="C94" s="17"/>
      <c r="D94" s="17"/>
      <c r="E94" s="17"/>
      <c r="F94" s="17"/>
      <c r="G94" s="12"/>
    </row>
    <row r="95" spans="1:7" ht="15.75" customHeight="1">
      <c r="A95" s="3"/>
      <c r="B95" s="3"/>
      <c r="C95" s="17"/>
      <c r="D95" s="17"/>
      <c r="E95" s="17"/>
      <c r="F95" s="17"/>
      <c r="G95" s="12"/>
    </row>
    <row r="96" spans="1:7" ht="15.75" customHeight="1">
      <c r="A96" s="3"/>
      <c r="B96" s="3"/>
      <c r="C96" s="17"/>
      <c r="D96" s="17"/>
      <c r="E96" s="17"/>
      <c r="F96" s="17"/>
      <c r="G96" s="12"/>
    </row>
    <row r="97" spans="1:7" ht="15.75" customHeight="1">
      <c r="A97" s="3"/>
      <c r="B97" s="3"/>
      <c r="C97" s="17"/>
      <c r="D97" s="17"/>
      <c r="E97" s="17"/>
      <c r="F97" s="17"/>
      <c r="G97" s="12"/>
    </row>
    <row r="98" spans="1:7" ht="15.75" customHeight="1">
      <c r="A98" s="3"/>
      <c r="B98" s="3"/>
      <c r="C98" s="17"/>
      <c r="D98" s="17"/>
      <c r="E98" s="17"/>
      <c r="F98" s="17"/>
      <c r="G98" s="12"/>
    </row>
    <row r="99" spans="1:7" ht="15.75" customHeight="1">
      <c r="A99" s="3"/>
      <c r="B99" s="3"/>
      <c r="C99" s="17"/>
      <c r="D99" s="17"/>
      <c r="E99" s="17"/>
      <c r="F99" s="17"/>
      <c r="G99" s="12"/>
    </row>
    <row r="100" spans="1:7" ht="15.75" customHeight="1">
      <c r="A100" s="3"/>
      <c r="B100" s="3"/>
      <c r="C100" s="17"/>
      <c r="D100" s="17"/>
      <c r="E100" s="17"/>
      <c r="F100" s="17"/>
      <c r="G100" s="12"/>
    </row>
    <row r="101" spans="1:7" ht="15.75" customHeight="1">
      <c r="A101" s="3"/>
      <c r="B101" s="3"/>
      <c r="C101" s="17"/>
      <c r="D101" s="17"/>
      <c r="E101" s="17"/>
      <c r="F101" s="17"/>
      <c r="G101" s="12"/>
    </row>
    <row r="102" spans="1:7" ht="15.75" customHeight="1">
      <c r="A102" s="3"/>
      <c r="B102" s="3"/>
      <c r="C102" s="17"/>
      <c r="D102" s="17"/>
      <c r="E102" s="17"/>
      <c r="F102" s="17"/>
      <c r="G102" s="12"/>
    </row>
    <row r="103" spans="1:7" ht="15.75" customHeight="1">
      <c r="A103" s="3"/>
      <c r="B103" s="3"/>
      <c r="C103" s="17"/>
      <c r="D103" s="17"/>
      <c r="E103" s="17"/>
      <c r="F103" s="17"/>
      <c r="G103" s="12"/>
    </row>
    <row r="104" spans="1:7" ht="15.75" customHeight="1">
      <c r="A104" s="3"/>
      <c r="B104" s="3"/>
      <c r="C104" s="17"/>
      <c r="D104" s="17"/>
      <c r="E104" s="17"/>
      <c r="F104" s="17"/>
      <c r="G104" s="12"/>
    </row>
    <row r="105" spans="1:7" ht="15.75" customHeight="1">
      <c r="A105" s="3"/>
      <c r="B105" s="3"/>
      <c r="C105" s="17"/>
      <c r="D105" s="17"/>
      <c r="E105" s="17"/>
      <c r="F105" s="17"/>
      <c r="G105" s="12"/>
    </row>
    <row r="106" spans="1:7" ht="15.75" customHeight="1">
      <c r="A106" s="3"/>
      <c r="B106" s="3"/>
      <c r="C106" s="17"/>
      <c r="D106" s="17"/>
      <c r="E106" s="17"/>
      <c r="F106" s="17"/>
      <c r="G106" s="12"/>
    </row>
    <row r="107" spans="1:7" ht="15.75" customHeight="1">
      <c r="A107" s="3"/>
      <c r="B107" s="3"/>
      <c r="C107" s="17"/>
      <c r="D107" s="17"/>
      <c r="E107" s="17"/>
      <c r="F107" s="17"/>
      <c r="G107" s="12"/>
    </row>
    <row r="108" spans="1:7" ht="15.75" customHeight="1">
      <c r="A108" s="3"/>
      <c r="B108" s="3"/>
      <c r="C108" s="17"/>
      <c r="D108" s="17"/>
      <c r="E108" s="17"/>
      <c r="F108" s="17"/>
      <c r="G108" s="12"/>
    </row>
    <row r="109" spans="1:7" ht="15.75" customHeight="1">
      <c r="A109" s="3"/>
      <c r="B109" s="3"/>
      <c r="C109" s="17"/>
      <c r="D109" s="17"/>
      <c r="E109" s="17"/>
      <c r="F109" s="17"/>
      <c r="G109" s="12"/>
    </row>
    <row r="110" spans="1:7" ht="15.75" customHeight="1">
      <c r="A110" s="3"/>
      <c r="B110" s="3"/>
      <c r="C110" s="17"/>
      <c r="D110" s="17"/>
      <c r="E110" s="17"/>
      <c r="F110" s="17"/>
      <c r="G110" s="12"/>
    </row>
    <row r="111" spans="1:7" ht="15.75" customHeight="1">
      <c r="A111" s="3"/>
      <c r="B111" s="3"/>
      <c r="C111" s="17"/>
      <c r="D111" s="17"/>
      <c r="E111" s="17"/>
      <c r="F111" s="17"/>
      <c r="G111" s="12"/>
    </row>
    <row r="112" spans="1:7" ht="15.75" customHeight="1">
      <c r="A112" s="3"/>
      <c r="B112" s="3"/>
      <c r="C112" s="17"/>
      <c r="D112" s="17"/>
      <c r="E112" s="17"/>
      <c r="F112" s="17"/>
      <c r="G112" s="12"/>
    </row>
    <row r="113" spans="1:7" ht="15.75" customHeight="1">
      <c r="A113" s="3"/>
      <c r="B113" s="3"/>
      <c r="C113" s="17"/>
      <c r="D113" s="17"/>
      <c r="E113" s="17"/>
      <c r="F113" s="17"/>
      <c r="G113" s="12"/>
    </row>
    <row r="114" spans="1:7" ht="15.75" customHeight="1">
      <c r="A114" s="3"/>
      <c r="B114" s="3"/>
      <c r="C114" s="17"/>
      <c r="D114" s="17"/>
      <c r="E114" s="17"/>
      <c r="F114" s="17"/>
      <c r="G114" s="12"/>
    </row>
    <row r="115" spans="1:7" ht="15.75" customHeight="1">
      <c r="A115" s="3"/>
      <c r="B115" s="3"/>
      <c r="C115" s="17"/>
      <c r="D115" s="17"/>
      <c r="E115" s="17"/>
      <c r="F115" s="17"/>
      <c r="G115" s="12"/>
    </row>
    <row r="116" spans="1:7" ht="15.75" customHeight="1">
      <c r="A116" s="3"/>
      <c r="B116" s="3"/>
      <c r="C116" s="17"/>
      <c r="D116" s="17"/>
      <c r="E116" s="17"/>
      <c r="F116" s="17"/>
      <c r="G116" s="12"/>
    </row>
    <row r="117" spans="1:7" ht="15.75" customHeight="1">
      <c r="A117" s="3"/>
      <c r="B117" s="3"/>
      <c r="C117" s="17"/>
      <c r="D117" s="17"/>
      <c r="E117" s="17"/>
      <c r="F117" s="17"/>
      <c r="G117" s="12"/>
    </row>
    <row r="118" spans="1:7" ht="15.75" customHeight="1">
      <c r="A118" s="3"/>
      <c r="B118" s="3"/>
      <c r="C118" s="17"/>
      <c r="D118" s="17"/>
      <c r="E118" s="17"/>
      <c r="F118" s="17"/>
      <c r="G118" s="12"/>
    </row>
    <row r="119" spans="1:7" ht="15.75" customHeight="1">
      <c r="A119" s="3"/>
      <c r="B119" s="3"/>
      <c r="C119" s="17"/>
      <c r="D119" s="17"/>
      <c r="E119" s="17"/>
      <c r="F119" s="17"/>
      <c r="G119" s="12"/>
    </row>
    <row r="120" spans="1:7" ht="15.75" customHeight="1">
      <c r="A120" s="3"/>
      <c r="B120" s="3"/>
      <c r="C120" s="17"/>
      <c r="D120" s="17"/>
      <c r="E120" s="17"/>
      <c r="F120" s="17"/>
      <c r="G120" s="12"/>
    </row>
    <row r="121" spans="1:7" ht="15.75" customHeight="1">
      <c r="A121" s="3"/>
      <c r="B121" s="3"/>
      <c r="C121" s="17"/>
      <c r="D121" s="17"/>
      <c r="E121" s="17"/>
      <c r="F121" s="17"/>
      <c r="G121" s="12"/>
    </row>
    <row r="122" spans="1:7" ht="15.75" customHeight="1">
      <c r="A122" s="3"/>
      <c r="B122" s="3"/>
      <c r="C122" s="17"/>
      <c r="D122" s="17"/>
      <c r="E122" s="17"/>
      <c r="F122" s="17"/>
      <c r="G122" s="12"/>
    </row>
    <row r="123" spans="1:7" ht="15.75" customHeight="1">
      <c r="A123" s="3"/>
      <c r="B123" s="3"/>
      <c r="C123" s="17"/>
      <c r="D123" s="17"/>
      <c r="E123" s="17"/>
      <c r="F123" s="17"/>
      <c r="G123" s="12"/>
    </row>
    <row r="124" spans="1:7" ht="15.75" customHeight="1">
      <c r="A124" s="3"/>
      <c r="B124" s="3"/>
      <c r="C124" s="17"/>
      <c r="D124" s="17"/>
      <c r="E124" s="17"/>
      <c r="F124" s="17"/>
      <c r="G124" s="12"/>
    </row>
    <row r="125" spans="1:7" ht="15.75" customHeight="1">
      <c r="A125" s="3"/>
      <c r="B125" s="3"/>
      <c r="C125" s="17"/>
      <c r="D125" s="17"/>
      <c r="E125" s="17"/>
      <c r="F125" s="17"/>
      <c r="G125" s="12"/>
    </row>
    <row r="126" spans="1:7" ht="15.75" customHeight="1">
      <c r="A126" s="3"/>
      <c r="B126" s="3"/>
      <c r="C126" s="17"/>
      <c r="D126" s="17"/>
      <c r="E126" s="17"/>
      <c r="F126" s="17"/>
      <c r="G126" s="12"/>
    </row>
    <row r="127" spans="1:7" ht="15.75" customHeight="1">
      <c r="A127" s="3"/>
      <c r="B127" s="3"/>
      <c r="C127" s="17"/>
      <c r="D127" s="17"/>
      <c r="E127" s="17"/>
      <c r="F127" s="17"/>
      <c r="G127" s="12"/>
    </row>
    <row r="128" spans="1:7" ht="15.75" customHeight="1">
      <c r="A128" s="3"/>
      <c r="B128" s="3"/>
      <c r="C128" s="17"/>
      <c r="D128" s="17"/>
      <c r="E128" s="17"/>
      <c r="F128" s="17"/>
      <c r="G128" s="12"/>
    </row>
    <row r="129" spans="1:7" ht="15.75" customHeight="1">
      <c r="A129" s="3"/>
      <c r="B129" s="3"/>
      <c r="C129" s="17"/>
      <c r="D129" s="17"/>
      <c r="E129" s="17"/>
      <c r="F129" s="17"/>
      <c r="G129" s="12"/>
    </row>
    <row r="130" spans="1:7" ht="15.75" customHeight="1">
      <c r="A130" s="3"/>
      <c r="B130" s="3"/>
      <c r="C130" s="17"/>
      <c r="D130" s="17"/>
      <c r="E130" s="17"/>
      <c r="F130" s="17"/>
      <c r="G130" s="12"/>
    </row>
    <row r="131" spans="1:7" ht="15.75" customHeight="1">
      <c r="A131" s="3"/>
      <c r="B131" s="3"/>
      <c r="C131" s="17"/>
      <c r="D131" s="17"/>
      <c r="E131" s="17"/>
      <c r="F131" s="17"/>
      <c r="G131" s="12"/>
    </row>
    <row r="132" spans="1:7" ht="15.75" customHeight="1">
      <c r="A132" s="3"/>
      <c r="B132" s="3"/>
      <c r="C132" s="17"/>
      <c r="D132" s="17"/>
      <c r="E132" s="17"/>
      <c r="F132" s="17"/>
      <c r="G132" s="12"/>
    </row>
    <row r="133" spans="1:7" ht="15.75" customHeight="1">
      <c r="A133" s="3"/>
      <c r="B133" s="3"/>
      <c r="C133" s="17"/>
      <c r="D133" s="17"/>
      <c r="E133" s="17"/>
      <c r="F133" s="17"/>
      <c r="G133" s="12"/>
    </row>
    <row r="134" spans="1:7" ht="15.75" customHeight="1">
      <c r="A134" s="3"/>
      <c r="B134" s="3"/>
      <c r="C134" s="17"/>
      <c r="D134" s="17"/>
      <c r="E134" s="17"/>
      <c r="F134" s="17"/>
      <c r="G134" s="12"/>
    </row>
    <row r="135" spans="1:7" ht="15.75" customHeight="1">
      <c r="A135" s="3"/>
      <c r="B135" s="3"/>
      <c r="C135" s="17"/>
      <c r="D135" s="17"/>
      <c r="E135" s="17"/>
      <c r="F135" s="17"/>
      <c r="G135" s="12"/>
    </row>
    <row r="136" spans="1:7" ht="15.75" customHeight="1">
      <c r="A136" s="3"/>
      <c r="B136" s="3"/>
      <c r="C136" s="17"/>
      <c r="D136" s="17"/>
      <c r="E136" s="17"/>
      <c r="F136" s="17"/>
      <c r="G136" s="12"/>
    </row>
    <row r="137" spans="1:7" ht="15.75" customHeight="1">
      <c r="A137" s="3"/>
      <c r="B137" s="3"/>
      <c r="C137" s="17"/>
      <c r="D137" s="17"/>
      <c r="E137" s="17"/>
      <c r="F137" s="17"/>
      <c r="G137" s="12"/>
    </row>
    <row r="138" spans="1:7" ht="15.75" customHeight="1">
      <c r="A138" s="3"/>
      <c r="B138" s="3"/>
      <c r="C138" s="17"/>
      <c r="D138" s="17"/>
      <c r="E138" s="17"/>
      <c r="F138" s="17"/>
      <c r="G138" s="12"/>
    </row>
    <row r="139" spans="1:7" ht="15.75" customHeight="1">
      <c r="A139" s="3"/>
      <c r="B139" s="3"/>
      <c r="C139" s="17"/>
      <c r="D139" s="17"/>
      <c r="E139" s="17"/>
      <c r="F139" s="17"/>
      <c r="G139" s="12"/>
    </row>
    <row r="140" spans="1:7" ht="15.75" customHeight="1">
      <c r="A140" s="3"/>
      <c r="B140" s="3"/>
      <c r="C140" s="17"/>
      <c r="D140" s="17"/>
      <c r="E140" s="17"/>
      <c r="F140" s="17"/>
      <c r="G140" s="12"/>
    </row>
    <row r="141" spans="1:7" ht="15.75" customHeight="1">
      <c r="A141" s="3"/>
      <c r="B141" s="3"/>
      <c r="C141" s="17"/>
      <c r="D141" s="17"/>
      <c r="E141" s="17"/>
      <c r="F141" s="17"/>
      <c r="G141" s="12"/>
    </row>
    <row r="142" spans="1:7" ht="15.75" customHeight="1">
      <c r="A142" s="3"/>
      <c r="B142" s="3"/>
      <c r="C142" s="17"/>
      <c r="D142" s="17"/>
      <c r="E142" s="17"/>
      <c r="F142" s="17"/>
      <c r="G142" s="12"/>
    </row>
    <row r="143" spans="1:7" ht="15.75" customHeight="1">
      <c r="A143" s="3"/>
      <c r="B143" s="3"/>
      <c r="C143" s="17"/>
      <c r="D143" s="17"/>
      <c r="E143" s="17"/>
      <c r="F143" s="17"/>
      <c r="G143" s="12"/>
    </row>
    <row r="144" spans="1:7" ht="15.75" customHeight="1">
      <c r="A144" s="3"/>
      <c r="B144" s="3"/>
      <c r="C144" s="17"/>
      <c r="D144" s="17"/>
      <c r="E144" s="17"/>
      <c r="F144" s="17"/>
      <c r="G144" s="12"/>
    </row>
    <row r="145" spans="1:7" ht="15.75" customHeight="1">
      <c r="A145" s="3"/>
      <c r="B145" s="3"/>
      <c r="C145" s="17"/>
      <c r="D145" s="17"/>
      <c r="E145" s="17"/>
      <c r="F145" s="17"/>
      <c r="G145" s="12"/>
    </row>
    <row r="146" spans="1:7" ht="15.75" customHeight="1">
      <c r="A146" s="3"/>
      <c r="B146" s="3"/>
      <c r="C146" s="17"/>
      <c r="D146" s="17"/>
      <c r="E146" s="17"/>
      <c r="F146" s="17"/>
      <c r="G146" s="12"/>
    </row>
    <row r="147" spans="1:7" ht="15.75" customHeight="1">
      <c r="A147" s="3"/>
      <c r="B147" s="3"/>
      <c r="C147" s="17"/>
      <c r="D147" s="17"/>
      <c r="E147" s="17"/>
      <c r="F147" s="17"/>
      <c r="G147" s="12"/>
    </row>
    <row r="148" spans="1:7" ht="15.75" customHeight="1">
      <c r="A148" s="3"/>
      <c r="B148" s="3"/>
      <c r="C148" s="17"/>
      <c r="D148" s="17"/>
      <c r="E148" s="17"/>
      <c r="F148" s="17"/>
      <c r="G148" s="12"/>
    </row>
    <row r="149" spans="1:7" ht="15.75" customHeight="1">
      <c r="A149" s="3"/>
      <c r="B149" s="3"/>
      <c r="C149" s="17"/>
      <c r="D149" s="17"/>
      <c r="E149" s="17"/>
      <c r="F149" s="17"/>
      <c r="G149" s="12"/>
    </row>
    <row r="150" spans="1:7" ht="15.75" customHeight="1">
      <c r="A150" s="3"/>
      <c r="B150" s="3"/>
      <c r="C150" s="17"/>
      <c r="D150" s="17"/>
      <c r="E150" s="17"/>
      <c r="F150" s="17"/>
      <c r="G150" s="12"/>
    </row>
    <row r="151" spans="1:7" ht="15.75" customHeight="1">
      <c r="A151" s="3"/>
      <c r="B151" s="3"/>
      <c r="C151" s="17"/>
      <c r="D151" s="17"/>
      <c r="E151" s="17"/>
      <c r="F151" s="17"/>
      <c r="G151" s="12"/>
    </row>
    <row r="152" spans="1:7" ht="15.75" customHeight="1">
      <c r="A152" s="3"/>
      <c r="B152" s="3"/>
      <c r="C152" s="17"/>
      <c r="D152" s="17"/>
      <c r="E152" s="17"/>
      <c r="F152" s="17"/>
      <c r="G152" s="12"/>
    </row>
    <row r="153" spans="1:7" ht="15.75" customHeight="1">
      <c r="A153" s="3"/>
      <c r="B153" s="3"/>
      <c r="C153" s="17"/>
      <c r="D153" s="17"/>
      <c r="E153" s="17"/>
      <c r="F153" s="17"/>
      <c r="G153" s="12"/>
    </row>
    <row r="154" spans="1:7" ht="15.75" customHeight="1">
      <c r="A154" s="3"/>
      <c r="B154" s="3"/>
      <c r="C154" s="17"/>
      <c r="D154" s="17"/>
      <c r="E154" s="17"/>
      <c r="F154" s="17"/>
      <c r="G154" s="12"/>
    </row>
    <row r="155" spans="1:7" ht="15.75" customHeight="1">
      <c r="A155" s="3"/>
      <c r="B155" s="3"/>
      <c r="C155" s="17"/>
      <c r="D155" s="17"/>
      <c r="E155" s="17"/>
      <c r="F155" s="17"/>
      <c r="G155" s="12"/>
    </row>
    <row r="156" spans="1:7" ht="15.75" customHeight="1">
      <c r="A156" s="3"/>
      <c r="B156" s="3"/>
      <c r="C156" s="17"/>
      <c r="D156" s="17"/>
      <c r="E156" s="17"/>
      <c r="F156" s="17"/>
      <c r="G156" s="12"/>
    </row>
    <row r="157" spans="1:7" ht="15.75" customHeight="1">
      <c r="A157" s="3"/>
      <c r="B157" s="3"/>
      <c r="C157" s="17"/>
      <c r="D157" s="17"/>
      <c r="E157" s="17"/>
      <c r="F157" s="17"/>
      <c r="G157" s="12"/>
    </row>
    <row r="158" spans="1:7" ht="15.75" customHeight="1">
      <c r="A158" s="3"/>
      <c r="B158" s="3"/>
      <c r="C158" s="17"/>
      <c r="D158" s="17"/>
      <c r="E158" s="17"/>
      <c r="F158" s="17"/>
      <c r="G158" s="12"/>
    </row>
    <row r="159" spans="1:7" ht="15.75" customHeight="1">
      <c r="A159" s="3"/>
      <c r="B159" s="3"/>
      <c r="C159" s="17"/>
      <c r="D159" s="17"/>
      <c r="E159" s="17"/>
      <c r="F159" s="17"/>
      <c r="G159" s="12"/>
    </row>
    <row r="160" spans="1:7" ht="15.75" customHeight="1">
      <c r="A160" s="3"/>
      <c r="B160" s="3"/>
      <c r="C160" s="17"/>
      <c r="D160" s="17"/>
      <c r="E160" s="17"/>
      <c r="F160" s="17"/>
      <c r="G160" s="12"/>
    </row>
    <row r="161" spans="1:7" ht="15.75" customHeight="1">
      <c r="A161" s="3"/>
      <c r="B161" s="3"/>
      <c r="C161" s="17"/>
      <c r="D161" s="17"/>
      <c r="E161" s="17"/>
      <c r="F161" s="17"/>
      <c r="G161" s="12"/>
    </row>
    <row r="162" spans="1:7" ht="15.75" customHeight="1">
      <c r="A162" s="3" t="s">
        <v>807</v>
      </c>
      <c r="B162" s="3"/>
      <c r="C162" s="17"/>
      <c r="D162" s="17"/>
      <c r="E162" s="17"/>
      <c r="F162" s="17"/>
      <c r="G162" s="12"/>
    </row>
    <row r="163" spans="1:7" ht="15.75" customHeight="1">
      <c r="A163" s="3"/>
      <c r="B163" s="3"/>
      <c r="C163" s="17"/>
      <c r="D163" s="17"/>
      <c r="E163" s="17"/>
      <c r="F163" s="17"/>
      <c r="G163" s="12"/>
    </row>
    <row r="164" spans="1:7" ht="15.75" customHeight="1">
      <c r="A164" s="3"/>
      <c r="B164" s="3"/>
      <c r="C164" s="17"/>
      <c r="D164" s="17"/>
      <c r="E164" s="17"/>
      <c r="F164" s="17"/>
      <c r="G164" s="12"/>
    </row>
    <row r="165" spans="1:7" ht="15.75" customHeight="1">
      <c r="A165" s="3"/>
      <c r="B165" s="3"/>
      <c r="C165" s="17"/>
      <c r="D165" s="17"/>
      <c r="E165" s="17"/>
      <c r="F165" s="17"/>
      <c r="G165" s="12"/>
    </row>
    <row r="166" spans="1:7" ht="15.75" customHeight="1">
      <c r="A166" s="3"/>
      <c r="B166" s="3"/>
      <c r="C166" s="17"/>
      <c r="D166" s="17"/>
      <c r="E166" s="17"/>
      <c r="F166" s="17"/>
      <c r="G166" s="12"/>
    </row>
    <row r="167" spans="1:7" ht="15.75" customHeight="1">
      <c r="A167" s="3"/>
      <c r="B167" s="3"/>
      <c r="C167" s="17"/>
      <c r="D167" s="17"/>
      <c r="E167" s="17"/>
      <c r="F167" s="17"/>
      <c r="G167" s="12"/>
    </row>
    <row r="168" spans="1:7" ht="15.75" customHeight="1">
      <c r="A168" s="3"/>
      <c r="B168" s="3"/>
      <c r="C168" s="17"/>
      <c r="D168" s="17"/>
      <c r="E168" s="17"/>
      <c r="F168" s="17"/>
      <c r="G168" s="12"/>
    </row>
    <row r="169" spans="1:7" ht="15.75" customHeight="1">
      <c r="A169" s="3"/>
      <c r="B169" s="3"/>
      <c r="C169" s="17"/>
      <c r="D169" s="17"/>
      <c r="E169" s="17"/>
      <c r="F169" s="17"/>
      <c r="G169" s="12"/>
    </row>
    <row r="170" spans="1:7" ht="15.75" customHeight="1">
      <c r="A170" s="3"/>
      <c r="B170" s="3"/>
      <c r="C170" s="17"/>
      <c r="D170" s="17"/>
      <c r="E170" s="17"/>
      <c r="F170" s="17"/>
      <c r="G170" s="12"/>
    </row>
    <row r="171" spans="1:7" ht="15.75" customHeight="1">
      <c r="A171" s="3"/>
      <c r="B171" s="3"/>
      <c r="C171" s="17"/>
      <c r="D171" s="17"/>
      <c r="E171" s="17"/>
      <c r="F171" s="17"/>
      <c r="G171" s="12"/>
    </row>
    <row r="172" spans="1:7" ht="15.75" customHeight="1">
      <c r="A172" s="3"/>
      <c r="B172" s="3"/>
      <c r="C172" s="17"/>
      <c r="D172" s="17"/>
      <c r="E172" s="17"/>
      <c r="F172" s="17"/>
      <c r="G172" s="12"/>
    </row>
    <row r="173" spans="1:7" ht="15.75" customHeight="1">
      <c r="A173" s="3"/>
      <c r="B173" s="3"/>
      <c r="C173" s="17"/>
      <c r="D173" s="17"/>
      <c r="E173" s="17"/>
      <c r="F173" s="17"/>
      <c r="G173" s="12"/>
    </row>
    <row r="174" spans="1:7" ht="15.75" customHeight="1">
      <c r="A174" s="3"/>
      <c r="B174" s="3"/>
      <c r="C174" s="17"/>
      <c r="D174" s="17"/>
      <c r="E174" s="17"/>
      <c r="F174" s="17"/>
      <c r="G174" s="12"/>
    </row>
    <row r="175" spans="1:7" ht="15.75" customHeight="1">
      <c r="A175" s="3"/>
      <c r="B175" s="3"/>
      <c r="C175" s="17"/>
      <c r="D175" s="17"/>
      <c r="E175" s="17"/>
      <c r="F175" s="17"/>
      <c r="G175" s="12"/>
    </row>
    <row r="176" spans="1:7" ht="15.75" customHeight="1">
      <c r="A176" s="3"/>
      <c r="B176" s="3"/>
      <c r="C176" s="17"/>
      <c r="D176" s="17"/>
      <c r="E176" s="17"/>
      <c r="F176" s="17"/>
      <c r="G176" s="12"/>
    </row>
    <row r="177" spans="1:7" ht="15.75" customHeight="1">
      <c r="A177" s="3"/>
      <c r="B177" s="3"/>
      <c r="C177" s="17"/>
      <c r="D177" s="17"/>
      <c r="E177" s="17"/>
      <c r="F177" s="17"/>
      <c r="G177" s="12"/>
    </row>
    <row r="178" spans="1:7" ht="15.75" customHeight="1">
      <c r="B178" s="3"/>
    </row>
    <row r="179" spans="1:7" ht="15.75" customHeight="1">
      <c r="B179" s="3"/>
    </row>
    <row r="180" spans="1:7" ht="15.75" customHeight="1">
      <c r="B180" s="3"/>
    </row>
    <row r="181" spans="1:7" ht="15.75" customHeight="1">
      <c r="B181" s="3"/>
    </row>
    <row r="182" spans="1:7" ht="15.75" customHeight="1"/>
    <row r="183" spans="1:7" ht="15.75" customHeight="1"/>
    <row r="184" spans="1:7" ht="15.75" customHeight="1">
      <c r="C184" s="3"/>
    </row>
    <row r="185" spans="1:7" ht="15.75" customHeight="1"/>
    <row r="186" spans="1:7" ht="15.75" customHeight="1">
      <c r="C186" s="3"/>
    </row>
    <row r="187" spans="1:7" ht="15.75" customHeight="1"/>
    <row r="188" spans="1:7" ht="15.75" customHeight="1"/>
    <row r="189" spans="1:7" ht="15.75" customHeight="1"/>
    <row r="190" spans="1:7" ht="15.75" customHeight="1"/>
    <row r="191" spans="1:7" ht="15.75" customHeight="1"/>
    <row r="192" spans="1:7" ht="15.75" customHeight="1"/>
    <row r="193" spans="1:5" ht="15.75" customHeight="1"/>
    <row r="194" spans="1:5" ht="15.75" customHeight="1"/>
    <row r="195" spans="1:5" ht="15.75" customHeight="1"/>
    <row r="196" spans="1:5" ht="15.75" customHeight="1"/>
    <row r="197" spans="1:5" ht="15.75" customHeight="1"/>
    <row r="198" spans="1:5" ht="15.75" customHeight="1"/>
    <row r="199" spans="1:5" ht="15.75" customHeight="1"/>
    <row r="200" spans="1:5" ht="15.75" customHeight="1"/>
    <row r="201" spans="1:5" ht="15.75" customHeight="1">
      <c r="A201" s="3"/>
      <c r="B201" s="3"/>
      <c r="C201" s="3"/>
      <c r="E201" s="3"/>
    </row>
    <row r="202" spans="1:5" ht="15.75" customHeight="1"/>
    <row r="203" spans="1:5" ht="15.75" customHeight="1"/>
    <row r="204" spans="1:5" ht="15.75" customHeight="1"/>
    <row r="205" spans="1:5" ht="15.75" customHeight="1"/>
    <row r="206" spans="1:5" ht="15.75" customHeight="1"/>
    <row r="207" spans="1:5" ht="15.75" customHeight="1"/>
    <row r="208" spans="1:5"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6:D36"/>
    <mergeCell ref="G36:I36"/>
  </mergeCells>
  <pageMargins left="0.7" right="0.7" top="0.78740157499999996" bottom="0.78740157499999996"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M1000"/>
  <sheetViews>
    <sheetView workbookViewId="0"/>
  </sheetViews>
  <sheetFormatPr defaultColWidth="15.109375" defaultRowHeight="15" customHeight="1"/>
  <cols>
    <col min="1" max="1" width="3.88671875" customWidth="1"/>
    <col min="2" max="6" width="12.6640625" customWidth="1"/>
    <col min="7" max="7" width="14.109375" customWidth="1"/>
    <col min="8" max="26" width="12.6640625" customWidth="1"/>
  </cols>
  <sheetData>
    <row r="1" spans="1:13" ht="15.75" customHeight="1">
      <c r="A1" s="3"/>
      <c r="B1" s="3"/>
      <c r="C1" s="3"/>
      <c r="D1" s="3"/>
      <c r="E1" s="3"/>
      <c r="F1" s="3"/>
    </row>
    <row r="2" spans="1:13" ht="15.75" customHeight="1">
      <c r="A2" s="3"/>
      <c r="B2" s="1" t="s">
        <v>808</v>
      </c>
      <c r="C2" s="1" t="s">
        <v>715</v>
      </c>
      <c r="D2" s="1" t="s">
        <v>809</v>
      </c>
      <c r="E2" s="1" t="s">
        <v>810</v>
      </c>
      <c r="F2" s="1" t="s">
        <v>811</v>
      </c>
      <c r="G2" s="1" t="s">
        <v>812</v>
      </c>
      <c r="H2" s="1" t="s">
        <v>813</v>
      </c>
      <c r="I2" s="1" t="s">
        <v>814</v>
      </c>
      <c r="J2" s="1" t="s">
        <v>61</v>
      </c>
      <c r="K2" s="1" t="s">
        <v>815</v>
      </c>
    </row>
    <row r="3" spans="1:13" ht="15.75" customHeight="1">
      <c r="A3" s="3"/>
      <c r="B3" s="3" t="s">
        <v>816</v>
      </c>
      <c r="C3" s="12">
        <f ca="1">('Supply Chain'!L36*10)+(C15*50)+174886</f>
        <v>1389086</v>
      </c>
      <c r="D3" s="12">
        <f ca="1">C3*(1.15-UserBuildings!T16*0.01)</f>
        <v>1458540.2999999998</v>
      </c>
      <c r="E3" s="12">
        <f t="shared" ref="E3:E8" ca="1" si="0">VLOOKUP(B3,TblMarket,5,FALSE)</f>
        <v>1246196</v>
      </c>
      <c r="F3" s="12">
        <f t="shared" ref="F3:F8" ca="1" si="1">E3-C3</f>
        <v>-142890</v>
      </c>
      <c r="G3">
        <f t="shared" ref="G3:G8" ca="1" si="2">E3/C3</f>
        <v>0.89713379877127841</v>
      </c>
      <c r="H3" s="12">
        <f t="shared" ref="H3:H8" ca="1" si="3">IF((MIN(I3:K3)*F3)&lt;0,0,MIN(I3:K3)*F3)</f>
        <v>0</v>
      </c>
      <c r="I3">
        <f>Calc!D7/10</f>
        <v>2925</v>
      </c>
    </row>
    <row r="4" spans="1:13" ht="15.75" customHeight="1">
      <c r="A4" s="3"/>
      <c r="B4" s="3" t="s">
        <v>817</v>
      </c>
      <c r="C4" s="12" t="e">
        <f ca="1">('Supply Chain'!L45*60)+('Supply Chain'!L47*30)+('Supply Chain'!L51)+1229616</f>
        <v>#N/A</v>
      </c>
      <c r="D4" s="12" t="e">
        <f ca="1">C4*(1.15-UserBuildings!T17*0.01)</f>
        <v>#N/A</v>
      </c>
      <c r="E4" s="12">
        <f t="shared" ca="1" si="0"/>
        <v>32970000</v>
      </c>
      <c r="F4" s="12" t="e">
        <f t="shared" ca="1" si="1"/>
        <v>#N/A</v>
      </c>
      <c r="G4" t="e">
        <f t="shared" ca="1" si="2"/>
        <v>#N/A</v>
      </c>
      <c r="H4" s="12" t="e">
        <f t="shared" ca="1" si="3"/>
        <v>#N/A</v>
      </c>
      <c r="I4" s="3">
        <f>Calc!D16/60</f>
        <v>41.666666666666664</v>
      </c>
      <c r="J4">
        <f>Calc!D18/30</f>
        <v>576</v>
      </c>
      <c r="K4" s="12">
        <f>Calc!D22</f>
        <v>5040</v>
      </c>
    </row>
    <row r="5" spans="1:13" ht="15.75" customHeight="1">
      <c r="A5" s="3"/>
      <c r="B5" s="3" t="s">
        <v>818</v>
      </c>
      <c r="C5" s="12" t="e">
        <f ca="1">('Supply Chain'!L45*40)+('Supply Chain'!L47*20)+('Supply Chain'!L50*100)+1353444</f>
        <v>#N/A</v>
      </c>
      <c r="D5" s="12" t="e">
        <f ca="1">C5*(1.15-UserBuildings!T18*0.01)</f>
        <v>#N/A</v>
      </c>
      <c r="E5" s="12">
        <f t="shared" ca="1" si="0"/>
        <v>15150000</v>
      </c>
      <c r="F5" s="12" t="e">
        <f t="shared" ca="1" si="1"/>
        <v>#N/A</v>
      </c>
      <c r="G5" t="e">
        <f t="shared" ca="1" si="2"/>
        <v>#N/A</v>
      </c>
      <c r="H5" s="12" t="e">
        <f t="shared" ca="1" si="3"/>
        <v>#N/A</v>
      </c>
      <c r="I5">
        <f>Calc!D16/40</f>
        <v>62.5</v>
      </c>
      <c r="J5">
        <f>Calc!D18/20</f>
        <v>864</v>
      </c>
      <c r="K5" s="22">
        <f>Calc!D21/100</f>
        <v>360</v>
      </c>
    </row>
    <row r="6" spans="1:13" ht="15.75" customHeight="1">
      <c r="A6" s="3"/>
      <c r="B6" s="3" t="s">
        <v>819</v>
      </c>
      <c r="C6" s="12" t="e">
        <f ca="1">('Supply Chain'!L45*120)+('Supply Chain'!L47*60)+'Supply Chain'!L52+12166277</f>
        <v>#N/A</v>
      </c>
      <c r="D6" s="12" t="e">
        <f ca="1">C6*(1.15-UserBuildings!T19*0.01)</f>
        <v>#N/A</v>
      </c>
      <c r="E6" s="12">
        <f t="shared" ca="1" si="0"/>
        <v>47470000</v>
      </c>
      <c r="F6" s="12" t="e">
        <f t="shared" ca="1" si="1"/>
        <v>#N/A</v>
      </c>
      <c r="G6" t="e">
        <f t="shared" ca="1" si="2"/>
        <v>#N/A</v>
      </c>
      <c r="H6" s="12" t="e">
        <f t="shared" ca="1" si="3"/>
        <v>#N/A</v>
      </c>
      <c r="I6" s="12">
        <f>Calc!D16</f>
        <v>2500</v>
      </c>
      <c r="J6" s="12">
        <f>Calc!D18</f>
        <v>17280</v>
      </c>
      <c r="K6" s="12">
        <f>Calc!D23</f>
        <v>4800</v>
      </c>
    </row>
    <row r="7" spans="1:13" ht="15.75" customHeight="1">
      <c r="A7" s="3"/>
      <c r="B7" s="3" t="s">
        <v>820</v>
      </c>
      <c r="C7" s="12" t="e">
        <f ca="1">('Supply Chain'!L45*5)+('Supply Chain'!L47*10)+('Supply Chain'!L50*50)+135751</f>
        <v>#N/A</v>
      </c>
      <c r="D7" s="12" t="e">
        <f ca="1">C7*(1.15-UserBuildings!T20*0.01)</f>
        <v>#N/A</v>
      </c>
      <c r="E7" s="12" t="e">
        <f t="shared" ca="1" si="0"/>
        <v>#N/A</v>
      </c>
      <c r="F7" s="12" t="e">
        <f t="shared" ca="1" si="1"/>
        <v>#N/A</v>
      </c>
      <c r="G7" t="e">
        <f t="shared" ca="1" si="2"/>
        <v>#N/A</v>
      </c>
      <c r="H7" s="12" t="e">
        <f t="shared" ca="1" si="3"/>
        <v>#N/A</v>
      </c>
      <c r="I7">
        <f>Calc!D16/5</f>
        <v>500</v>
      </c>
      <c r="J7">
        <f>Calc!D18/10</f>
        <v>1728</v>
      </c>
      <c r="K7">
        <f>Calc!D21/50</f>
        <v>720</v>
      </c>
    </row>
    <row r="8" spans="1:13" ht="15.75" customHeight="1">
      <c r="A8" s="3"/>
      <c r="B8" s="3" t="s">
        <v>821</v>
      </c>
      <c r="C8" s="12">
        <f ca="1">('Supply Chain'!L36*10)+(C15*10)+17416</f>
        <v>655616</v>
      </c>
      <c r="D8" s="12">
        <f ca="1">C8*(1.15-UserBuildings!T21*0.01)</f>
        <v>753958.39999999991</v>
      </c>
      <c r="E8" s="12">
        <f t="shared" ca="1" si="0"/>
        <v>1098880</v>
      </c>
      <c r="F8" s="12">
        <f t="shared" ca="1" si="1"/>
        <v>443264</v>
      </c>
      <c r="G8">
        <f t="shared" ca="1" si="2"/>
        <v>1.6761030847325264</v>
      </c>
      <c r="H8" s="12">
        <f t="shared" ca="1" si="3"/>
        <v>2593094400</v>
      </c>
      <c r="I8">
        <f>Calc!D7/5</f>
        <v>5850</v>
      </c>
    </row>
    <row r="9" spans="1:13" ht="15.75" customHeight="1">
      <c r="A9" s="3"/>
      <c r="B9" s="3"/>
      <c r="C9" s="12"/>
      <c r="D9" s="12"/>
      <c r="E9" s="12"/>
    </row>
    <row r="10" spans="1:13" ht="15.75" customHeight="1">
      <c r="A10" s="3"/>
      <c r="B10" s="3" t="s">
        <v>822</v>
      </c>
      <c r="C10" s="12"/>
      <c r="D10" s="12"/>
      <c r="F10" s="12"/>
      <c r="I10" s="49" t="s">
        <v>823</v>
      </c>
      <c r="J10" s="94"/>
      <c r="K10" s="94"/>
      <c r="L10" s="94"/>
    </row>
    <row r="11" spans="1:13" ht="15.75" customHeight="1">
      <c r="A11" s="3"/>
      <c r="B11" s="1" t="s">
        <v>824</v>
      </c>
      <c r="C11" s="1" t="s">
        <v>825</v>
      </c>
      <c r="D11" s="1" t="s">
        <v>826</v>
      </c>
      <c r="E11" s="1" t="s">
        <v>827</v>
      </c>
      <c r="F11" s="1" t="s">
        <v>811</v>
      </c>
      <c r="G11" s="1" t="s">
        <v>812</v>
      </c>
      <c r="H11" s="1" t="s">
        <v>828</v>
      </c>
      <c r="I11" s="133" t="s">
        <v>11</v>
      </c>
      <c r="J11" s="96" t="s">
        <v>829</v>
      </c>
      <c r="K11" s="96" t="s">
        <v>830</v>
      </c>
      <c r="L11" s="96" t="s">
        <v>831</v>
      </c>
      <c r="M11" s="96" t="s">
        <v>832</v>
      </c>
    </row>
    <row r="12" spans="1:13" ht="15.75" customHeight="1">
      <c r="A12" s="3"/>
      <c r="B12" s="3" t="s">
        <v>833</v>
      </c>
      <c r="C12" s="12">
        <f t="shared" ref="C12:C24" ca="1" si="4">VLOOKUP(B12,TblMarket,5,FALSE)</f>
        <v>25250</v>
      </c>
      <c r="D12" s="12">
        <f ca="1">(C23*10)/50000</f>
        <v>17717.7016</v>
      </c>
      <c r="E12" s="12">
        <f ca="1">C12*(1.15-UserBuildings!T$16*0.01)</f>
        <v>26512.499999999996</v>
      </c>
      <c r="F12" s="12">
        <f t="shared" ref="F12:F22" ca="1" si="5">D12-C12</f>
        <v>-7532.2983999999997</v>
      </c>
      <c r="G12">
        <f t="shared" ref="G12:G22" ca="1" si="6">D12/C12</f>
        <v>0.70169115247524749</v>
      </c>
      <c r="H12" s="3">
        <f t="shared" ref="H12:H22" ca="1" si="7">D12/E12</f>
        <v>0.66827728807166442</v>
      </c>
      <c r="I12" s="134" t="s">
        <v>834</v>
      </c>
      <c r="J12" s="135">
        <f>VLOOKUP($I$12,TblRecycleBasics,2,FALSE)</f>
        <v>1000</v>
      </c>
      <c r="K12" s="136">
        <v>1000</v>
      </c>
      <c r="L12" s="137">
        <f ca="1">(VLOOKUP($I$12,Markets!$F$4:$L$61,3,FALSE))*K12*(1.15-UserBuildings!T$16*0.01)</f>
        <v>30473099.999999996</v>
      </c>
      <c r="M12" s="12">
        <f ca="1">(VLOOKUP($I$12,Markets!$F$4:$L$61,3,FALSE))*K12</f>
        <v>29022000</v>
      </c>
    </row>
    <row r="13" spans="1:13" ht="15.75" customHeight="1">
      <c r="A13" s="3"/>
      <c r="B13" s="3" t="s">
        <v>835</v>
      </c>
      <c r="C13" s="12">
        <f t="shared" ca="1" si="4"/>
        <v>11294549</v>
      </c>
      <c r="D13" s="12">
        <f ca="1">100*(IF(C18&lt;D18,D18,C18))+40*(IF(C20&lt;D20,D20,C20))+50*(IF(C14&lt;D14,D14,C14))+30*(IF(C21&lt;D21,D21,C21))</f>
        <v>12173380</v>
      </c>
      <c r="E13" s="12">
        <f ca="1">C13*(1.15-UserBuildings!T$16*0.01)</f>
        <v>11859276.449999997</v>
      </c>
      <c r="F13" s="12">
        <f t="shared" ca="1" si="5"/>
        <v>878831</v>
      </c>
      <c r="G13">
        <f t="shared" ca="1" si="6"/>
        <v>1.0778101896764536</v>
      </c>
      <c r="H13" s="3">
        <f t="shared" ca="1" si="7"/>
        <v>1.026485894929956</v>
      </c>
      <c r="I13" s="138" t="s">
        <v>836</v>
      </c>
      <c r="J13" s="96" t="s">
        <v>837</v>
      </c>
      <c r="K13" s="96" t="s">
        <v>838</v>
      </c>
      <c r="L13" s="96" t="s">
        <v>810</v>
      </c>
      <c r="M13" s="96" t="s">
        <v>810</v>
      </c>
    </row>
    <row r="14" spans="1:13" ht="15.75" customHeight="1">
      <c r="A14" s="3"/>
      <c r="B14" s="3" t="s">
        <v>839</v>
      </c>
      <c r="C14" s="12">
        <f t="shared" ca="1" si="4"/>
        <v>191283</v>
      </c>
      <c r="D14" s="12">
        <f ca="1">(200*'Supply Chain'!L42+600*'Supply Chain'!L39+100*'Supply Chain'!L46+5000*'Supply Chain'!L50)/500</f>
        <v>147174.20000000001</v>
      </c>
      <c r="E14" s="12">
        <f ca="1">C14*(1.15-UserBuildings!T$16*0.01)</f>
        <v>200847.14999999997</v>
      </c>
      <c r="F14" s="12">
        <f t="shared" ca="1" si="5"/>
        <v>-44108.799999999988</v>
      </c>
      <c r="G14">
        <f t="shared" ca="1" si="6"/>
        <v>0.76940554048190379</v>
      </c>
      <c r="H14" s="3">
        <f t="shared" ca="1" si="7"/>
        <v>0.73276718141133712</v>
      </c>
      <c r="I14" s="139" t="str">
        <f>VLOOKUP($I$12,TblRecycleBasics,3,FALSE)</f>
        <v>Aluminium</v>
      </c>
      <c r="J14" s="98">
        <f>VLOOKUP($I$12,Static!AH20:AR30,4,FALSE)</f>
        <v>30</v>
      </c>
      <c r="K14" s="122">
        <f>IF(K12&lt;J12,0,(ROUNDDOWN(K12/J12,0))*J14)</f>
        <v>30</v>
      </c>
      <c r="L14" s="140">
        <f ca="1">IFERROR(VLOOKUP($I14,Markets!F4:L60,5,FALSE)*$K14,0)</f>
        <v>2892090</v>
      </c>
      <c r="M14" s="12">
        <f ca="1">IFERROR(VLOOKUP($I14,Markets!F4:L60,5,FALSE)*$K14,0)</f>
        <v>2892090</v>
      </c>
    </row>
    <row r="15" spans="1:13" ht="15.75" customHeight="1">
      <c r="B15" t="s">
        <v>840</v>
      </c>
      <c r="C15" s="12">
        <f t="shared" ca="1" si="4"/>
        <v>14400</v>
      </c>
      <c r="D15" s="12">
        <f ca="1">(100*'Supply Chain'!E34+30*'Supply Chain'!E33+50*'Supply Chain'!E35+10*'Supply Chain'!E39)/200</f>
        <v>446.35</v>
      </c>
      <c r="E15" s="12">
        <f ca="1">C15*(1.15-UserBuildings!T$16*0.01)</f>
        <v>15119.999999999998</v>
      </c>
      <c r="F15" s="12">
        <f t="shared" ca="1" si="5"/>
        <v>-13953.65</v>
      </c>
      <c r="G15">
        <f t="shared" ca="1" si="6"/>
        <v>3.0996527777777779E-2</v>
      </c>
      <c r="H15" s="3">
        <f t="shared" ca="1" si="7"/>
        <v>2.9520502645502652E-2</v>
      </c>
      <c r="I15" s="139" t="str">
        <f>VLOOKUP($I$12,TblRecycleBasics,5,FALSE)</f>
        <v>Copper</v>
      </c>
      <c r="J15" s="98">
        <f>VLOOKUP($I$12,TblRecycleBasics,6,FALSE)</f>
        <v>20</v>
      </c>
      <c r="K15" s="122">
        <f>IF(K12&lt;J12,0,(ROUNDDOWN(K12/J12,0))*J15)</f>
        <v>20</v>
      </c>
      <c r="L15" s="140">
        <f ca="1">IFERROR(VLOOKUP($I15,Markets!F5:L61,5,FALSE)*$K15,0)</f>
        <v>1746700</v>
      </c>
      <c r="M15" s="12">
        <f ca="1">IFERROR(VLOOKUP($I15,Markets!F5:L61,5,FALSE)*$K15,0)</f>
        <v>1746700</v>
      </c>
    </row>
    <row r="16" spans="1:13" ht="15.75" customHeight="1">
      <c r="A16" s="3"/>
      <c r="B16" s="3" t="s">
        <v>841</v>
      </c>
      <c r="C16" s="12" t="e">
        <f t="shared" ca="1" si="4"/>
        <v>#N/A</v>
      </c>
      <c r="D16" s="12">
        <f ca="1">(500*'Supply Chain'!L48+100*'Supply Chain'!L47+100*'Supply Chain'!L37+600*(IF(C18&lt;D18,D18,C18)))/5</f>
        <v>6835640</v>
      </c>
      <c r="E16" s="12" t="e">
        <f ca="1">C16*(1.15-UserBuildings!T$16*0.01)</f>
        <v>#N/A</v>
      </c>
      <c r="F16" s="12" t="e">
        <f t="shared" ca="1" si="5"/>
        <v>#N/A</v>
      </c>
      <c r="G16" t="e">
        <f t="shared" ca="1" si="6"/>
        <v>#N/A</v>
      </c>
      <c r="H16" s="3" t="e">
        <f t="shared" ca="1" si="7"/>
        <v>#N/A</v>
      </c>
      <c r="I16" s="139" t="str">
        <f>VLOOKUP($I$12,TblRecycleBasics,7,FALSE)</f>
        <v>Steel</v>
      </c>
      <c r="J16" s="98">
        <f>VLOOKUP($I$12,TblRecycleBasics,8,FALSE)</f>
        <v>200</v>
      </c>
      <c r="K16" s="122">
        <f>IF(K12&lt;J12,0,(ROUNDDOWN(K12/J12,0))*J16)</f>
        <v>200</v>
      </c>
      <c r="L16" s="140">
        <f ca="1">IFERROR(VLOOKUP($I16,Markets!F6:L62,5,FALSE)*$K16,0)</f>
        <v>9884000</v>
      </c>
      <c r="M16" s="12">
        <f ca="1">IFERROR(VLOOKUP($I16,Markets!F6:L62,5,FALSE)*$K16,0)</f>
        <v>9884000</v>
      </c>
    </row>
    <row r="17" spans="1:13" ht="15.75" customHeight="1">
      <c r="B17" t="s">
        <v>842</v>
      </c>
      <c r="C17" s="12">
        <f t="shared" ca="1" si="4"/>
        <v>21328</v>
      </c>
      <c r="D17" s="12">
        <f ca="1">(40*'Supply Chain'!L42+10*'Supply Chain'!L36)/100</f>
        <v>6862.8</v>
      </c>
      <c r="E17" s="12">
        <f ca="1">C17*(1.15-UserBuildings!T$16*0.01)</f>
        <v>22394.399999999998</v>
      </c>
      <c r="F17" s="12">
        <f t="shared" ca="1" si="5"/>
        <v>-14465.2</v>
      </c>
      <c r="G17">
        <f t="shared" ca="1" si="6"/>
        <v>0.3217741935483871</v>
      </c>
      <c r="H17" s="3">
        <f t="shared" ca="1" si="7"/>
        <v>0.30645161290322587</v>
      </c>
      <c r="I17" s="139" t="str">
        <f>VLOOKUP($I$12,TblRecycleBasics,9,FALSE)</f>
        <v>-</v>
      </c>
      <c r="J17" s="98">
        <f>VLOOKUP($I$12,TblRecycleBasics,10,FALSE)</f>
        <v>0</v>
      </c>
      <c r="K17" s="141">
        <f>IF(K12&lt;J12,0,(ROUNDDOWN(K12/J12,0))*J17)</f>
        <v>0</v>
      </c>
      <c r="L17" s="140">
        <f ca="1">IFERROR(VLOOKUP($I17,Markets!F7:L63,5,FALSE)*$K17,0)</f>
        <v>0</v>
      </c>
      <c r="M17" s="12">
        <f ca="1">IFERROR(VLOOKUP($I17,Markets!F7:L63,5,FALSE)*$K17,0)</f>
        <v>0</v>
      </c>
    </row>
    <row r="18" spans="1:13" ht="15.75" customHeight="1">
      <c r="A18" s="3"/>
      <c r="B18" s="3" t="s">
        <v>843</v>
      </c>
      <c r="C18" s="12">
        <f t="shared" ca="1" si="4"/>
        <v>10621</v>
      </c>
      <c r="D18" s="12">
        <f ca="1">(500*'Supply Chain'!L42+10*'Supply Chain'!L41+20*(IF(C21&lt;D21,D21,C21)))/500</f>
        <v>7245.06</v>
      </c>
      <c r="E18" s="12">
        <f ca="1">C18*(1.15-UserBuildings!T$16*0.01)</f>
        <v>11152.049999999997</v>
      </c>
      <c r="F18" s="12">
        <f t="shared" ca="1" si="5"/>
        <v>-3375.9399999999996</v>
      </c>
      <c r="G18">
        <f t="shared" ca="1" si="6"/>
        <v>0.68214480745692496</v>
      </c>
      <c r="H18" s="3">
        <f t="shared" ca="1" si="7"/>
        <v>0.64966172138754774</v>
      </c>
      <c r="I18" s="49"/>
      <c r="J18" s="49"/>
      <c r="K18" s="96" t="s">
        <v>844</v>
      </c>
      <c r="L18" s="137">
        <f t="shared" ref="L18:M18" ca="1" si="8">SUM(L14:L17)</f>
        <v>14522790</v>
      </c>
      <c r="M18" s="137">
        <f t="shared" ca="1" si="8"/>
        <v>14522790</v>
      </c>
    </row>
    <row r="19" spans="1:13" ht="15.75" customHeight="1">
      <c r="A19" s="3"/>
      <c r="B19" s="3" t="s">
        <v>845</v>
      </c>
      <c r="C19" s="12">
        <f t="shared" ca="1" si="4"/>
        <v>68397</v>
      </c>
      <c r="D19" s="12">
        <f ca="1">(C24*10)/50000</f>
        <v>52748.217199999999</v>
      </c>
      <c r="E19" s="12">
        <f ca="1">C19*(1.15-UserBuildings!T$16*0.01)</f>
        <v>71816.849999999991</v>
      </c>
      <c r="F19" s="12">
        <f t="shared" ca="1" si="5"/>
        <v>-15648.782800000001</v>
      </c>
      <c r="G19">
        <f t="shared" ca="1" si="6"/>
        <v>0.77120659093235078</v>
      </c>
      <c r="H19" s="3">
        <f t="shared" ca="1" si="7"/>
        <v>0.73448246755461988</v>
      </c>
      <c r="I19" s="49"/>
      <c r="J19" s="49"/>
      <c r="K19" s="96" t="s">
        <v>846</v>
      </c>
      <c r="L19" s="137">
        <f t="shared" ref="L19:M19" ca="1" si="9">L18-L12</f>
        <v>-15950309.999999996</v>
      </c>
      <c r="M19" s="137">
        <f t="shared" ca="1" si="9"/>
        <v>-14499210</v>
      </c>
    </row>
    <row r="20" spans="1:13" ht="15.75" customHeight="1">
      <c r="A20" s="3"/>
      <c r="B20" s="3" t="s">
        <v>834</v>
      </c>
      <c r="C20" s="12">
        <f t="shared" ca="1" si="4"/>
        <v>29022</v>
      </c>
      <c r="D20" s="12">
        <f ca="1">(30*'Supply Chain'!L41+20*'Supply Chain'!L39+200*'Supply Chain'!L36)/1000</f>
        <v>14522.79</v>
      </c>
      <c r="E20" s="12">
        <f ca="1">C20*(1.15-UserBuildings!T$16*0.01)</f>
        <v>30473.099999999995</v>
      </c>
      <c r="F20" s="12">
        <f t="shared" ca="1" si="5"/>
        <v>-14499.21</v>
      </c>
      <c r="G20">
        <f t="shared" ca="1" si="6"/>
        <v>0.5004062435393839</v>
      </c>
      <c r="H20" s="3">
        <f t="shared" ca="1" si="7"/>
        <v>0.47657737479941337</v>
      </c>
      <c r="I20" s="49"/>
      <c r="J20" s="49"/>
      <c r="K20" s="96" t="s">
        <v>847</v>
      </c>
      <c r="L20" s="142">
        <f t="shared" ref="L20:M20" ca="1" si="10">(L19/L12)*100</f>
        <v>-52.342262520058668</v>
      </c>
      <c r="M20" s="142">
        <f t="shared" ca="1" si="10"/>
        <v>-49.959375646061609</v>
      </c>
    </row>
    <row r="21" spans="1:13" ht="15.75" customHeight="1">
      <c r="A21" s="3"/>
      <c r="B21" s="3" t="s">
        <v>848</v>
      </c>
      <c r="C21" s="12">
        <f t="shared" ca="1" si="4"/>
        <v>12875</v>
      </c>
      <c r="D21" s="12">
        <f ca="1">(20*'Supply Chain'!E38+40*'Supply Chain'!L37+20*(IF(C20&lt;D20,D20,C20)))/250</f>
        <v>7669.28</v>
      </c>
      <c r="E21" s="12">
        <f ca="1">C21*(1.15-UserBuildings!T$16*0.01)</f>
        <v>13518.749999999998</v>
      </c>
      <c r="F21" s="12">
        <f t="shared" ca="1" si="5"/>
        <v>-5205.72</v>
      </c>
      <c r="G21">
        <f t="shared" ca="1" si="6"/>
        <v>0.59567223300970873</v>
      </c>
      <c r="H21" s="3">
        <f t="shared" ca="1" si="7"/>
        <v>0.56730688858067502</v>
      </c>
    </row>
    <row r="22" spans="1:13" ht="15.75" customHeight="1">
      <c r="A22" s="3"/>
      <c r="B22" s="3" t="s">
        <v>849</v>
      </c>
      <c r="C22" s="12">
        <f t="shared" ca="1" si="4"/>
        <v>39592</v>
      </c>
      <c r="D22" s="12">
        <f ca="1">(600*'Supply Chain'!L38+50*(IF(C18&lt;D18,D18,C18))+50*(IF(C20&lt;D20,D20,C20)))/900</f>
        <v>35675.055555555555</v>
      </c>
      <c r="E22" s="12">
        <f ca="1">C22*(1.15-UserBuildings!T$16*0.01)</f>
        <v>41571.599999999991</v>
      </c>
      <c r="F22" s="12">
        <f t="shared" ca="1" si="5"/>
        <v>-3916.9444444444453</v>
      </c>
      <c r="G22">
        <f t="shared" ca="1" si="6"/>
        <v>0.9010672750948564</v>
      </c>
      <c r="H22" s="3">
        <f t="shared" ca="1" si="7"/>
        <v>0.8581593096141491</v>
      </c>
    </row>
    <row r="23" spans="1:13" ht="15.75" customHeight="1">
      <c r="B23" s="3" t="s">
        <v>710</v>
      </c>
      <c r="C23" s="12">
        <f t="shared" ca="1" si="4"/>
        <v>88588508</v>
      </c>
    </row>
    <row r="24" spans="1:13" ht="15.75" customHeight="1">
      <c r="B24" s="3" t="s">
        <v>711</v>
      </c>
      <c r="C24" s="12">
        <f t="shared" ca="1" si="4"/>
        <v>263741086</v>
      </c>
    </row>
    <row r="25" spans="1:13" ht="15.75" customHeight="1">
      <c r="B25" s="3"/>
    </row>
    <row r="26" spans="1:13" ht="15.75" customHeight="1">
      <c r="B26" s="3" t="s">
        <v>850</v>
      </c>
    </row>
    <row r="27" spans="1:13" ht="15.75" customHeight="1">
      <c r="B27" s="1" t="s">
        <v>824</v>
      </c>
      <c r="C27" s="1" t="s">
        <v>825</v>
      </c>
      <c r="D27" s="1" t="s">
        <v>826</v>
      </c>
      <c r="E27" s="1" t="s">
        <v>811</v>
      </c>
      <c r="F27" s="1" t="s">
        <v>812</v>
      </c>
    </row>
    <row r="28" spans="1:13" ht="15.75" customHeight="1">
      <c r="B28" s="3" t="s">
        <v>833</v>
      </c>
      <c r="C28" s="12">
        <f t="shared" ref="C28:C38" ca="1" si="11">VLOOKUP(B28,TblMarket,5,FALSE)</f>
        <v>25250</v>
      </c>
      <c r="D28" s="12">
        <f ca="1">D12*(UserBuildings!$T$9/10)</f>
        <v>17717.7016</v>
      </c>
      <c r="E28" s="12">
        <f t="shared" ref="E28:E38" ca="1" si="12">D28-C28</f>
        <v>-7532.2983999999997</v>
      </c>
      <c r="F28">
        <f t="shared" ref="F28:F38" ca="1" si="13">D28/C28</f>
        <v>0.70169115247524749</v>
      </c>
    </row>
    <row r="29" spans="1:13" ht="15.75" customHeight="1">
      <c r="B29" s="3" t="s">
        <v>835</v>
      </c>
      <c r="C29" s="12">
        <f t="shared" ca="1" si="11"/>
        <v>11294549</v>
      </c>
      <c r="D29" s="12">
        <f ca="1">D13*(UserBuildings!$T$9/10)</f>
        <v>12173380</v>
      </c>
      <c r="E29" s="12">
        <f t="shared" ca="1" si="12"/>
        <v>878831</v>
      </c>
      <c r="F29">
        <f t="shared" ca="1" si="13"/>
        <v>1.0778101896764536</v>
      </c>
    </row>
    <row r="30" spans="1:13" ht="15.75" customHeight="1">
      <c r="B30" s="3" t="s">
        <v>839</v>
      </c>
      <c r="C30" s="12">
        <f t="shared" ca="1" si="11"/>
        <v>191283</v>
      </c>
      <c r="D30" s="12">
        <f ca="1">D14*(UserBuildings!$T$9/10)</f>
        <v>147174.20000000001</v>
      </c>
      <c r="E30" s="12">
        <f t="shared" ca="1" si="12"/>
        <v>-44108.799999999988</v>
      </c>
      <c r="F30">
        <f t="shared" ca="1" si="13"/>
        <v>0.76940554048190379</v>
      </c>
    </row>
    <row r="31" spans="1:13" ht="15.75" customHeight="1">
      <c r="B31" t="s">
        <v>840</v>
      </c>
      <c r="C31" s="12">
        <f t="shared" ca="1" si="11"/>
        <v>14400</v>
      </c>
      <c r="D31" s="12">
        <f ca="1">D15*(UserBuildings!$T$9/10)</f>
        <v>446.35</v>
      </c>
      <c r="E31" s="12">
        <f t="shared" ca="1" si="12"/>
        <v>-13953.65</v>
      </c>
      <c r="F31">
        <f t="shared" ca="1" si="13"/>
        <v>3.0996527777777779E-2</v>
      </c>
    </row>
    <row r="32" spans="1:13" ht="15.75" customHeight="1">
      <c r="B32" s="3" t="s">
        <v>841</v>
      </c>
      <c r="C32" s="12" t="e">
        <f t="shared" ca="1" si="11"/>
        <v>#N/A</v>
      </c>
      <c r="D32" s="12">
        <f ca="1">D16*(UserBuildings!$T$9/10)</f>
        <v>6835640</v>
      </c>
      <c r="E32" s="12" t="e">
        <f t="shared" ca="1" si="12"/>
        <v>#N/A</v>
      </c>
      <c r="F32" t="e">
        <f t="shared" ca="1" si="13"/>
        <v>#N/A</v>
      </c>
    </row>
    <row r="33" spans="2:6" ht="15.75" customHeight="1">
      <c r="B33" t="s">
        <v>842</v>
      </c>
      <c r="C33" s="12">
        <f t="shared" ca="1" si="11"/>
        <v>21328</v>
      </c>
      <c r="D33" s="12">
        <f ca="1">D17*(UserBuildings!$T$9/10)</f>
        <v>6862.8</v>
      </c>
      <c r="E33" s="12">
        <f t="shared" ca="1" si="12"/>
        <v>-14465.2</v>
      </c>
      <c r="F33">
        <f t="shared" ca="1" si="13"/>
        <v>0.3217741935483871</v>
      </c>
    </row>
    <row r="34" spans="2:6" ht="15.75" customHeight="1">
      <c r="B34" s="3" t="s">
        <v>843</v>
      </c>
      <c r="C34" s="12">
        <f t="shared" ca="1" si="11"/>
        <v>10621</v>
      </c>
      <c r="D34" s="12">
        <f ca="1">D18*(UserBuildings!$T$9/10)</f>
        <v>7245.06</v>
      </c>
      <c r="E34" s="12">
        <f t="shared" ca="1" si="12"/>
        <v>-3375.9399999999996</v>
      </c>
      <c r="F34">
        <f t="shared" ca="1" si="13"/>
        <v>0.68214480745692496</v>
      </c>
    </row>
    <row r="35" spans="2:6" ht="15.75" customHeight="1">
      <c r="B35" s="3" t="s">
        <v>845</v>
      </c>
      <c r="C35" s="12">
        <f t="shared" ca="1" si="11"/>
        <v>68397</v>
      </c>
      <c r="D35" s="12">
        <f ca="1">D19*(UserBuildings!$T$9/10)</f>
        <v>52748.217199999999</v>
      </c>
      <c r="E35" s="12">
        <f t="shared" ca="1" si="12"/>
        <v>-15648.782800000001</v>
      </c>
      <c r="F35">
        <f t="shared" ca="1" si="13"/>
        <v>0.77120659093235078</v>
      </c>
    </row>
    <row r="36" spans="2:6" ht="15.75" customHeight="1">
      <c r="B36" s="3" t="s">
        <v>834</v>
      </c>
      <c r="C36" s="12">
        <f t="shared" ca="1" si="11"/>
        <v>29022</v>
      </c>
      <c r="D36" s="12">
        <f ca="1">D20*(UserBuildings!$T$9/10)</f>
        <v>14522.79</v>
      </c>
      <c r="E36" s="12">
        <f t="shared" ca="1" si="12"/>
        <v>-14499.21</v>
      </c>
      <c r="F36">
        <f t="shared" ca="1" si="13"/>
        <v>0.5004062435393839</v>
      </c>
    </row>
    <row r="37" spans="2:6" ht="15.75" customHeight="1">
      <c r="B37" s="3" t="s">
        <v>848</v>
      </c>
      <c r="C37" s="12">
        <f t="shared" ca="1" si="11"/>
        <v>12875</v>
      </c>
      <c r="D37" s="12">
        <f ca="1">D21*(UserBuildings!$T$9/10)</f>
        <v>7669.28</v>
      </c>
      <c r="E37" s="12">
        <f t="shared" ca="1" si="12"/>
        <v>-5205.72</v>
      </c>
      <c r="F37">
        <f t="shared" ca="1" si="13"/>
        <v>0.59567223300970873</v>
      </c>
    </row>
    <row r="38" spans="2:6" ht="15.75" customHeight="1">
      <c r="B38" s="3" t="s">
        <v>849</v>
      </c>
      <c r="C38" s="12">
        <f t="shared" ca="1" si="11"/>
        <v>39592</v>
      </c>
      <c r="D38" s="12">
        <f ca="1">D22*(UserBuildings!$T$9/10)</f>
        <v>35675.055555555555</v>
      </c>
      <c r="E38" s="12">
        <f t="shared" ca="1" si="12"/>
        <v>-3916.9444444444453</v>
      </c>
      <c r="F38">
        <f t="shared" ca="1" si="13"/>
        <v>0.9010672750948564</v>
      </c>
    </row>
    <row r="39" spans="2:6" ht="15.75" customHeight="1"/>
    <row r="40" spans="2:6" ht="15.75" customHeight="1"/>
    <row r="41" spans="2:6" ht="15.75" customHeight="1"/>
    <row r="42" spans="2:6" ht="15.75" customHeight="1"/>
    <row r="43" spans="2:6" ht="15.75" customHeight="1"/>
    <row r="44" spans="2:6" ht="15.75" customHeight="1"/>
    <row r="45" spans="2:6" ht="15.75" customHeight="1"/>
    <row r="46" spans="2:6" ht="15.75" customHeight="1"/>
    <row r="47" spans="2:6" ht="15.75" customHeight="1"/>
    <row r="48" spans="2: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G12:G22">
    <cfRule type="colorScale" priority="1">
      <colorScale>
        <cfvo type="formula" val="1"/>
        <cfvo type="percentile" val="50"/>
        <cfvo type="max"/>
        <color rgb="FFE67C73"/>
        <color rgb="FFFFD666"/>
        <color rgb="FF57BB8A"/>
      </colorScale>
    </cfRule>
  </conditionalFormatting>
  <conditionalFormatting sqref="H12:H22">
    <cfRule type="colorScale" priority="4">
      <colorScale>
        <cfvo type="min"/>
        <cfvo type="percentile" val="50"/>
        <cfvo type="max"/>
        <color rgb="FFE67C73"/>
        <color rgb="FFFFD666"/>
        <color rgb="FF57BB8A"/>
      </colorScale>
    </cfRule>
  </conditionalFormatting>
  <conditionalFormatting sqref="L19:M20">
    <cfRule type="cellIs" dxfId="2" priority="2" operator="greaterThan">
      <formula>0</formula>
    </cfRule>
    <cfRule type="cellIs" dxfId="1" priority="3" operator="lessThanOrEqual">
      <formula>0</formula>
    </cfRule>
  </conditionalFormatting>
  <pageMargins left="0.7" right="0.7" top="0.78740157499999996" bottom="0.78740157499999996"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B1:J1008"/>
  <sheetViews>
    <sheetView workbookViewId="0"/>
  </sheetViews>
  <sheetFormatPr defaultColWidth="15.109375" defaultRowHeight="15" customHeight="1"/>
  <cols>
    <col min="1" max="1" width="3.33203125" customWidth="1"/>
    <col min="2" max="2" width="12.6640625" customWidth="1"/>
    <col min="3" max="3" width="13.33203125" customWidth="1"/>
    <col min="4" max="4" width="14.109375" customWidth="1"/>
    <col min="5" max="5" width="13" customWidth="1"/>
    <col min="6" max="6" width="14.21875" customWidth="1"/>
    <col min="7" max="7" width="12" customWidth="1"/>
    <col min="8" max="8" width="15.109375" customWidth="1"/>
    <col min="9" max="9" width="11.6640625" customWidth="1"/>
    <col min="10" max="10" width="14.44140625" customWidth="1"/>
    <col min="11" max="26" width="12.6640625" customWidth="1"/>
  </cols>
  <sheetData>
    <row r="1" spans="2:10" ht="15.75" customHeight="1"/>
    <row r="2" spans="2:10" ht="15.75" customHeight="1">
      <c r="B2" s="1" t="s">
        <v>851</v>
      </c>
      <c r="C2" t="e">
        <f ca="1">IF(C16/('Supply Chain'!C2*0.01)&lt;=0,"NO",C16/('Supply Chain'!C2*0.01))</f>
        <v>#N/A</v>
      </c>
      <c r="D2" s="1" t="s">
        <v>852</v>
      </c>
      <c r="E2" t="e">
        <f ca="1">IF(C16*(1.15-UserBuildings!$T$16*0.01)/('Supply Chain'!C2*0.01)&lt;=0,"NO",C16*(1.15-UserBuildings!$T$16*0.01)/('Supply Chain'!C2*0.01))</f>
        <v>#N/A</v>
      </c>
    </row>
    <row r="3" spans="2:10" ht="15.75" customHeight="1"/>
    <row r="4" spans="2:10" ht="15.75" customHeight="1">
      <c r="B4" s="1" t="s">
        <v>853</v>
      </c>
      <c r="C4" s="1" t="s">
        <v>854</v>
      </c>
      <c r="D4" s="1" t="s">
        <v>854</v>
      </c>
      <c r="E4" s="1" t="s">
        <v>855</v>
      </c>
      <c r="F4" s="1" t="s">
        <v>855</v>
      </c>
      <c r="G4" s="1" t="s">
        <v>856</v>
      </c>
      <c r="H4" s="1" t="s">
        <v>856</v>
      </c>
      <c r="I4" s="1" t="s">
        <v>857</v>
      </c>
      <c r="J4" s="1" t="s">
        <v>857</v>
      </c>
    </row>
    <row r="5" spans="2:10" ht="15.75" customHeight="1">
      <c r="B5" s="3" t="s">
        <v>104</v>
      </c>
      <c r="C5" s="5" t="e">
        <f t="shared" ref="C5:C18" ca="1" si="0">C22+E22+G22+I22</f>
        <v>#N/A</v>
      </c>
      <c r="D5" s="12" t="e">
        <f t="shared" ref="D5:D18" ca="1" si="1">C5</f>
        <v>#N/A</v>
      </c>
      <c r="E5" s="5" t="e">
        <f t="shared" ref="E5:E16" ca="1" si="2">C39+E39+G39+I39</f>
        <v>#N/A</v>
      </c>
      <c r="F5" s="12" t="e">
        <f t="shared" ref="F5:F18" ca="1" si="3">E5</f>
        <v>#N/A</v>
      </c>
      <c r="G5" s="5" t="e">
        <f t="shared" ref="G5:G16" ca="1" si="4">C56+E56+G56+I56</f>
        <v>#N/A</v>
      </c>
      <c r="H5" s="12" t="e">
        <f t="shared" ref="H5:H18" ca="1" si="5">G5</f>
        <v>#N/A</v>
      </c>
      <c r="I5" s="5" t="e">
        <f t="shared" ref="I5:I18" ca="1" si="6">C73+E73+G73+I73</f>
        <v>#N/A</v>
      </c>
      <c r="J5" s="12" t="e">
        <f t="shared" ref="J5:J18" ca="1" si="7">I5</f>
        <v>#N/A</v>
      </c>
    </row>
    <row r="6" spans="2:10" ht="15.75" customHeight="1">
      <c r="B6" s="3" t="s">
        <v>107</v>
      </c>
      <c r="C6" s="5">
        <f t="shared" ca="1" si="0"/>
        <v>0</v>
      </c>
      <c r="D6" s="12">
        <f t="shared" ca="1" si="1"/>
        <v>0</v>
      </c>
      <c r="E6" s="5">
        <f t="shared" ca="1" si="2"/>
        <v>36141489999.999992</v>
      </c>
      <c r="F6" s="12">
        <f t="shared" ca="1" si="3"/>
        <v>36141489999.999992</v>
      </c>
      <c r="G6" s="5">
        <f t="shared" ca="1" si="4"/>
        <v>36141489999.999992</v>
      </c>
      <c r="H6" s="12">
        <f t="shared" ca="1" si="5"/>
        <v>36141489999.999992</v>
      </c>
      <c r="I6" s="5">
        <f t="shared" ca="1" si="6"/>
        <v>0</v>
      </c>
      <c r="J6" s="12">
        <f t="shared" ca="1" si="7"/>
        <v>0</v>
      </c>
    </row>
    <row r="7" spans="2:10" ht="15.75" customHeight="1">
      <c r="B7" s="3" t="s">
        <v>110</v>
      </c>
      <c r="C7" s="5">
        <f t="shared" ca="1" si="0"/>
        <v>0</v>
      </c>
      <c r="D7" s="12">
        <f t="shared" ca="1" si="1"/>
        <v>0</v>
      </c>
      <c r="E7" s="5">
        <f t="shared" ca="1" si="2"/>
        <v>354683367499.99994</v>
      </c>
      <c r="F7" s="12">
        <f t="shared" ca="1" si="3"/>
        <v>354683367499.99994</v>
      </c>
      <c r="G7" s="5">
        <f t="shared" ca="1" si="4"/>
        <v>354683367499.99994</v>
      </c>
      <c r="H7" s="12">
        <f t="shared" ca="1" si="5"/>
        <v>354683367499.99994</v>
      </c>
      <c r="I7" s="5">
        <f t="shared" ca="1" si="6"/>
        <v>0</v>
      </c>
      <c r="J7" s="12">
        <f t="shared" ca="1" si="7"/>
        <v>0</v>
      </c>
    </row>
    <row r="8" spans="2:10" ht="15.75" customHeight="1">
      <c r="B8" s="3" t="s">
        <v>114</v>
      </c>
      <c r="C8" s="5" t="e">
        <f t="shared" ca="1" si="0"/>
        <v>#N/A</v>
      </c>
      <c r="D8" s="12" t="e">
        <f t="shared" ca="1" si="1"/>
        <v>#N/A</v>
      </c>
      <c r="E8" s="5" t="e">
        <f t="shared" ca="1" si="2"/>
        <v>#N/A</v>
      </c>
      <c r="F8" s="12" t="e">
        <f t="shared" ca="1" si="3"/>
        <v>#N/A</v>
      </c>
      <c r="G8" s="5" t="e">
        <f t="shared" ca="1" si="4"/>
        <v>#N/A</v>
      </c>
      <c r="H8" s="12" t="e">
        <f t="shared" ca="1" si="5"/>
        <v>#N/A</v>
      </c>
      <c r="I8" s="5" t="e">
        <f t="shared" ca="1" si="6"/>
        <v>#N/A</v>
      </c>
      <c r="J8" s="12" t="e">
        <f t="shared" ca="1" si="7"/>
        <v>#N/A</v>
      </c>
    </row>
    <row r="9" spans="2:10" ht="15.75" customHeight="1">
      <c r="B9" s="3" t="s">
        <v>117</v>
      </c>
      <c r="C9" s="5">
        <f t="shared" ca="1" si="0"/>
        <v>0</v>
      </c>
      <c r="D9" s="12">
        <f t="shared" ca="1" si="1"/>
        <v>0</v>
      </c>
      <c r="E9" s="5">
        <f t="shared" ca="1" si="2"/>
        <v>279282849999.99994</v>
      </c>
      <c r="F9" s="12">
        <f t="shared" ca="1" si="3"/>
        <v>279282849999.99994</v>
      </c>
      <c r="G9" s="5">
        <f t="shared" ca="1" si="4"/>
        <v>279282849999.99994</v>
      </c>
      <c r="H9" s="12">
        <f t="shared" ca="1" si="5"/>
        <v>279282849999.99994</v>
      </c>
      <c r="I9" s="5">
        <f t="shared" ca="1" si="6"/>
        <v>0</v>
      </c>
      <c r="J9" s="12">
        <f t="shared" ca="1" si="7"/>
        <v>0</v>
      </c>
    </row>
    <row r="10" spans="2:10" ht="15.75" customHeight="1">
      <c r="B10" s="3" t="s">
        <v>121</v>
      </c>
      <c r="C10" s="5">
        <f t="shared" ca="1" si="0"/>
        <v>0</v>
      </c>
      <c r="D10" s="12">
        <f t="shared" ca="1" si="1"/>
        <v>0</v>
      </c>
      <c r="E10" s="5">
        <f t="shared" ca="1" si="2"/>
        <v>661960722499.99988</v>
      </c>
      <c r="F10" s="12">
        <f t="shared" ca="1" si="3"/>
        <v>661960722499.99988</v>
      </c>
      <c r="G10" s="5">
        <f t="shared" ca="1" si="4"/>
        <v>661960722499.99988</v>
      </c>
      <c r="H10" s="12">
        <f t="shared" ca="1" si="5"/>
        <v>661960722499.99988</v>
      </c>
      <c r="I10" s="5">
        <f t="shared" ca="1" si="6"/>
        <v>0</v>
      </c>
      <c r="J10" s="12">
        <f t="shared" ca="1" si="7"/>
        <v>0</v>
      </c>
    </row>
    <row r="11" spans="2:10" ht="15.75" customHeight="1">
      <c r="B11" s="3" t="s">
        <v>126</v>
      </c>
      <c r="C11" s="5" t="e">
        <f t="shared" ca="1" si="0"/>
        <v>#N/A</v>
      </c>
      <c r="D11" s="12" t="e">
        <f t="shared" ca="1" si="1"/>
        <v>#N/A</v>
      </c>
      <c r="E11" s="5" t="e">
        <f t="shared" ca="1" si="2"/>
        <v>#N/A</v>
      </c>
      <c r="F11" s="12" t="e">
        <f t="shared" ca="1" si="3"/>
        <v>#N/A</v>
      </c>
      <c r="G11" s="5" t="e">
        <f t="shared" ca="1" si="4"/>
        <v>#N/A</v>
      </c>
      <c r="H11" s="12" t="e">
        <f t="shared" ca="1" si="5"/>
        <v>#N/A</v>
      </c>
      <c r="I11" s="5" t="e">
        <f t="shared" ca="1" si="6"/>
        <v>#N/A</v>
      </c>
      <c r="J11" s="12" t="e">
        <f t="shared" ca="1" si="7"/>
        <v>#N/A</v>
      </c>
    </row>
    <row r="12" spans="2:10" ht="15.75" customHeight="1">
      <c r="B12" s="3" t="s">
        <v>130</v>
      </c>
      <c r="C12" s="5" t="e">
        <f t="shared" ca="1" si="0"/>
        <v>#N/A</v>
      </c>
      <c r="D12" s="12" t="e">
        <f t="shared" ca="1" si="1"/>
        <v>#N/A</v>
      </c>
      <c r="E12" s="5" t="e">
        <f t="shared" ca="1" si="2"/>
        <v>#N/A</v>
      </c>
      <c r="F12" s="12" t="e">
        <f t="shared" ca="1" si="3"/>
        <v>#N/A</v>
      </c>
      <c r="G12" s="5" t="e">
        <f t="shared" ca="1" si="4"/>
        <v>#N/A</v>
      </c>
      <c r="H12" s="12" t="e">
        <f t="shared" ca="1" si="5"/>
        <v>#N/A</v>
      </c>
      <c r="I12" s="5" t="e">
        <f t="shared" ca="1" si="6"/>
        <v>#N/A</v>
      </c>
      <c r="J12" s="12" t="e">
        <f t="shared" ca="1" si="7"/>
        <v>#N/A</v>
      </c>
    </row>
    <row r="13" spans="2:10" ht="15.75" customHeight="1">
      <c r="B13" s="3" t="s">
        <v>134</v>
      </c>
      <c r="C13" s="5">
        <f t="shared" ca="1" si="0"/>
        <v>0</v>
      </c>
      <c r="D13" s="12">
        <f t="shared" ca="1" si="1"/>
        <v>0</v>
      </c>
      <c r="E13" s="5">
        <f t="shared" ca="1" si="2"/>
        <v>2142739731824.9995</v>
      </c>
      <c r="F13" s="12">
        <f t="shared" ca="1" si="3"/>
        <v>2142739731824.9995</v>
      </c>
      <c r="G13" s="5">
        <f t="shared" ca="1" si="4"/>
        <v>2142739731824.9995</v>
      </c>
      <c r="H13" s="12">
        <f t="shared" ca="1" si="5"/>
        <v>2142739731824.9995</v>
      </c>
      <c r="I13" s="5">
        <f t="shared" ca="1" si="6"/>
        <v>0</v>
      </c>
      <c r="J13" s="12">
        <f t="shared" ca="1" si="7"/>
        <v>0</v>
      </c>
    </row>
    <row r="14" spans="2:10" ht="15.75" customHeight="1">
      <c r="B14" s="3" t="s">
        <v>138</v>
      </c>
      <c r="C14" s="5">
        <f t="shared" ca="1" si="0"/>
        <v>0</v>
      </c>
      <c r="D14" s="12">
        <f t="shared" ca="1" si="1"/>
        <v>0</v>
      </c>
      <c r="E14" s="5">
        <f t="shared" ca="1" si="2"/>
        <v>2896426224999.9995</v>
      </c>
      <c r="F14" s="12">
        <f t="shared" ca="1" si="3"/>
        <v>2896426224999.9995</v>
      </c>
      <c r="G14" s="5">
        <f t="shared" ca="1" si="4"/>
        <v>2896426224999.9995</v>
      </c>
      <c r="H14" s="12">
        <f t="shared" ca="1" si="5"/>
        <v>2896426224999.9995</v>
      </c>
      <c r="I14" s="5">
        <f t="shared" ca="1" si="6"/>
        <v>0</v>
      </c>
      <c r="J14" s="12">
        <f t="shared" ca="1" si="7"/>
        <v>0</v>
      </c>
    </row>
    <row r="15" spans="2:10" ht="15.75" customHeight="1">
      <c r="B15" s="3" t="s">
        <v>141</v>
      </c>
      <c r="C15" s="5">
        <f t="shared" ca="1" si="0"/>
        <v>0</v>
      </c>
      <c r="D15" s="12">
        <f t="shared" ca="1" si="1"/>
        <v>0</v>
      </c>
      <c r="E15" s="5">
        <f t="shared" ca="1" si="2"/>
        <v>10022570249999.998</v>
      </c>
      <c r="F15" s="12">
        <f t="shared" ca="1" si="3"/>
        <v>10022570249999.998</v>
      </c>
      <c r="G15" s="5">
        <f t="shared" ca="1" si="4"/>
        <v>10022570249999.998</v>
      </c>
      <c r="H15" s="12">
        <f t="shared" ca="1" si="5"/>
        <v>10022570249999.998</v>
      </c>
      <c r="I15" s="5">
        <f t="shared" ca="1" si="6"/>
        <v>0</v>
      </c>
      <c r="J15" s="12">
        <f t="shared" ca="1" si="7"/>
        <v>0</v>
      </c>
    </row>
    <row r="16" spans="2:10" ht="15.75" customHeight="1">
      <c r="B16" s="3" t="s">
        <v>858</v>
      </c>
      <c r="C16" s="5">
        <f t="shared" ca="1" si="0"/>
        <v>0</v>
      </c>
      <c r="D16" s="12">
        <f t="shared" ca="1" si="1"/>
        <v>0</v>
      </c>
      <c r="E16" s="5">
        <f t="shared" ca="1" si="2"/>
        <v>10512024599999.998</v>
      </c>
      <c r="F16" s="12">
        <f t="shared" ca="1" si="3"/>
        <v>10512024599999.998</v>
      </c>
      <c r="G16" s="5">
        <f t="shared" ca="1" si="4"/>
        <v>10512024599999.998</v>
      </c>
      <c r="H16" s="12">
        <f t="shared" ca="1" si="5"/>
        <v>10512024599999.998</v>
      </c>
      <c r="I16" s="5">
        <f t="shared" ca="1" si="6"/>
        <v>0</v>
      </c>
      <c r="J16" s="12">
        <f t="shared" ca="1" si="7"/>
        <v>0</v>
      </c>
    </row>
    <row r="17" spans="2:10" ht="15.75" customHeight="1">
      <c r="B17" s="3" t="s">
        <v>147</v>
      </c>
      <c r="C17" s="5" t="e">
        <f t="shared" ca="1" si="0"/>
        <v>#N/A</v>
      </c>
      <c r="D17" s="12" t="e">
        <f t="shared" ca="1" si="1"/>
        <v>#N/A</v>
      </c>
      <c r="E17" s="5">
        <f t="shared" ref="E17:E18" si="8">C53+E53+G53+I53</f>
        <v>0</v>
      </c>
      <c r="F17" s="12">
        <f t="shared" si="3"/>
        <v>0</v>
      </c>
      <c r="G17" s="5">
        <f t="shared" ref="G17:G18" si="9">C70+E70+G70+I70</f>
        <v>0</v>
      </c>
      <c r="H17" s="12">
        <f t="shared" si="5"/>
        <v>0</v>
      </c>
      <c r="I17" s="5" t="e">
        <f t="shared" ca="1" si="6"/>
        <v>#N/A</v>
      </c>
      <c r="J17" s="12" t="e">
        <f t="shared" ca="1" si="7"/>
        <v>#N/A</v>
      </c>
    </row>
    <row r="18" spans="2:10" ht="15.75" customHeight="1">
      <c r="B18" s="3" t="s">
        <v>151</v>
      </c>
      <c r="C18" s="5">
        <f t="shared" ca="1" si="0"/>
        <v>324103860000</v>
      </c>
      <c r="D18" s="12">
        <f t="shared" ca="1" si="1"/>
        <v>324103860000</v>
      </c>
      <c r="E18" s="5">
        <f t="shared" si="8"/>
        <v>0</v>
      </c>
      <c r="F18" s="12">
        <f t="shared" si="3"/>
        <v>0</v>
      </c>
      <c r="G18" s="5">
        <f t="shared" si="9"/>
        <v>0</v>
      </c>
      <c r="H18" s="12">
        <f t="shared" si="5"/>
        <v>0</v>
      </c>
      <c r="I18" s="5">
        <f t="shared" ca="1" si="6"/>
        <v>13684385199999.998</v>
      </c>
      <c r="J18" s="12">
        <f t="shared" ca="1" si="7"/>
        <v>13684385199999.998</v>
      </c>
    </row>
    <row r="19" spans="2:10" ht="15.75" customHeight="1"/>
    <row r="20" spans="2:10" ht="15.75" customHeight="1">
      <c r="C20" s="3"/>
    </row>
    <row r="21" spans="2:10" ht="15.75" customHeight="1">
      <c r="B21" s="1" t="s">
        <v>853</v>
      </c>
      <c r="C21" s="1" t="s">
        <v>859</v>
      </c>
      <c r="D21" s="1" t="s">
        <v>860</v>
      </c>
      <c r="E21" s="1" t="s">
        <v>861</v>
      </c>
      <c r="F21" s="1" t="s">
        <v>862</v>
      </c>
      <c r="G21" s="1" t="s">
        <v>863</v>
      </c>
      <c r="H21" s="1" t="s">
        <v>864</v>
      </c>
      <c r="I21" s="1" t="s">
        <v>865</v>
      </c>
    </row>
    <row r="22" spans="2:10" ht="15.75" customHeight="1">
      <c r="B22" s="3" t="s">
        <v>104</v>
      </c>
      <c r="C22" s="12">
        <f>IF(UserBuildings!S5=10,0,(UserBuildings!S5+1)^2*(VLOOKUP(B22,TblSpecialBasics,2,FALSE)))</f>
        <v>0</v>
      </c>
      <c r="D22" s="3">
        <f>IF(UserBuildings!S5=10,0,(UserBuildings!S5+1)^2*(VLOOKUP(B22,TblSpecialBasics,4,FALSE)))</f>
        <v>0</v>
      </c>
      <c r="E22" s="3">
        <f t="shared" ref="E22:E35" ca="1" si="10">VLOOKUP((VLOOKUP(B22,TblSpecialBasics,3,FALSE)),TblMarket,5,FALSE)*D22</f>
        <v>0</v>
      </c>
      <c r="F22" s="12">
        <f>IF(UserBuildings!S5=10,0,(UserBuildings!S5+1)^2*(VLOOKUP(B22,TblSpecialBasics,6,FALSE)))</f>
        <v>0</v>
      </c>
      <c r="G22" s="3">
        <f t="shared" ref="G22:G35" ca="1" si="11">VLOOKUP((VLOOKUP($B22,TblSpecialBasics,5,FALSE)),TblMarket,5,FALSE)*F22</f>
        <v>0</v>
      </c>
      <c r="H22" s="3">
        <f>IF(UserBuildings!S5=10,0,(UserBuildings!S5+1)^2*(VLOOKUP(B22,TblSpecialBasics,8,FALSE)))</f>
        <v>0</v>
      </c>
      <c r="I22" s="3" t="e">
        <f t="shared" ref="I22:I35" ca="1" si="12">VLOOKUP((VLOOKUP($B22,TblSpecialBasics,7,FALSE)),TblMarket,5,FALSE)*H22</f>
        <v>#N/A</v>
      </c>
    </row>
    <row r="23" spans="2:10" ht="15.75" customHeight="1">
      <c r="B23" s="3" t="s">
        <v>107</v>
      </c>
      <c r="C23" s="12">
        <f>IF(UserBuildings!S6=10,0,(UserBuildings!S6+1)^2*(VLOOKUP(B23,TblSpecialBasics,2,FALSE)))</f>
        <v>0</v>
      </c>
      <c r="D23" s="3">
        <f>IF(UserBuildings!S6=10,0,(UserBuildings!S6+1)^2*(VLOOKUP(B23,TblSpecialBasics,4,FALSE)))</f>
        <v>0</v>
      </c>
      <c r="E23" s="3">
        <f t="shared" ca="1" si="10"/>
        <v>0</v>
      </c>
      <c r="F23" s="12">
        <f>IF(UserBuildings!S6=10,0,(UserBuildings!S6+1)^2*(VLOOKUP(B23,TblSpecialBasics,6,FALSE)))</f>
        <v>0</v>
      </c>
      <c r="G23" s="3">
        <f t="shared" ca="1" si="11"/>
        <v>0</v>
      </c>
      <c r="H23" s="3">
        <f>IF(UserBuildings!S6=10,0,(UserBuildings!S6+1)^2*(VLOOKUP(B23,TblSpecialBasics,8,FALSE)))</f>
        <v>0</v>
      </c>
      <c r="I23" s="3">
        <f t="shared" ca="1" si="12"/>
        <v>0</v>
      </c>
    </row>
    <row r="24" spans="2:10" ht="15.75" customHeight="1">
      <c r="B24" s="3" t="s">
        <v>110</v>
      </c>
      <c r="C24" s="12">
        <f>IF(UserBuildings!S7=10,0,(UserBuildings!S7+1)^2*(VLOOKUP(B24,TblSpecialBasics,2,FALSE)))</f>
        <v>0</v>
      </c>
      <c r="D24" s="3">
        <f>IF(UserBuildings!S7=10,0,(UserBuildings!S7+1)^2*(VLOOKUP(B24,TblSpecialBasics,4,FALSE)))</f>
        <v>0</v>
      </c>
      <c r="E24" s="3">
        <f t="shared" ca="1" si="10"/>
        <v>0</v>
      </c>
      <c r="F24" s="12">
        <f>IF(UserBuildings!S7=10,0,(UserBuildings!S7+1)^2*(VLOOKUP(B24,TblSpecialBasics,6,FALSE)))</f>
        <v>0</v>
      </c>
      <c r="G24" s="3">
        <f t="shared" ca="1" si="11"/>
        <v>0</v>
      </c>
      <c r="H24" s="3">
        <f>IF(UserBuildings!S7=10,0,(UserBuildings!S7+1)^2*(VLOOKUP(B24,TblSpecialBasics,8,FALSE)))</f>
        <v>0</v>
      </c>
      <c r="I24" s="3">
        <f t="shared" ca="1" si="12"/>
        <v>0</v>
      </c>
    </row>
    <row r="25" spans="2:10" ht="15.75" customHeight="1">
      <c r="B25" s="3" t="s">
        <v>114</v>
      </c>
      <c r="C25" s="12">
        <f>IF(UserBuildings!S8=10,0,(UserBuildings!S8+1)^2*(VLOOKUP(B25,TblSpecialBasics,2,FALSE)))</f>
        <v>0</v>
      </c>
      <c r="D25" s="3">
        <f>IF(UserBuildings!S8=10,0,(UserBuildings!S8+1)^2*(VLOOKUP(B25,TblSpecialBasics,4,FALSE)))</f>
        <v>0</v>
      </c>
      <c r="E25" s="3">
        <f t="shared" ca="1" si="10"/>
        <v>0</v>
      </c>
      <c r="F25" s="12">
        <f>IF(UserBuildings!S8=10,0,(UserBuildings!S8+1)^2*(VLOOKUP(B25,TblSpecialBasics,6,FALSE)))</f>
        <v>0</v>
      </c>
      <c r="G25" s="3" t="e">
        <f t="shared" ca="1" si="11"/>
        <v>#N/A</v>
      </c>
      <c r="H25" s="3">
        <f>IF(UserBuildings!S8=10,0,(UserBuildings!S8+1)^2*(VLOOKUP(B25,TblSpecialBasics,8,FALSE)))</f>
        <v>0</v>
      </c>
      <c r="I25" s="3">
        <f t="shared" ca="1" si="12"/>
        <v>0</v>
      </c>
    </row>
    <row r="26" spans="2:10" ht="15.75" customHeight="1">
      <c r="B26" s="3" t="s">
        <v>117</v>
      </c>
      <c r="C26" s="12">
        <f>IF(UserBuildings!S9=10,0,(UserBuildings!S9+1)^2*(VLOOKUP(B26,TblSpecialBasics,2,FALSE)))</f>
        <v>0</v>
      </c>
      <c r="D26" s="3">
        <f>IF(UserBuildings!S9=10,0,(UserBuildings!S9+1)^2*(VLOOKUP(B26,TblSpecialBasics,4,FALSE)))</f>
        <v>0</v>
      </c>
      <c r="E26" s="3">
        <f t="shared" ca="1" si="10"/>
        <v>0</v>
      </c>
      <c r="F26" s="12">
        <f>IF(UserBuildings!S9=10,0,(UserBuildings!S9+1)^2*(VLOOKUP(B26,TblSpecialBasics,6,FALSE)))</f>
        <v>0</v>
      </c>
      <c r="G26" s="3">
        <f t="shared" ca="1" si="11"/>
        <v>0</v>
      </c>
      <c r="H26" s="3">
        <f>IF(UserBuildings!S9=10,0,(UserBuildings!S9+1)^2*(VLOOKUP(B26,TblSpecialBasics,8,FALSE)))</f>
        <v>0</v>
      </c>
      <c r="I26" s="3">
        <f t="shared" ca="1" si="12"/>
        <v>0</v>
      </c>
    </row>
    <row r="27" spans="2:10" ht="15.75" customHeight="1">
      <c r="B27" s="3" t="s">
        <v>121</v>
      </c>
      <c r="C27" s="12">
        <f>IF(UserBuildings!S10=10,0,(UserBuildings!S10+1)^2*(VLOOKUP(B27,TblSpecialBasics,2,FALSE)))</f>
        <v>0</v>
      </c>
      <c r="D27" s="3">
        <f>IF(UserBuildings!S10=10,0,(UserBuildings!S10+1)^2*(VLOOKUP(B27,TblSpecialBasics,4,FALSE)))</f>
        <v>0</v>
      </c>
      <c r="E27" s="3">
        <f t="shared" ca="1" si="10"/>
        <v>0</v>
      </c>
      <c r="F27" s="12">
        <f>IF(UserBuildings!S10=10,0,(UserBuildings!S10+1)^2*(VLOOKUP(B27,TblSpecialBasics,6,FALSE)))</f>
        <v>0</v>
      </c>
      <c r="G27" s="3">
        <f t="shared" ca="1" si="11"/>
        <v>0</v>
      </c>
      <c r="H27" s="3">
        <f>IF(UserBuildings!S10=10,0,(UserBuildings!S10+1)^2*(VLOOKUP(B27,TblSpecialBasics,8,FALSE)))</f>
        <v>0</v>
      </c>
      <c r="I27" s="3">
        <f t="shared" ca="1" si="12"/>
        <v>0</v>
      </c>
    </row>
    <row r="28" spans="2:10" ht="15.75" customHeight="1">
      <c r="B28" s="3" t="s">
        <v>126</v>
      </c>
      <c r="C28" s="12">
        <f>IF(UserBuildings!S11=10,0,(UserBuildings!S11+1)^2*(VLOOKUP(B28,TblSpecialBasics,2,FALSE)))</f>
        <v>0</v>
      </c>
      <c r="D28" s="3">
        <f>IF(UserBuildings!S11=10,0,(UserBuildings!S11+1)^2*(VLOOKUP(B28,TblSpecialBasics,4,FALSE)))</f>
        <v>0</v>
      </c>
      <c r="E28" s="3" t="e">
        <f t="shared" ca="1" si="10"/>
        <v>#N/A</v>
      </c>
      <c r="F28" s="12">
        <f>IF(UserBuildings!S11=10,0,(UserBuildings!S11+1)^2*(VLOOKUP(B28,TblSpecialBasics,6,FALSE)))</f>
        <v>0</v>
      </c>
      <c r="G28" s="3">
        <f t="shared" ca="1" si="11"/>
        <v>0</v>
      </c>
      <c r="H28" s="3">
        <f>IF(UserBuildings!S11=10,0,(UserBuildings!S11+1)^2*(VLOOKUP(B28,TblSpecialBasics,8,FALSE)))</f>
        <v>0</v>
      </c>
      <c r="I28" s="3">
        <f t="shared" ca="1" si="12"/>
        <v>0</v>
      </c>
    </row>
    <row r="29" spans="2:10" ht="15.75" customHeight="1">
      <c r="B29" s="3" t="s">
        <v>130</v>
      </c>
      <c r="C29" s="12">
        <f>IF(UserBuildings!S12=10,0,(UserBuildings!S12+1)^2*(VLOOKUP(B29,TblSpecialBasics,2,FALSE)))</f>
        <v>0</v>
      </c>
      <c r="D29" s="3">
        <f>IF(UserBuildings!S12=10,0,(UserBuildings!S12+1)^2*(VLOOKUP(B29,TblSpecialBasics,4,FALSE)))</f>
        <v>0</v>
      </c>
      <c r="E29" s="3" t="e">
        <f t="shared" ca="1" si="10"/>
        <v>#N/A</v>
      </c>
      <c r="F29" s="12">
        <f>IF(UserBuildings!S12=10,0,(UserBuildings!S12+1)^2*(VLOOKUP(B29,TblSpecialBasics,6,FALSE)))</f>
        <v>0</v>
      </c>
      <c r="G29" s="3">
        <f t="shared" ca="1" si="11"/>
        <v>0</v>
      </c>
      <c r="H29" s="3">
        <f>IF(UserBuildings!S12=10,0,(UserBuildings!S12+1)^2*(VLOOKUP(B29,TblSpecialBasics,8,FALSE)))</f>
        <v>0</v>
      </c>
      <c r="I29" s="3">
        <f t="shared" ca="1" si="12"/>
        <v>0</v>
      </c>
    </row>
    <row r="30" spans="2:10" ht="15.75" customHeight="1">
      <c r="B30" s="3" t="s">
        <v>134</v>
      </c>
      <c r="C30" s="12">
        <f>IF(UserBuildings!S13=10,0,(UserBuildings!S13+1)^2*(VLOOKUP(B30,TblSpecialBasics,2,FALSE)))</f>
        <v>0</v>
      </c>
      <c r="D30" s="3">
        <f>IF(UserBuildings!S13=10,0,(UserBuildings!S13+1)^2*(VLOOKUP(B30,TblSpecialBasics,4,FALSE)))</f>
        <v>0</v>
      </c>
      <c r="E30" s="3">
        <f t="shared" ca="1" si="10"/>
        <v>0</v>
      </c>
      <c r="F30" s="12">
        <f>IF(UserBuildings!S13=10,0,(UserBuildings!S13+1)^2*(VLOOKUP(B30,TblSpecialBasics,6,FALSE)))</f>
        <v>0</v>
      </c>
      <c r="G30" s="3">
        <f t="shared" ca="1" si="11"/>
        <v>0</v>
      </c>
      <c r="H30" s="3">
        <f>IF(UserBuildings!S13=10,0,(UserBuildings!S13+1)^2*(VLOOKUP(B30,TblSpecialBasics,8,FALSE)))</f>
        <v>0</v>
      </c>
      <c r="I30" s="3">
        <f t="shared" ca="1" si="12"/>
        <v>0</v>
      </c>
    </row>
    <row r="31" spans="2:10" ht="15.75" customHeight="1">
      <c r="B31" s="3" t="s">
        <v>138</v>
      </c>
      <c r="C31" s="12">
        <f>IF(UserBuildings!S14=10,0,(UserBuildings!S14+1)^2*(VLOOKUP(B31,TblSpecialBasics,2,FALSE)))</f>
        <v>0</v>
      </c>
      <c r="D31" s="3">
        <f>IF(UserBuildings!S14=10,0,(UserBuildings!S14+1)^2*(VLOOKUP(B31,TblSpecialBasics,4,FALSE)))</f>
        <v>0</v>
      </c>
      <c r="E31" s="3">
        <f t="shared" ca="1" si="10"/>
        <v>0</v>
      </c>
      <c r="F31" s="12">
        <f>IF(UserBuildings!S14=10,0,(UserBuildings!S14+1)^2*(VLOOKUP(B31,TblSpecialBasics,6,FALSE)))</f>
        <v>0</v>
      </c>
      <c r="G31" s="3">
        <f t="shared" ca="1" si="11"/>
        <v>0</v>
      </c>
      <c r="H31" s="3">
        <f>IF(UserBuildings!S14=10,0,(UserBuildings!S14+1)^2*(VLOOKUP(B31,TblSpecialBasics,8,FALSE)))</f>
        <v>0</v>
      </c>
      <c r="I31" s="3">
        <f t="shared" ca="1" si="12"/>
        <v>0</v>
      </c>
    </row>
    <row r="32" spans="2:10" ht="15.75" customHeight="1">
      <c r="B32" s="3" t="s">
        <v>141</v>
      </c>
      <c r="C32" s="12">
        <f>IF(UserBuildings!S15=10,0,(UserBuildings!S15+1)^2*(VLOOKUP(B32,TblSpecialBasics,2,FALSE)))</f>
        <v>0</v>
      </c>
      <c r="D32" s="3">
        <f>IF(UserBuildings!S15=10,0,(UserBuildings!S15+1)^2*(VLOOKUP(B32,TblSpecialBasics,4,FALSE)))</f>
        <v>0</v>
      </c>
      <c r="E32" s="3">
        <f t="shared" ca="1" si="10"/>
        <v>0</v>
      </c>
      <c r="F32" s="12">
        <f>IF(UserBuildings!S15=10,0,(UserBuildings!S15+1)^2*(VLOOKUP(B32,TblSpecialBasics,6,FALSE)))</f>
        <v>0</v>
      </c>
      <c r="G32" s="3">
        <f t="shared" ca="1" si="11"/>
        <v>0</v>
      </c>
      <c r="H32" s="3">
        <f>IF(UserBuildings!S15=10,0,(UserBuildings!S15+1)^2*(VLOOKUP(B32,TblSpecialBasics,8,FALSE)))</f>
        <v>0</v>
      </c>
      <c r="I32" s="3">
        <f t="shared" ca="1" si="12"/>
        <v>0</v>
      </c>
    </row>
    <row r="33" spans="2:9" ht="15.75" customHeight="1">
      <c r="B33" s="3" t="s">
        <v>858</v>
      </c>
      <c r="C33" s="12">
        <f>IF(UserBuildings!S16=10,0,(UserBuildings!S16+1)^2*(VLOOKUP(B33,TblSpecialBasics,2,FALSE)))</f>
        <v>0</v>
      </c>
      <c r="D33" s="3">
        <f>IF(UserBuildings!S16=10,0,(UserBuildings!S16+1)^2*(VLOOKUP(B33,TblSpecialBasics,4,FALSE)))</f>
        <v>0</v>
      </c>
      <c r="E33" s="3">
        <f t="shared" ca="1" si="10"/>
        <v>0</v>
      </c>
      <c r="F33" s="12">
        <f>IF(UserBuildings!S16=10,0,(UserBuildings!S16+1)^2*(VLOOKUP(B33,TblSpecialBasics,6,FALSE)))</f>
        <v>0</v>
      </c>
      <c r="G33" s="3">
        <f t="shared" ca="1" si="11"/>
        <v>0</v>
      </c>
      <c r="H33" s="3">
        <f>IF(UserBuildings!S16=10,0,(UserBuildings!S16+1)^2*(VLOOKUP(B33,TblSpecialBasics,8,FALSE)))</f>
        <v>0</v>
      </c>
      <c r="I33" s="3">
        <f t="shared" ca="1" si="12"/>
        <v>0</v>
      </c>
    </row>
    <row r="34" spans="2:9" ht="15.75" customHeight="1">
      <c r="B34" s="3" t="s">
        <v>147</v>
      </c>
      <c r="C34" s="12">
        <f>IF(UserBuildings!S17=10,0,(UserBuildings!S17+1)^2*(VLOOKUP(B34,TblSpecialBasics,2,FALSE)))</f>
        <v>20000000000</v>
      </c>
      <c r="D34" s="3">
        <f>IF(UserBuildings!S17=10,0,(UserBuildings!S17+1)^2*(VLOOKUP(B34,TblSpecialBasics,4,FALSE)))</f>
        <v>60000</v>
      </c>
      <c r="E34" s="3">
        <f t="shared" ca="1" si="10"/>
        <v>17956380000</v>
      </c>
      <c r="F34" s="12">
        <f>IF(UserBuildings!S17=10,0,(UserBuildings!S17+1)^2*(VLOOKUP(B34,TblSpecialBasics,6,FALSE)))</f>
        <v>600</v>
      </c>
      <c r="G34" s="3">
        <f t="shared" ca="1" si="11"/>
        <v>57934225200</v>
      </c>
      <c r="H34" s="3">
        <f>IF(UserBuildings!S17=10,0,(UserBuildings!S17+1)^2*(VLOOKUP(B34,TblSpecialBasics,8,FALSE)))</f>
        <v>20000</v>
      </c>
      <c r="I34" s="3" t="e">
        <f t="shared" ca="1" si="12"/>
        <v>#N/A</v>
      </c>
    </row>
    <row r="35" spans="2:9" ht="15.75" customHeight="1">
      <c r="B35" s="3" t="s">
        <v>151</v>
      </c>
      <c r="C35" s="12">
        <f>IF(UserBuildings!S18=10,0,(UserBuildings!S18+1)^2*(VLOOKUP(B35,TblSpecialBasics,2,FALSE)))</f>
        <v>90000000000</v>
      </c>
      <c r="D35" s="3">
        <f>IF(UserBuildings!S18=10,0,(UserBuildings!S18+1)^2*(VLOOKUP(B35,TblSpecialBasics,4,FALSE)))</f>
        <v>900000</v>
      </c>
      <c r="E35" s="3">
        <f t="shared" ca="1" si="10"/>
        <v>57256200000</v>
      </c>
      <c r="F35" s="12">
        <f>IF(UserBuildings!S18=10,0,(UserBuildings!S18+1)^2*(VLOOKUP(B35,TblSpecialBasics,6,FALSE)))</f>
        <v>720000</v>
      </c>
      <c r="G35" s="3">
        <f t="shared" ca="1" si="11"/>
        <v>148746960000</v>
      </c>
      <c r="H35" s="3">
        <f>IF(UserBuildings!S18=10,0,(UserBuildings!S18+1)^2*(VLOOKUP(B35,TblSpecialBasics,8,FALSE)))</f>
        <v>450000</v>
      </c>
      <c r="I35" s="3">
        <f t="shared" ca="1" si="12"/>
        <v>28100700000</v>
      </c>
    </row>
    <row r="36" spans="2:9" ht="15.75" customHeight="1"/>
    <row r="37" spans="2:9" ht="15.75" customHeight="1"/>
    <row r="38" spans="2:9" ht="15.75" customHeight="1">
      <c r="B38" s="1" t="s">
        <v>853</v>
      </c>
      <c r="C38" s="1" t="s">
        <v>866</v>
      </c>
      <c r="D38" s="1" t="s">
        <v>867</v>
      </c>
      <c r="E38" s="1" t="s">
        <v>868</v>
      </c>
      <c r="F38" s="1" t="s">
        <v>869</v>
      </c>
      <c r="G38" s="1" t="s">
        <v>870</v>
      </c>
      <c r="H38" s="1" t="s">
        <v>871</v>
      </c>
      <c r="I38" s="1" t="s">
        <v>872</v>
      </c>
    </row>
    <row r="39" spans="2:9" ht="15.75" customHeight="1">
      <c r="B39" s="3" t="s">
        <v>104</v>
      </c>
      <c r="C39" s="12">
        <f>(2/3*(UserBuildings!S5+1)^3-1*(UserBuildings!S5+1)^2+1/3*(UserBuildings!S5+1))*((VLOOKUP(B39,TblSpecialBasics,2,FALSE)/2))</f>
        <v>3849999999.9999995</v>
      </c>
      <c r="D39" s="3">
        <f>(2/3*(UserBuildings!S5+1)^3-1*(UserBuildings!S5+1)^2+1/3*(UserBuildings!S5+1))*((VLOOKUP(B22,TblSpecialBasics,4,FALSE)/2))</f>
        <v>3079999.9999999995</v>
      </c>
      <c r="E39" s="3">
        <f t="shared" ref="E39:E52" ca="1" si="13">VLOOKUP((VLOOKUP(B39,TblSpecialBasics,3,FALSE)),TblMarket,5,FALSE)*D39</f>
        <v>89387759999.999985</v>
      </c>
      <c r="F39" s="12">
        <f>(2/3*(UserBuildings!S5+1)^3-1*(UserBuildings!S5+1)^2+1/3*(UserBuildings!S5+1))*((VLOOKUP(B22,TblSpecialBasics,6,FALSE))/2)</f>
        <v>384999.99999999994</v>
      </c>
      <c r="G39" s="3">
        <f t="shared" ref="G39:G52" ca="1" si="14">VLOOKUP((VLOOKUP($B39,TblSpecialBasics,5,FALSE)),TblMarket,5,FALSE)*F39</f>
        <v>73643954999.999985</v>
      </c>
      <c r="H39" s="3">
        <f>(2/3*(UserBuildings!S5+1)^3-1*(UserBuildings!S5+1)^2+1/3*(UserBuildings!S5+1))*((VLOOKUP(B22,TblSpecialBasics,8,FALSE))/2)</f>
        <v>769.99999999999989</v>
      </c>
      <c r="I39" s="3" t="e">
        <f t="shared" ref="I39:I52" ca="1" si="15">VLOOKUP((VLOOKUP($B39,TblSpecialBasics,7,FALSE)),TblMarket,5,FALSE)*H39</f>
        <v>#N/A</v>
      </c>
    </row>
    <row r="40" spans="2:9" ht="15.75" customHeight="1">
      <c r="B40" s="3" t="s">
        <v>107</v>
      </c>
      <c r="C40" s="12">
        <f>(2/3*(UserBuildings!S6+1)^3-1*(UserBuildings!S6+1)^2+1/3*(UserBuildings!S6+1))*((VLOOKUP(B40,TblSpecialBasics,2,FALSE)/2))</f>
        <v>962499999.99999988</v>
      </c>
      <c r="D40" s="3">
        <f>(2/3*(UserBuildings!S6+1)^3-1*(UserBuildings!S6+1)^2+1/3*(UserBuildings!S6+1))*((VLOOKUP(B23,TblSpecialBasics,4,FALSE)/2))</f>
        <v>769999.99999999988</v>
      </c>
      <c r="E40" s="3">
        <f t="shared" ca="1" si="13"/>
        <v>3985519999.9999995</v>
      </c>
      <c r="F40" s="12">
        <f>(2/3*(UserBuildings!S6+1)^3-1*(UserBuildings!S6+1)^2+1/3*(UserBuildings!S6+1))*((VLOOKUP(B23,TblSpecialBasics,6,FALSE))/2)</f>
        <v>192499.99999999997</v>
      </c>
      <c r="G40" s="3">
        <f t="shared" ca="1" si="14"/>
        <v>4860624999.999999</v>
      </c>
      <c r="H40" s="3">
        <f>(2/3*(UserBuildings!S6+1)^3-1*(UserBuildings!S6+1)^2+1/3*(UserBuildings!S6+1))*((VLOOKUP(B23,TblSpecialBasics,8,FALSE))/2)</f>
        <v>384999.99999999994</v>
      </c>
      <c r="I40" s="3">
        <f t="shared" ca="1" si="15"/>
        <v>26332844999.999996</v>
      </c>
    </row>
    <row r="41" spans="2:9" ht="15.75" customHeight="1">
      <c r="B41" s="3" t="s">
        <v>110</v>
      </c>
      <c r="C41" s="12">
        <f>(2/3*(UserBuildings!S7+1)^3-1*(UserBuildings!S7+1)^2+1/3*(UserBuildings!S7+1))*((VLOOKUP(B41,TblSpecialBasics,2,FALSE)/2))</f>
        <v>38499999999.999992</v>
      </c>
      <c r="D41" s="3">
        <f>(2/3*(UserBuildings!S7+1)^3-1*(UserBuildings!S7+1)^2+1/3*(UserBuildings!S7+1))*((VLOOKUP(B24,TblSpecialBasics,4,FALSE)/2))</f>
        <v>3657499.9999999995</v>
      </c>
      <c r="E41" s="3">
        <f t="shared" ca="1" si="13"/>
        <v>52667999999.999992</v>
      </c>
      <c r="F41" s="12">
        <f>(2/3*(UserBuildings!S7+1)^3-1*(UserBuildings!S7+1)^2+1/3*(UserBuildings!S7+1))*((VLOOKUP(B24,TblSpecialBasics,6,FALSE))/2)</f>
        <v>3657499.9999999995</v>
      </c>
      <c r="G41" s="3">
        <f t="shared" ca="1" si="14"/>
        <v>92351874999.999985</v>
      </c>
      <c r="H41" s="3">
        <f>(2/3*(UserBuildings!S7+1)^3-1*(UserBuildings!S7+1)^2+1/3*(UserBuildings!S7+1))*((VLOOKUP(B24,TblSpecialBasics,8,FALSE))/2)</f>
        <v>2502499.9999999995</v>
      </c>
      <c r="I41" s="3">
        <f t="shared" ca="1" si="15"/>
        <v>171163492499.99997</v>
      </c>
    </row>
    <row r="42" spans="2:9" ht="15.75" customHeight="1">
      <c r="B42" s="3" t="s">
        <v>114</v>
      </c>
      <c r="C42" s="12">
        <f>(2/3*(UserBuildings!S8+1)^3-1*(UserBuildings!S8+1)^2+1/3*(UserBuildings!S8+1))*((VLOOKUP(B42,TblSpecialBasics,2,FALSE)/2))</f>
        <v>3849999999.9999995</v>
      </c>
      <c r="D42" s="3">
        <f>(2/3*(UserBuildings!S8+1)^3-1*(UserBuildings!S8+1)^2+1/3*(UserBuildings!S8+1))*((VLOOKUP(B25,TblSpecialBasics,4,FALSE)/2))</f>
        <v>1924999.9999999998</v>
      </c>
      <c r="E42" s="3">
        <f t="shared" ca="1" si="13"/>
        <v>9963799999.9999981</v>
      </c>
      <c r="F42" s="12">
        <f>(2/3*(UserBuildings!S8+1)^3-1*(UserBuildings!S8+1)^2+1/3*(UserBuildings!S8+1))*((VLOOKUP(B25,TblSpecialBasics,6,FALSE))/2)</f>
        <v>3849999.9999999995</v>
      </c>
      <c r="G42" s="3" t="e">
        <f t="shared" ca="1" si="14"/>
        <v>#N/A</v>
      </c>
      <c r="H42" s="3">
        <f>(2/3*(UserBuildings!S8+1)^3-1*(UserBuildings!S8+1)^2+1/3*(UserBuildings!S8+1))*((VLOOKUP(B25,TblSpecialBasics,8,FALSE))/2)</f>
        <v>192499.99999999997</v>
      </c>
      <c r="I42" s="3">
        <f t="shared" ca="1" si="15"/>
        <v>4105639999.9999995</v>
      </c>
    </row>
    <row r="43" spans="2:9" ht="15.75" customHeight="1">
      <c r="B43" s="3" t="s">
        <v>117</v>
      </c>
      <c r="C43" s="12">
        <f>(2/3*(UserBuildings!S9+1)^3-1*(UserBuildings!S9+1)^2+1/3*(UserBuildings!S9+1))*((VLOOKUP(B43,TblSpecialBasics,2,FALSE)/2))</f>
        <v>3849999999.9999995</v>
      </c>
      <c r="D43" s="3">
        <f>(2/3*(UserBuildings!S9+1)^3-1*(UserBuildings!S9+1)^2+1/3*(UserBuildings!S9+1))*((VLOOKUP(B26,TblSpecialBasics,4,FALSE)/2))</f>
        <v>3849999.9999999995</v>
      </c>
      <c r="E43" s="3">
        <f t="shared" ca="1" si="13"/>
        <v>152429199999.99997</v>
      </c>
      <c r="F43" s="12">
        <f>(2/3*(UserBuildings!S9+1)^3-1*(UserBuildings!S9+1)^2+1/3*(UserBuildings!S9+1))*((VLOOKUP(B26,TblSpecialBasics,6,FALSE))/2)</f>
        <v>3849999.9999999995</v>
      </c>
      <c r="G43" s="3">
        <f t="shared" ca="1" si="14"/>
        <v>40890849999.999992</v>
      </c>
      <c r="H43" s="3">
        <f>(2/3*(UserBuildings!S9+1)^3-1*(UserBuildings!S9+1)^2+1/3*(UserBuildings!S9+1))*((VLOOKUP(B26,TblSpecialBasics,8,FALSE))/2)</f>
        <v>3849999.9999999995</v>
      </c>
      <c r="I43" s="3">
        <f t="shared" ca="1" si="15"/>
        <v>82112799999.999985</v>
      </c>
    </row>
    <row r="44" spans="2:9" ht="15.75" customHeight="1">
      <c r="B44" s="3" t="s">
        <v>121</v>
      </c>
      <c r="C44" s="12">
        <f>(2/3*(UserBuildings!S10+1)^3-1*(UserBuildings!S10+1)^2+1/3*(UserBuildings!S10+1))*((VLOOKUP(B44,TblSpecialBasics,2,FALSE)/2))</f>
        <v>28874999999.999996</v>
      </c>
      <c r="D44" s="3">
        <f>(2/3*(UserBuildings!S10+1)^3-1*(UserBuildings!S10+1)^2+1/3*(UserBuildings!S10+1))*((VLOOKUP(B27,TblSpecialBasics,4,FALSE)/2))</f>
        <v>6159999.9999999991</v>
      </c>
      <c r="E44" s="3">
        <f t="shared" ca="1" si="13"/>
        <v>309287439999.99994</v>
      </c>
      <c r="F44" s="12">
        <f>(2/3*(UserBuildings!S10+1)^3-1*(UserBuildings!S10+1)^2+1/3*(UserBuildings!S10+1))*((VLOOKUP(B27,TblSpecialBasics,6,FALSE))/2)</f>
        <v>3272499.9999999995</v>
      </c>
      <c r="G44" s="3">
        <f t="shared" ca="1" si="14"/>
        <v>315478817499.99994</v>
      </c>
      <c r="H44" s="3">
        <f>(2/3*(UserBuildings!S10+1)^3-1*(UserBuildings!S10+1)^2+1/3*(UserBuildings!S10+1))*((VLOOKUP(B27,TblSpecialBasics,8,FALSE))/2)</f>
        <v>1732499.9999999998</v>
      </c>
      <c r="I44" s="3">
        <f t="shared" ca="1" si="15"/>
        <v>8319464999.999999</v>
      </c>
    </row>
    <row r="45" spans="2:9" ht="15.75" customHeight="1">
      <c r="B45" s="3" t="s">
        <v>126</v>
      </c>
      <c r="C45" s="12">
        <f>(2/3*(UserBuildings!S11+1)^3-1*(UserBuildings!S11+1)^2+1/3*(UserBuildings!S11+1))*((VLOOKUP(B45,TblSpecialBasics,2,FALSE)/2))</f>
        <v>192499999999.99997</v>
      </c>
      <c r="D45" s="3">
        <f>(2/3*(UserBuildings!S11+1)^3-1*(UserBuildings!S11+1)^2+1/3*(UserBuildings!S11+1))*((VLOOKUP(B28,TblSpecialBasics,4,FALSE)/2))</f>
        <v>76999999.999999985</v>
      </c>
      <c r="E45" s="3" t="e">
        <f t="shared" ca="1" si="13"/>
        <v>#N/A</v>
      </c>
      <c r="F45" s="12">
        <f>(2/3*(UserBuildings!S11+1)^3-1*(UserBuildings!S11+1)^2+1/3*(UserBuildings!S11+1))*((VLOOKUP(B28,TblSpecialBasics,6,FALSE))/2)</f>
        <v>57749999.999999993</v>
      </c>
      <c r="G45" s="3">
        <f t="shared" ca="1" si="14"/>
        <v>29567999999.999996</v>
      </c>
      <c r="H45" s="3">
        <f>(2/3*(UserBuildings!S11+1)^3-1*(UserBuildings!S11+1)^2+1/3*(UserBuildings!S11+1))*((VLOOKUP(B28,TblSpecialBasics,8,FALSE))/2)</f>
        <v>57749999.999999993</v>
      </c>
      <c r="I45" s="3">
        <f t="shared" ca="1" si="15"/>
        <v>1676020499999.9998</v>
      </c>
    </row>
    <row r="46" spans="2:9" ht="15.75" customHeight="1">
      <c r="B46" s="3" t="s">
        <v>130</v>
      </c>
      <c r="C46" s="12">
        <f>(2/3*(UserBuildings!S12+1)^3-1*(UserBuildings!S12+1)^2+1/3*(UserBuildings!S12+1))*((VLOOKUP(B46,TblSpecialBasics,2,FALSE)/2))</f>
        <v>19249999999.999996</v>
      </c>
      <c r="D46" s="3">
        <f>(2/3*(UserBuildings!S12+1)^3-1*(UserBuildings!S12+1)^2+1/3*(UserBuildings!S12+1))*((VLOOKUP(B29,TblSpecialBasics,4,FALSE)/2))</f>
        <v>30799999.999999996</v>
      </c>
      <c r="E46" s="3" t="e">
        <f t="shared" ca="1" si="13"/>
        <v>#N/A</v>
      </c>
      <c r="F46" s="12">
        <f>(2/3*(UserBuildings!S12+1)^3-1*(UserBuildings!S12+1)^2+1/3*(UserBuildings!S12+1))*((VLOOKUP(B29,TblSpecialBasics,6,FALSE))/2)</f>
        <v>1924999.9999999998</v>
      </c>
      <c r="G46" s="3">
        <f t="shared" ca="1" si="14"/>
        <v>345002349999.99994</v>
      </c>
      <c r="H46" s="3">
        <f>(2/3*(UserBuildings!S12+1)^3-1*(UserBuildings!S12+1)^2+1/3*(UserBuildings!S12+1))*((VLOOKUP(B29,TblSpecialBasics,8,FALSE))/2)</f>
        <v>19249999.999999996</v>
      </c>
      <c r="I46" s="3">
        <f t="shared" ca="1" si="15"/>
        <v>31300499999.999992</v>
      </c>
    </row>
    <row r="47" spans="2:9" ht="15.75" customHeight="1">
      <c r="B47" s="3" t="s">
        <v>134</v>
      </c>
      <c r="C47" s="12">
        <f>(2/3*(UserBuildings!S13+1)^3-1*(UserBuildings!S13+1)^2+1/3*(UserBuildings!S13+1))*((VLOOKUP(B47,TblSpecialBasics,2,FALSE)/2))</f>
        <v>769999999999.99988</v>
      </c>
      <c r="D47" s="3">
        <f>(2/3*(UserBuildings!S13+1)^3-1*(UserBuildings!S13+1)^2+1/3*(UserBuildings!S13+1))*((VLOOKUP(B30,TblSpecialBasics,4,FALSE)/2))</f>
        <v>11549999.999999998</v>
      </c>
      <c r="E47" s="3">
        <f t="shared" ca="1" si="13"/>
        <v>246338399999.99997</v>
      </c>
      <c r="F47" s="12">
        <f>(2/3*(UserBuildings!S13+1)^3-1*(UserBuildings!S13+1)^2+1/3*(UserBuildings!S13+1))*((VLOOKUP(B30,TblSpecialBasics,6,FALSE))/2)</f>
        <v>5774999.9999999991</v>
      </c>
      <c r="G47" s="3">
        <f t="shared" ca="1" si="14"/>
        <v>1104659324999.9998</v>
      </c>
      <c r="H47" s="3">
        <f>(2/3*(UserBuildings!S13+1)^3-1*(UserBuildings!S13+1)^2+1/3*(UserBuildings!S13+1))*((VLOOKUP(B30,TblSpecialBasics,8,FALSE))/2)</f>
        <v>1924.9999999999998</v>
      </c>
      <c r="I47" s="3">
        <f t="shared" ca="1" si="15"/>
        <v>21742006824.999996</v>
      </c>
    </row>
    <row r="48" spans="2:9" ht="15.75" customHeight="1">
      <c r="B48" s="3" t="s">
        <v>138</v>
      </c>
      <c r="C48" s="12">
        <f>(2/3*(UserBuildings!S14+1)^3-1*(UserBuildings!S14+1)^2+1/3*(UserBuildings!S14+1))*((VLOOKUP(B48,TblSpecialBasics,2,FALSE)/2))</f>
        <v>769999999999.99988</v>
      </c>
      <c r="D48" s="3">
        <f>(2/3*(UserBuildings!S14+1)^3-1*(UserBuildings!S14+1)^2+1/3*(UserBuildings!S14+1))*((VLOOKUP(B31,TblSpecialBasics,4,FALSE)/2))</f>
        <v>7699999.9999999991</v>
      </c>
      <c r="E48" s="3">
        <f t="shared" ca="1" si="13"/>
        <v>1590766099999.9998</v>
      </c>
      <c r="F48" s="12">
        <f>(2/3*(UserBuildings!S14+1)^3-1*(UserBuildings!S14+1)^2+1/3*(UserBuildings!S14+1))*((VLOOKUP(B31,TblSpecialBasics,6,FALSE))/2)</f>
        <v>19249999.999999996</v>
      </c>
      <c r="G48" s="3">
        <f t="shared" ca="1" si="14"/>
        <v>31300499999.999992</v>
      </c>
      <c r="H48" s="3">
        <f>(2/3*(UserBuildings!S14+1)^3-1*(UserBuildings!S14+1)^2+1/3*(UserBuildings!S14+1))*((VLOOKUP(B31,TblSpecialBasics,8,FALSE))/2)</f>
        <v>5774999.9999999991</v>
      </c>
      <c r="I48" s="3">
        <f t="shared" ca="1" si="15"/>
        <v>504359624999.99994</v>
      </c>
    </row>
    <row r="49" spans="2:9" ht="15.75" customHeight="1">
      <c r="B49" s="3" t="s">
        <v>141</v>
      </c>
      <c r="C49" s="12">
        <f>(2/3*(UserBuildings!S15+1)^3-1*(UserBuildings!S15+1)^2+1/3*(UserBuildings!S15+1))*((VLOOKUP(B49,TblSpecialBasics,2,FALSE)/2))</f>
        <v>769999999999.99988</v>
      </c>
      <c r="D49" s="3">
        <f>(2/3*(UserBuildings!S15+1)^3-1*(UserBuildings!S15+1)^2+1/3*(UserBuildings!S15+1))*((VLOOKUP(B32,TblSpecialBasics,4,FALSE)/2))</f>
        <v>192499.99999999997</v>
      </c>
      <c r="E49" s="3">
        <f t="shared" ca="1" si="13"/>
        <v>6346724999999.999</v>
      </c>
      <c r="F49" s="12">
        <f>(2/3*(UserBuildings!S15+1)^3-1*(UserBuildings!S15+1)^2+1/3*(UserBuildings!S15+1))*((VLOOKUP(B32,TblSpecialBasics,6,FALSE))/2)</f>
        <v>19249999.999999996</v>
      </c>
      <c r="G49" s="3">
        <f t="shared" ca="1" si="14"/>
        <v>1224646499999.9998</v>
      </c>
      <c r="H49" s="3">
        <f>(2/3*(UserBuildings!S15+1)^3-1*(UserBuildings!S15+1)^2+1/3*(UserBuildings!S15+1))*((VLOOKUP(B32,TblSpecialBasics,8,FALSE))/2)</f>
        <v>19249999.999999996</v>
      </c>
      <c r="I49" s="3">
        <f t="shared" ca="1" si="15"/>
        <v>1681198749999.9998</v>
      </c>
    </row>
    <row r="50" spans="2:9" ht="15.75" customHeight="1">
      <c r="B50" s="3" t="s">
        <v>858</v>
      </c>
      <c r="C50" s="12">
        <f>(2/3*(UserBuildings!S16+1)^3-1*(UserBuildings!S16+1)^2+1/3*(UserBuildings!S16+1))*((VLOOKUP(B50,TblSpecialBasics,2,FALSE)/2))</f>
        <v>769999999999.99988</v>
      </c>
      <c r="D50" s="3">
        <f>(2/3*(UserBuildings!S16+1)^3-1*(UserBuildings!S16+1)^2+1/3*(UserBuildings!S16+1))*((VLOOKUP(B33,TblSpecialBasics,4,FALSE)/2))</f>
        <v>7699999.9999999991</v>
      </c>
      <c r="E50" s="3">
        <f t="shared" ca="1" si="13"/>
        <v>2304402099999.9995</v>
      </c>
      <c r="F50" s="12">
        <f>(2/3*(UserBuildings!S16+1)^3-1*(UserBuildings!S16+1)^2+1/3*(UserBuildings!S16+1))*((VLOOKUP(B33,TblSpecialBasics,6,FALSE))/2)</f>
        <v>192499999.99999997</v>
      </c>
      <c r="G50" s="3">
        <f t="shared" ca="1" si="14"/>
        <v>6185602499999.999</v>
      </c>
      <c r="H50" s="3">
        <f>(2/3*(UserBuildings!S16+1)^3-1*(UserBuildings!S16+1)^2+1/3*(UserBuildings!S16+1))*((VLOOKUP(B33,TblSpecialBasics,8,FALSE))/2)</f>
        <v>769999999.99999988</v>
      </c>
      <c r="I50" s="3">
        <f t="shared" ca="1" si="15"/>
        <v>1252019999999.9998</v>
      </c>
    </row>
    <row r="51" spans="2:9" ht="15.75" customHeight="1">
      <c r="B51" s="3" t="s">
        <v>147</v>
      </c>
      <c r="C51" s="12">
        <f>(2/3*(UserBuildings!S17+1)^3-1*(UserBuildings!S17+1)^2+1/3*(UserBuildings!S17+1))*((VLOOKUP(B51,TblSpecialBasics,2,FALSE)/2))</f>
        <v>4999999999.999999</v>
      </c>
      <c r="D51" s="3">
        <f>(2/3*(UserBuildings!S17+1)^3-1*(UserBuildings!S17+1)^2+1/3*(UserBuildings!S17+1))*((VLOOKUP(B34,TblSpecialBasics,4,FALSE)/2))</f>
        <v>14999.999999999996</v>
      </c>
      <c r="E51" s="3">
        <f t="shared" ca="1" si="13"/>
        <v>4489094999.999999</v>
      </c>
      <c r="F51" s="12">
        <f>(2/3*(UserBuildings!S17+1)^3-1*(UserBuildings!S17+1)^2+1/3*(UserBuildings!S17+1))*((VLOOKUP(B34,TblSpecialBasics,6,FALSE))/2)</f>
        <v>149.99999999999997</v>
      </c>
      <c r="G51" s="3">
        <f t="shared" ca="1" si="14"/>
        <v>14483556299.999998</v>
      </c>
      <c r="H51" s="3">
        <f>(2/3*(UserBuildings!S17+1)^3-1*(UserBuildings!S17+1)^2+1/3*(UserBuildings!S17+1))*((VLOOKUP(B34,TblSpecialBasics,8,FALSE))/2)</f>
        <v>4999.9999999999991</v>
      </c>
      <c r="I51" s="3" t="e">
        <f t="shared" ca="1" si="15"/>
        <v>#N/A</v>
      </c>
    </row>
    <row r="52" spans="2:9" ht="15.75" customHeight="1">
      <c r="B52" s="3" t="s">
        <v>151</v>
      </c>
      <c r="C52" s="12">
        <f>(2/3*(UserBuildings!S18+1)^3-1*(UserBuildings!S18+1)^2+1/3*(UserBuildings!S18+1))*((VLOOKUP(B52,TblSpecialBasics,2,FALSE)/2))</f>
        <v>50000000000</v>
      </c>
      <c r="D52" s="3">
        <f>(2/3*(UserBuildings!S18+1)^3-1*(UserBuildings!S18+1)^2+1/3*(UserBuildings!S18+1))*((VLOOKUP(B35,TblSpecialBasics,4,FALSE)/2))</f>
        <v>500000</v>
      </c>
      <c r="E52" s="3">
        <f t="shared" ca="1" si="13"/>
        <v>31809000000</v>
      </c>
      <c r="F52" s="12">
        <f>(2/3*(UserBuildings!S18+1)^3-1*(UserBuildings!S18+1)^2+1/3*(UserBuildings!S18+1))*((VLOOKUP(B35,TblSpecialBasics,6,FALSE))/2)</f>
        <v>400000</v>
      </c>
      <c r="G52" s="3">
        <f t="shared" ca="1" si="14"/>
        <v>82637200000</v>
      </c>
      <c r="H52" s="3">
        <f>(2/3*(UserBuildings!S18+1)^3-1*(UserBuildings!S18+1)^2+1/3*(UserBuildings!S18+1))*((VLOOKUP(B35,TblSpecialBasics,8,FALSE))/2)</f>
        <v>250000</v>
      </c>
      <c r="I52" s="3">
        <f t="shared" ca="1" si="15"/>
        <v>15611500000</v>
      </c>
    </row>
    <row r="53" spans="2:9" ht="15.75" customHeight="1"/>
    <row r="54" spans="2:9" ht="15.75" customHeight="1"/>
    <row r="55" spans="2:9" ht="15.75" customHeight="1">
      <c r="B55" s="1" t="s">
        <v>853</v>
      </c>
      <c r="C55" s="1" t="s">
        <v>873</v>
      </c>
      <c r="D55" s="1" t="s">
        <v>874</v>
      </c>
      <c r="E55" s="1" t="s">
        <v>875</v>
      </c>
      <c r="F55" s="1" t="s">
        <v>876</v>
      </c>
      <c r="G55" s="1" t="s">
        <v>877</v>
      </c>
      <c r="H55" s="1" t="s">
        <v>878</v>
      </c>
      <c r="I55" s="1" t="s">
        <v>879</v>
      </c>
    </row>
    <row r="56" spans="2:9" ht="15.75" customHeight="1">
      <c r="B56" s="3" t="s">
        <v>104</v>
      </c>
      <c r="C56" s="12">
        <f t="shared" ref="C56:C69" si="16">(2/3*(11)^3-1*(11)^2+1/3*(11))*((VLOOKUP(B56,TblSpecialBasics,2,FALSE)/2))</f>
        <v>3849999999.9999995</v>
      </c>
      <c r="D56" s="3">
        <f t="shared" ref="D56:D69" si="17">(2/3*(11)^3-1*(11)^2+1/3*(11))*((VLOOKUP(B22,TblSpecialBasics,4,FALSE)/2))</f>
        <v>3079999.9999999995</v>
      </c>
      <c r="E56" s="3">
        <f t="shared" ref="E56:E69" ca="1" si="18">VLOOKUP((VLOOKUP(B56,TblSpecialBasics,3,FALSE)),TblMarket,5,FALSE)*D56</f>
        <v>89387759999.999985</v>
      </c>
      <c r="F56" s="12">
        <f t="shared" ref="F56:F69" si="19">(2/3*(11)^3-1*(11)^2+1/3*(11))*((VLOOKUP(B22,TblSpecialBasics,6,FALSE))/2)</f>
        <v>384999.99999999994</v>
      </c>
      <c r="G56" s="3">
        <f t="shared" ref="G56:G69" ca="1" si="20">VLOOKUP((VLOOKUP($B56,TblSpecialBasics,5,FALSE)),TblMarket,5,FALSE)*F56</f>
        <v>73643954999.999985</v>
      </c>
      <c r="H56" s="3">
        <f t="shared" ref="H56:H69" si="21">(2/3*(11)^3-1*(11)^2+1/3*(11))*((VLOOKUP(B22,TblSpecialBasics,8,FALSE))/2)</f>
        <v>769.99999999999989</v>
      </c>
      <c r="I56" s="3" t="e">
        <f t="shared" ref="I56:I69" ca="1" si="22">VLOOKUP((VLOOKUP($B56,TblSpecialBasics,7,FALSE)),TblMarket,5,FALSE)*H56</f>
        <v>#N/A</v>
      </c>
    </row>
    <row r="57" spans="2:9" ht="15.75" customHeight="1">
      <c r="B57" s="3" t="s">
        <v>107</v>
      </c>
      <c r="C57" s="12">
        <f t="shared" si="16"/>
        <v>962499999.99999988</v>
      </c>
      <c r="D57" s="3">
        <f t="shared" si="17"/>
        <v>769999.99999999988</v>
      </c>
      <c r="E57" s="3">
        <f t="shared" ca="1" si="18"/>
        <v>3985519999.9999995</v>
      </c>
      <c r="F57" s="12">
        <f t="shared" si="19"/>
        <v>192499.99999999997</v>
      </c>
      <c r="G57" s="3">
        <f t="shared" ca="1" si="20"/>
        <v>4860624999.999999</v>
      </c>
      <c r="H57" s="3">
        <f t="shared" si="21"/>
        <v>384999.99999999994</v>
      </c>
      <c r="I57" s="3">
        <f t="shared" ca="1" si="22"/>
        <v>26332844999.999996</v>
      </c>
    </row>
    <row r="58" spans="2:9" ht="15.75" customHeight="1">
      <c r="B58" s="3" t="s">
        <v>110</v>
      </c>
      <c r="C58" s="12">
        <f t="shared" si="16"/>
        <v>38499999999.999992</v>
      </c>
      <c r="D58" s="3">
        <f t="shared" si="17"/>
        <v>3657499.9999999995</v>
      </c>
      <c r="E58" s="3">
        <f t="shared" ca="1" si="18"/>
        <v>52667999999.999992</v>
      </c>
      <c r="F58" s="12">
        <f t="shared" si="19"/>
        <v>3657499.9999999995</v>
      </c>
      <c r="G58" s="3">
        <f t="shared" ca="1" si="20"/>
        <v>92351874999.999985</v>
      </c>
      <c r="H58" s="3">
        <f t="shared" si="21"/>
        <v>2502499.9999999995</v>
      </c>
      <c r="I58" s="3">
        <f t="shared" ca="1" si="22"/>
        <v>171163492499.99997</v>
      </c>
    </row>
    <row r="59" spans="2:9" ht="15.75" customHeight="1">
      <c r="B59" s="3" t="s">
        <v>114</v>
      </c>
      <c r="C59" s="12">
        <f t="shared" si="16"/>
        <v>3849999999.9999995</v>
      </c>
      <c r="D59" s="3">
        <f t="shared" si="17"/>
        <v>1924999.9999999998</v>
      </c>
      <c r="E59" s="3">
        <f t="shared" ca="1" si="18"/>
        <v>9963799999.9999981</v>
      </c>
      <c r="F59" s="12">
        <f t="shared" si="19"/>
        <v>3849999.9999999995</v>
      </c>
      <c r="G59" s="3" t="e">
        <f t="shared" ca="1" si="20"/>
        <v>#N/A</v>
      </c>
      <c r="H59" s="3">
        <f t="shared" si="21"/>
        <v>192499.99999999997</v>
      </c>
      <c r="I59" s="3">
        <f t="shared" ca="1" si="22"/>
        <v>4105639999.9999995</v>
      </c>
    </row>
    <row r="60" spans="2:9" ht="15.75" customHeight="1">
      <c r="B60" s="3" t="s">
        <v>117</v>
      </c>
      <c r="C60" s="12">
        <f t="shared" si="16"/>
        <v>3849999999.9999995</v>
      </c>
      <c r="D60" s="3">
        <f t="shared" si="17"/>
        <v>3849999.9999999995</v>
      </c>
      <c r="E60" s="3">
        <f t="shared" ca="1" si="18"/>
        <v>152429199999.99997</v>
      </c>
      <c r="F60" s="12">
        <f t="shared" si="19"/>
        <v>3849999.9999999995</v>
      </c>
      <c r="G60" s="3">
        <f t="shared" ca="1" si="20"/>
        <v>40890849999.999992</v>
      </c>
      <c r="H60" s="3">
        <f t="shared" si="21"/>
        <v>3849999.9999999995</v>
      </c>
      <c r="I60" s="3">
        <f t="shared" ca="1" si="22"/>
        <v>82112799999.999985</v>
      </c>
    </row>
    <row r="61" spans="2:9" ht="15.75" customHeight="1">
      <c r="B61" s="3" t="s">
        <v>121</v>
      </c>
      <c r="C61" s="12">
        <f t="shared" si="16"/>
        <v>28874999999.999996</v>
      </c>
      <c r="D61" s="3">
        <f t="shared" si="17"/>
        <v>6159999.9999999991</v>
      </c>
      <c r="E61" s="3">
        <f t="shared" ca="1" si="18"/>
        <v>309287439999.99994</v>
      </c>
      <c r="F61" s="12">
        <f t="shared" si="19"/>
        <v>3272499.9999999995</v>
      </c>
      <c r="G61" s="3">
        <f t="shared" ca="1" si="20"/>
        <v>315478817499.99994</v>
      </c>
      <c r="H61" s="3">
        <f t="shared" si="21"/>
        <v>1732499.9999999998</v>
      </c>
      <c r="I61" s="3">
        <f t="shared" ca="1" si="22"/>
        <v>8319464999.999999</v>
      </c>
    </row>
    <row r="62" spans="2:9" ht="15.75" customHeight="1">
      <c r="B62" s="3" t="s">
        <v>126</v>
      </c>
      <c r="C62" s="12">
        <f t="shared" si="16"/>
        <v>192499999999.99997</v>
      </c>
      <c r="D62" s="3">
        <f t="shared" si="17"/>
        <v>76999999.999999985</v>
      </c>
      <c r="E62" s="3" t="e">
        <f t="shared" ca="1" si="18"/>
        <v>#N/A</v>
      </c>
      <c r="F62" s="12">
        <f t="shared" si="19"/>
        <v>57749999.999999993</v>
      </c>
      <c r="G62" s="3">
        <f t="shared" ca="1" si="20"/>
        <v>29567999999.999996</v>
      </c>
      <c r="H62" s="3">
        <f t="shared" si="21"/>
        <v>57749999.999999993</v>
      </c>
      <c r="I62" s="3">
        <f t="shared" ca="1" si="22"/>
        <v>1676020499999.9998</v>
      </c>
    </row>
    <row r="63" spans="2:9" ht="15.75" customHeight="1">
      <c r="B63" s="3" t="s">
        <v>130</v>
      </c>
      <c r="C63" s="12">
        <f t="shared" si="16"/>
        <v>19249999999.999996</v>
      </c>
      <c r="D63" s="3">
        <f t="shared" si="17"/>
        <v>30799999.999999996</v>
      </c>
      <c r="E63" s="3" t="e">
        <f t="shared" ca="1" si="18"/>
        <v>#N/A</v>
      </c>
      <c r="F63" s="12">
        <f t="shared" si="19"/>
        <v>1924999.9999999998</v>
      </c>
      <c r="G63" s="3">
        <f t="shared" ca="1" si="20"/>
        <v>345002349999.99994</v>
      </c>
      <c r="H63" s="3">
        <f t="shared" si="21"/>
        <v>19249999.999999996</v>
      </c>
      <c r="I63" s="3">
        <f t="shared" ca="1" si="22"/>
        <v>31300499999.999992</v>
      </c>
    </row>
    <row r="64" spans="2:9" ht="15.75" customHeight="1">
      <c r="B64" s="3" t="s">
        <v>134</v>
      </c>
      <c r="C64" s="12">
        <f t="shared" si="16"/>
        <v>769999999999.99988</v>
      </c>
      <c r="D64" s="3">
        <f t="shared" si="17"/>
        <v>11549999.999999998</v>
      </c>
      <c r="E64" s="3">
        <f t="shared" ca="1" si="18"/>
        <v>246338399999.99997</v>
      </c>
      <c r="F64" s="12">
        <f t="shared" si="19"/>
        <v>5774999.9999999991</v>
      </c>
      <c r="G64" s="3">
        <f t="shared" ca="1" si="20"/>
        <v>1104659324999.9998</v>
      </c>
      <c r="H64" s="3">
        <f t="shared" si="21"/>
        <v>1924.9999999999998</v>
      </c>
      <c r="I64" s="3">
        <f t="shared" ca="1" si="22"/>
        <v>21742006824.999996</v>
      </c>
    </row>
    <row r="65" spans="2:10" ht="15.75" customHeight="1">
      <c r="B65" s="3" t="s">
        <v>138</v>
      </c>
      <c r="C65" s="12">
        <f t="shared" si="16"/>
        <v>769999999999.99988</v>
      </c>
      <c r="D65" s="3">
        <f t="shared" si="17"/>
        <v>7699999.9999999991</v>
      </c>
      <c r="E65" s="3">
        <f t="shared" ca="1" si="18"/>
        <v>1590766099999.9998</v>
      </c>
      <c r="F65" s="12">
        <f t="shared" si="19"/>
        <v>19249999.999999996</v>
      </c>
      <c r="G65" s="3">
        <f t="shared" ca="1" si="20"/>
        <v>31300499999.999992</v>
      </c>
      <c r="H65" s="3">
        <f t="shared" si="21"/>
        <v>5774999.9999999991</v>
      </c>
      <c r="I65" s="3">
        <f t="shared" ca="1" si="22"/>
        <v>504359624999.99994</v>
      </c>
    </row>
    <row r="66" spans="2:10" ht="15.75" customHeight="1">
      <c r="B66" s="3" t="s">
        <v>141</v>
      </c>
      <c r="C66" s="12">
        <f t="shared" si="16"/>
        <v>769999999999.99988</v>
      </c>
      <c r="D66" s="3">
        <f t="shared" si="17"/>
        <v>192499.99999999997</v>
      </c>
      <c r="E66" s="3">
        <f t="shared" ca="1" si="18"/>
        <v>6346724999999.999</v>
      </c>
      <c r="F66" s="12">
        <f t="shared" si="19"/>
        <v>19249999.999999996</v>
      </c>
      <c r="G66" s="3">
        <f t="shared" ca="1" si="20"/>
        <v>1224646499999.9998</v>
      </c>
      <c r="H66" s="3">
        <f t="shared" si="21"/>
        <v>19249999.999999996</v>
      </c>
      <c r="I66" s="3">
        <f t="shared" ca="1" si="22"/>
        <v>1681198749999.9998</v>
      </c>
    </row>
    <row r="67" spans="2:10" ht="15.75" customHeight="1">
      <c r="B67" s="3" t="s">
        <v>858</v>
      </c>
      <c r="C67" s="12">
        <f t="shared" si="16"/>
        <v>769999999999.99988</v>
      </c>
      <c r="D67" s="3">
        <f t="shared" si="17"/>
        <v>7699999.9999999991</v>
      </c>
      <c r="E67" s="3">
        <f t="shared" ca="1" si="18"/>
        <v>2304402099999.9995</v>
      </c>
      <c r="F67" s="12">
        <f t="shared" si="19"/>
        <v>192499999.99999997</v>
      </c>
      <c r="G67" s="3">
        <f t="shared" ca="1" si="20"/>
        <v>6185602499999.999</v>
      </c>
      <c r="H67" s="3">
        <f t="shared" si="21"/>
        <v>769999999.99999988</v>
      </c>
      <c r="I67" s="3">
        <f t="shared" ca="1" si="22"/>
        <v>1252019999999.9998</v>
      </c>
    </row>
    <row r="68" spans="2:10" ht="15.75" customHeight="1">
      <c r="B68" s="3" t="s">
        <v>147</v>
      </c>
      <c r="C68" s="12">
        <f t="shared" si="16"/>
        <v>1924999999999.9998</v>
      </c>
      <c r="D68" s="3">
        <f t="shared" si="17"/>
        <v>5774999.9999999991</v>
      </c>
      <c r="E68" s="3">
        <f t="shared" ca="1" si="18"/>
        <v>1728301574999.9998</v>
      </c>
      <c r="F68" s="12">
        <f t="shared" si="19"/>
        <v>57749.999999999993</v>
      </c>
      <c r="G68" s="3">
        <f t="shared" ca="1" si="20"/>
        <v>5576169175499.999</v>
      </c>
      <c r="H68" s="3">
        <f t="shared" si="21"/>
        <v>1924999.9999999998</v>
      </c>
      <c r="I68" s="3" t="e">
        <f t="shared" ca="1" si="22"/>
        <v>#N/A</v>
      </c>
    </row>
    <row r="69" spans="2:10" ht="15.75" customHeight="1">
      <c r="B69" s="3" t="s">
        <v>151</v>
      </c>
      <c r="C69" s="12">
        <f t="shared" si="16"/>
        <v>3849999999999.9995</v>
      </c>
      <c r="D69" s="3">
        <f t="shared" si="17"/>
        <v>38499999.999999993</v>
      </c>
      <c r="E69" s="3">
        <f t="shared" ca="1" si="18"/>
        <v>2449292999999.9995</v>
      </c>
      <c r="F69" s="12">
        <f t="shared" si="19"/>
        <v>30799999.999999996</v>
      </c>
      <c r="G69" s="3">
        <f t="shared" ca="1" si="20"/>
        <v>6363064399999.999</v>
      </c>
      <c r="H69" s="3">
        <f t="shared" si="21"/>
        <v>19249999.999999996</v>
      </c>
      <c r="I69" s="3">
        <f t="shared" ca="1" si="22"/>
        <v>1202085499999.9998</v>
      </c>
    </row>
    <row r="70" spans="2:10" ht="15.75" customHeight="1"/>
    <row r="71" spans="2:10" ht="15.75" customHeight="1"/>
    <row r="72" spans="2:10" ht="15.75" customHeight="1">
      <c r="B72" s="1" t="s">
        <v>853</v>
      </c>
      <c r="C72" s="1" t="s">
        <v>880</v>
      </c>
      <c r="D72" s="1" t="s">
        <v>881</v>
      </c>
      <c r="E72" s="1" t="s">
        <v>882</v>
      </c>
      <c r="F72" s="1" t="s">
        <v>883</v>
      </c>
      <c r="G72" s="1" t="s">
        <v>884</v>
      </c>
      <c r="H72" s="1" t="s">
        <v>885</v>
      </c>
      <c r="I72" s="1" t="s">
        <v>886</v>
      </c>
    </row>
    <row r="73" spans="2:10" ht="15.75" customHeight="1">
      <c r="B73" s="3" t="s">
        <v>104</v>
      </c>
      <c r="C73" s="12">
        <f t="shared" ref="C73:D73" si="23">C56-C39</f>
        <v>0</v>
      </c>
      <c r="D73" s="3">
        <f t="shared" si="23"/>
        <v>0</v>
      </c>
      <c r="E73" s="3">
        <f t="shared" ref="E73:E86" ca="1" si="24">VLOOKUP((VLOOKUP(B73,TblSpecialBasics,3,FALSE)),TblMarket,5,FALSE)*D73</f>
        <v>0</v>
      </c>
      <c r="F73" s="12">
        <f t="shared" ref="F73:F86" si="25">F56-F39</f>
        <v>0</v>
      </c>
      <c r="G73" s="3">
        <f t="shared" ref="G73:G86" ca="1" si="26">VLOOKUP((VLOOKUP($B73,TblSpecialBasics,5,FALSE)),TblMarket,5,FALSE)*F73</f>
        <v>0</v>
      </c>
      <c r="H73" s="3">
        <f t="shared" ref="H73:H86" si="27">H56-H39</f>
        <v>0</v>
      </c>
      <c r="I73" s="3" t="e">
        <f t="shared" ref="I73:I86" ca="1" si="28">VLOOKUP((VLOOKUP($B73,TblSpecialBasics,7,FALSE)),TblMarket,5,FALSE)*H73</f>
        <v>#N/A</v>
      </c>
      <c r="J73" s="3"/>
    </row>
    <row r="74" spans="2:10" ht="15.75" customHeight="1">
      <c r="B74" s="3" t="s">
        <v>107</v>
      </c>
      <c r="C74" s="12">
        <f t="shared" ref="C74:D74" si="29">C57-C40</f>
        <v>0</v>
      </c>
      <c r="D74" s="3">
        <f t="shared" si="29"/>
        <v>0</v>
      </c>
      <c r="E74" s="3">
        <f t="shared" ca="1" si="24"/>
        <v>0</v>
      </c>
      <c r="F74" s="12">
        <f t="shared" si="25"/>
        <v>0</v>
      </c>
      <c r="G74" s="3">
        <f t="shared" ca="1" si="26"/>
        <v>0</v>
      </c>
      <c r="H74" s="3">
        <f t="shared" si="27"/>
        <v>0</v>
      </c>
      <c r="I74" s="3">
        <f t="shared" ca="1" si="28"/>
        <v>0</v>
      </c>
      <c r="J74" s="12"/>
    </row>
    <row r="75" spans="2:10" ht="15.75" customHeight="1">
      <c r="B75" s="3" t="s">
        <v>110</v>
      </c>
      <c r="C75" s="12">
        <f t="shared" ref="C75:D75" si="30">C58-C41</f>
        <v>0</v>
      </c>
      <c r="D75" s="3">
        <f t="shared" si="30"/>
        <v>0</v>
      </c>
      <c r="E75" s="3">
        <f t="shared" ca="1" si="24"/>
        <v>0</v>
      </c>
      <c r="F75" s="12">
        <f t="shared" si="25"/>
        <v>0</v>
      </c>
      <c r="G75" s="3">
        <f t="shared" ca="1" si="26"/>
        <v>0</v>
      </c>
      <c r="H75" s="3">
        <f t="shared" si="27"/>
        <v>0</v>
      </c>
      <c r="I75" s="3">
        <f t="shared" ca="1" si="28"/>
        <v>0</v>
      </c>
      <c r="J75" s="12"/>
    </row>
    <row r="76" spans="2:10" ht="15.75" customHeight="1">
      <c r="B76" s="3" t="s">
        <v>114</v>
      </c>
      <c r="C76" s="12">
        <f t="shared" ref="C76:D76" si="31">C59-C42</f>
        <v>0</v>
      </c>
      <c r="D76" s="3">
        <f t="shared" si="31"/>
        <v>0</v>
      </c>
      <c r="E76" s="3">
        <f t="shared" ca="1" si="24"/>
        <v>0</v>
      </c>
      <c r="F76" s="12">
        <f t="shared" si="25"/>
        <v>0</v>
      </c>
      <c r="G76" s="3" t="e">
        <f t="shared" ca="1" si="26"/>
        <v>#N/A</v>
      </c>
      <c r="H76" s="3">
        <f t="shared" si="27"/>
        <v>0</v>
      </c>
      <c r="I76" s="3">
        <f t="shared" ca="1" si="28"/>
        <v>0</v>
      </c>
      <c r="J76" s="12"/>
    </row>
    <row r="77" spans="2:10" ht="15.75" customHeight="1">
      <c r="B77" s="3" t="s">
        <v>117</v>
      </c>
      <c r="C77" s="12">
        <f t="shared" ref="C77:D77" si="32">C60-C43</f>
        <v>0</v>
      </c>
      <c r="D77" s="3">
        <f t="shared" si="32"/>
        <v>0</v>
      </c>
      <c r="E77" s="3">
        <f t="shared" ca="1" si="24"/>
        <v>0</v>
      </c>
      <c r="F77" s="12">
        <f t="shared" si="25"/>
        <v>0</v>
      </c>
      <c r="G77" s="3">
        <f t="shared" ca="1" si="26"/>
        <v>0</v>
      </c>
      <c r="H77" s="3">
        <f t="shared" si="27"/>
        <v>0</v>
      </c>
      <c r="I77" s="3">
        <f t="shared" ca="1" si="28"/>
        <v>0</v>
      </c>
      <c r="J77" s="12"/>
    </row>
    <row r="78" spans="2:10" ht="15.75" customHeight="1">
      <c r="B78" s="3" t="s">
        <v>121</v>
      </c>
      <c r="C78" s="12">
        <f t="shared" ref="C78:D78" si="33">C61-C44</f>
        <v>0</v>
      </c>
      <c r="D78" s="3">
        <f t="shared" si="33"/>
        <v>0</v>
      </c>
      <c r="E78" s="3">
        <f t="shared" ca="1" si="24"/>
        <v>0</v>
      </c>
      <c r="F78" s="12">
        <f t="shared" si="25"/>
        <v>0</v>
      </c>
      <c r="G78" s="3">
        <f t="shared" ca="1" si="26"/>
        <v>0</v>
      </c>
      <c r="H78" s="3">
        <f t="shared" si="27"/>
        <v>0</v>
      </c>
      <c r="I78" s="3">
        <f t="shared" ca="1" si="28"/>
        <v>0</v>
      </c>
      <c r="J78" s="12"/>
    </row>
    <row r="79" spans="2:10" ht="15.75" customHeight="1">
      <c r="B79" s="3" t="s">
        <v>126</v>
      </c>
      <c r="C79" s="12">
        <f t="shared" ref="C79:D79" si="34">C62-C45</f>
        <v>0</v>
      </c>
      <c r="D79" s="3">
        <f t="shared" si="34"/>
        <v>0</v>
      </c>
      <c r="E79" s="3" t="e">
        <f t="shared" ca="1" si="24"/>
        <v>#N/A</v>
      </c>
      <c r="F79" s="12">
        <f t="shared" si="25"/>
        <v>0</v>
      </c>
      <c r="G79" s="3">
        <f t="shared" ca="1" si="26"/>
        <v>0</v>
      </c>
      <c r="H79" s="3">
        <f t="shared" si="27"/>
        <v>0</v>
      </c>
      <c r="I79" s="3">
        <f t="shared" ca="1" si="28"/>
        <v>0</v>
      </c>
      <c r="J79" s="12"/>
    </row>
    <row r="80" spans="2:10" ht="15.75" customHeight="1">
      <c r="B80" s="3" t="s">
        <v>130</v>
      </c>
      <c r="C80" s="12">
        <f t="shared" ref="C80:D80" si="35">C63-C46</f>
        <v>0</v>
      </c>
      <c r="D80" s="3">
        <f t="shared" si="35"/>
        <v>0</v>
      </c>
      <c r="E80" s="3" t="e">
        <f t="shared" ca="1" si="24"/>
        <v>#N/A</v>
      </c>
      <c r="F80" s="12">
        <f t="shared" si="25"/>
        <v>0</v>
      </c>
      <c r="G80" s="3">
        <f t="shared" ca="1" si="26"/>
        <v>0</v>
      </c>
      <c r="H80" s="3">
        <f t="shared" si="27"/>
        <v>0</v>
      </c>
      <c r="I80" s="3">
        <f t="shared" ca="1" si="28"/>
        <v>0</v>
      </c>
      <c r="J80" s="12"/>
    </row>
    <row r="81" spans="2:10" ht="15.75" customHeight="1">
      <c r="B81" s="3" t="s">
        <v>134</v>
      </c>
      <c r="C81" s="12">
        <f t="shared" ref="C81:D81" si="36">C64-C47</f>
        <v>0</v>
      </c>
      <c r="D81" s="3">
        <f t="shared" si="36"/>
        <v>0</v>
      </c>
      <c r="E81" s="3">
        <f t="shared" ca="1" si="24"/>
        <v>0</v>
      </c>
      <c r="F81" s="12">
        <f t="shared" si="25"/>
        <v>0</v>
      </c>
      <c r="G81" s="3">
        <f t="shared" ca="1" si="26"/>
        <v>0</v>
      </c>
      <c r="H81" s="3">
        <f t="shared" si="27"/>
        <v>0</v>
      </c>
      <c r="I81" s="3">
        <f t="shared" ca="1" si="28"/>
        <v>0</v>
      </c>
      <c r="J81" s="12"/>
    </row>
    <row r="82" spans="2:10" ht="15.75" customHeight="1">
      <c r="B82" s="3" t="s">
        <v>138</v>
      </c>
      <c r="C82" s="12">
        <f t="shared" ref="C82:D82" si="37">C65-C48</f>
        <v>0</v>
      </c>
      <c r="D82" s="3">
        <f t="shared" si="37"/>
        <v>0</v>
      </c>
      <c r="E82" s="3">
        <f t="shared" ca="1" si="24"/>
        <v>0</v>
      </c>
      <c r="F82" s="12">
        <f t="shared" si="25"/>
        <v>0</v>
      </c>
      <c r="G82" s="3">
        <f t="shared" ca="1" si="26"/>
        <v>0</v>
      </c>
      <c r="H82" s="3">
        <f t="shared" si="27"/>
        <v>0</v>
      </c>
      <c r="I82" s="3">
        <f t="shared" ca="1" si="28"/>
        <v>0</v>
      </c>
      <c r="J82" s="12"/>
    </row>
    <row r="83" spans="2:10" ht="15.75" customHeight="1">
      <c r="B83" s="3" t="s">
        <v>141</v>
      </c>
      <c r="C83" s="12">
        <f t="shared" ref="C83:D83" si="38">C66-C49</f>
        <v>0</v>
      </c>
      <c r="D83" s="3">
        <f t="shared" si="38"/>
        <v>0</v>
      </c>
      <c r="E83" s="3">
        <f t="shared" ca="1" si="24"/>
        <v>0</v>
      </c>
      <c r="F83" s="12">
        <f t="shared" si="25"/>
        <v>0</v>
      </c>
      <c r="G83" s="3">
        <f t="shared" ca="1" si="26"/>
        <v>0</v>
      </c>
      <c r="H83" s="3">
        <f t="shared" si="27"/>
        <v>0</v>
      </c>
      <c r="I83" s="3">
        <f t="shared" ca="1" si="28"/>
        <v>0</v>
      </c>
      <c r="J83" s="12"/>
    </row>
    <row r="84" spans="2:10" ht="15.75" customHeight="1">
      <c r="B84" s="3" t="s">
        <v>858</v>
      </c>
      <c r="C84" s="12">
        <f t="shared" ref="C84:D84" si="39">C67-C50</f>
        <v>0</v>
      </c>
      <c r="D84" s="3">
        <f t="shared" si="39"/>
        <v>0</v>
      </c>
      <c r="E84" s="3">
        <f t="shared" ca="1" si="24"/>
        <v>0</v>
      </c>
      <c r="F84" s="12">
        <f t="shared" si="25"/>
        <v>0</v>
      </c>
      <c r="G84" s="3">
        <f t="shared" ca="1" si="26"/>
        <v>0</v>
      </c>
      <c r="H84" s="3">
        <f t="shared" si="27"/>
        <v>0</v>
      </c>
      <c r="I84" s="3">
        <f t="shared" ca="1" si="28"/>
        <v>0</v>
      </c>
      <c r="J84" s="12"/>
    </row>
    <row r="85" spans="2:10" ht="15.75" customHeight="1">
      <c r="B85" s="3" t="s">
        <v>147</v>
      </c>
      <c r="C85" s="12">
        <f t="shared" ref="C85:D85" si="40">C68-C51</f>
        <v>1919999999999.9998</v>
      </c>
      <c r="D85" s="3">
        <f t="shared" si="40"/>
        <v>5759999.9999999991</v>
      </c>
      <c r="E85" s="3">
        <f t="shared" ca="1" si="24"/>
        <v>1723812479999.9998</v>
      </c>
      <c r="F85" s="12">
        <f t="shared" si="25"/>
        <v>57599.999999999993</v>
      </c>
      <c r="G85" s="3">
        <f t="shared" ca="1" si="26"/>
        <v>5561685619199.999</v>
      </c>
      <c r="H85" s="3">
        <f t="shared" si="27"/>
        <v>1919999.9999999998</v>
      </c>
      <c r="I85" s="3" t="e">
        <f t="shared" ca="1" si="28"/>
        <v>#N/A</v>
      </c>
    </row>
    <row r="86" spans="2:10" ht="15.75" customHeight="1">
      <c r="B86" s="3" t="s">
        <v>151</v>
      </c>
      <c r="C86" s="12">
        <f t="shared" ref="C86:D86" si="41">C69-C52</f>
        <v>3799999999999.9995</v>
      </c>
      <c r="D86" s="3">
        <f t="shared" si="41"/>
        <v>37999999.999999993</v>
      </c>
      <c r="E86" s="3">
        <f t="shared" ca="1" si="24"/>
        <v>2417483999999.9995</v>
      </c>
      <c r="F86" s="12">
        <f t="shared" si="25"/>
        <v>30399999.999999996</v>
      </c>
      <c r="G86" s="3">
        <f t="shared" ca="1" si="26"/>
        <v>6280427199999.999</v>
      </c>
      <c r="H86" s="3">
        <f t="shared" si="27"/>
        <v>18999999.999999996</v>
      </c>
      <c r="I86" s="3">
        <f t="shared" ca="1" si="28"/>
        <v>1186473999999.9998</v>
      </c>
    </row>
    <row r="87" spans="2:10" ht="15.75" customHeight="1"/>
    <row r="88" spans="2:10" ht="15.75" customHeight="1"/>
    <row r="89" spans="2:10" ht="15.75" customHeight="1"/>
    <row r="90" spans="2:10" ht="15.75" customHeight="1"/>
    <row r="91" spans="2:10" ht="15.75" customHeight="1"/>
    <row r="92" spans="2:10" ht="15.75" customHeight="1"/>
    <row r="93" spans="2:10" ht="15.75" customHeight="1"/>
    <row r="94" spans="2:10" ht="15.75" customHeight="1"/>
    <row r="95" spans="2:10" ht="15.75" customHeight="1"/>
    <row r="96" spans="2:10"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pageMargins left="0.7" right="0.7" top="0.78740157499999996" bottom="0.78740157499999996"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B1:P1000"/>
  <sheetViews>
    <sheetView workbookViewId="0"/>
  </sheetViews>
  <sheetFormatPr defaultColWidth="15.109375" defaultRowHeight="15" customHeight="1"/>
  <cols>
    <col min="1" max="1" width="3" customWidth="1"/>
    <col min="2" max="2" width="15.44140625" customWidth="1"/>
    <col min="3" max="3" width="14.21875" customWidth="1"/>
    <col min="4" max="4" width="15.44140625" customWidth="1"/>
    <col min="5" max="5" width="4.6640625" customWidth="1"/>
    <col min="6" max="7" width="12.6640625" customWidth="1"/>
    <col min="8" max="9" width="6.77734375" customWidth="1"/>
    <col min="10" max="10" width="13.88671875" customWidth="1"/>
    <col min="11" max="11" width="8.33203125" customWidth="1"/>
    <col min="12" max="12" width="13.77734375" customWidth="1"/>
    <col min="13" max="13" width="6.77734375" customWidth="1"/>
    <col min="14" max="14" width="7.109375" customWidth="1"/>
    <col min="15" max="15" width="13.6640625" customWidth="1"/>
    <col min="16" max="26" width="12.6640625" customWidth="1"/>
  </cols>
  <sheetData>
    <row r="1" spans="2:16" ht="15.75" customHeight="1">
      <c r="B1" s="3" t="s">
        <v>887</v>
      </c>
    </row>
    <row r="2" spans="2:16" ht="15.75" customHeight="1">
      <c r="B2" s="3" t="s">
        <v>888</v>
      </c>
    </row>
    <row r="3" spans="2:16" ht="15.75" customHeight="1">
      <c r="B3" s="1" t="s">
        <v>93</v>
      </c>
      <c r="C3" s="1" t="s">
        <v>889</v>
      </c>
      <c r="D3" s="1" t="s">
        <v>890</v>
      </c>
      <c r="E3" s="1" t="s">
        <v>891</v>
      </c>
      <c r="F3" s="1" t="s">
        <v>892</v>
      </c>
      <c r="G3" s="1" t="s">
        <v>893</v>
      </c>
      <c r="H3" s="1" t="s">
        <v>16</v>
      </c>
      <c r="I3" s="1" t="s">
        <v>894</v>
      </c>
      <c r="J3" s="1" t="s">
        <v>895</v>
      </c>
      <c r="K3" s="1" t="s">
        <v>58</v>
      </c>
      <c r="L3" s="1" t="s">
        <v>896</v>
      </c>
      <c r="M3" s="1" t="s">
        <v>16</v>
      </c>
      <c r="N3" s="1" t="s">
        <v>894</v>
      </c>
      <c r="O3" s="1" t="s">
        <v>895</v>
      </c>
      <c r="P3" s="3"/>
    </row>
    <row r="4" spans="2:16" ht="15.75" customHeight="1">
      <c r="B4" s="194" t="s">
        <v>102</v>
      </c>
      <c r="C4" s="193" t="e">
        <f ca="1">'Supply Chain'!N33*L4</f>
        <v>#N/A</v>
      </c>
      <c r="D4" s="193" t="e">
        <f ca="1">C4-K4-O4</f>
        <v>#N/A</v>
      </c>
      <c r="E4" s="193" t="e">
        <f ca="1">ROUNDUP((K4+O4)/C4,0)</f>
        <v>#N/A</v>
      </c>
      <c r="F4" s="3" t="s">
        <v>749</v>
      </c>
      <c r="G4" s="12">
        <f>Calc!I4*120</f>
        <v>170880000</v>
      </c>
      <c r="H4" s="109" t="s">
        <v>753</v>
      </c>
      <c r="I4" s="109" t="s">
        <v>753</v>
      </c>
      <c r="J4" s="12">
        <v>0</v>
      </c>
      <c r="K4" s="195">
        <f>SUM(J4:J5)</f>
        <v>0</v>
      </c>
      <c r="L4" s="194">
        <f>Calc!D4*120</f>
        <v>34176000</v>
      </c>
      <c r="M4" s="194">
        <f>ROUNDUP(SQRT(L4/5000),0)</f>
        <v>83</v>
      </c>
      <c r="N4" s="191">
        <f>VLOOKUP("Bricks",TblUserWarehouse,2,FALSE)</f>
        <v>190</v>
      </c>
      <c r="O4" s="193">
        <f>IF((M4-N4)&lt;0,0,((416666+2/3)*M4^3-625000*M4^2+(208333+1/3)*M4)-((416666+2/3)*N4^3-625000*N4^2+(208333+1/3)*N4))</f>
        <v>0</v>
      </c>
    </row>
    <row r="5" spans="2:16" ht="15.75" customHeight="1">
      <c r="B5" s="172"/>
      <c r="C5" s="172"/>
      <c r="D5" s="172"/>
      <c r="E5" s="172"/>
      <c r="F5" s="3" t="s">
        <v>21</v>
      </c>
      <c r="G5" s="12">
        <f>Calc!I5*120</f>
        <v>51264000</v>
      </c>
      <c r="H5" s="109">
        <f>ROUNDUP(SQRT(G5/5000),0)</f>
        <v>102</v>
      </c>
      <c r="I5" s="109">
        <f>VLOOKUP(F5,TblUserWarehouse,2,FALSE)</f>
        <v>126</v>
      </c>
      <c r="J5" s="12">
        <f>IF((H5-I5)&lt;0,0,((416666+2/3)*H5^3-625000*H5^2+(208333+1/3)*H5)-((416666+2/3)*I5^3-625000*I5^2+(208333+1/3)*I5))</f>
        <v>0</v>
      </c>
      <c r="K5" s="172"/>
      <c r="L5" s="172"/>
      <c r="M5" s="172"/>
      <c r="N5" s="192"/>
      <c r="O5" s="172"/>
    </row>
    <row r="6" spans="2:16" ht="15.75" customHeight="1">
      <c r="B6" s="194" t="s">
        <v>106</v>
      </c>
      <c r="C6" s="193">
        <f ca="1">'Supply Chain'!N34*L6</f>
        <v>196503840000</v>
      </c>
      <c r="D6" s="193">
        <f ca="1">C6-K6-O6</f>
        <v>196503840000</v>
      </c>
      <c r="E6" s="193">
        <f ca="1">ROUNDUP((K6+O6)/C6,0)</f>
        <v>0</v>
      </c>
      <c r="F6" s="3" t="s">
        <v>749</v>
      </c>
      <c r="G6" s="12">
        <f>Calc!I6*120</f>
        <v>56160000</v>
      </c>
      <c r="H6" s="109" t="s">
        <v>753</v>
      </c>
      <c r="I6" s="109" t="s">
        <v>753</v>
      </c>
      <c r="J6" s="12">
        <v>0</v>
      </c>
      <c r="K6" s="195">
        <f>SUM(J6:J8)</f>
        <v>0</v>
      </c>
      <c r="L6" s="194">
        <f>Calc!D5*120</f>
        <v>39312000</v>
      </c>
      <c r="M6" s="194">
        <f>ROUNDUP(SQRT(L6/5000),0)</f>
        <v>89</v>
      </c>
      <c r="N6" s="191">
        <f>VLOOKUP("Concrete",TblUserWarehouse,2,FALSE)</f>
        <v>156</v>
      </c>
      <c r="O6" s="193">
        <f>IF((M6-N6)&lt;0,0,((416666+2/3)*M6^3-625000*M6^2+(208333+1/3)*M6)-((416666+2/3)*N6^3-625000*N6^2+(208333+1/3)*N6))</f>
        <v>0</v>
      </c>
    </row>
    <row r="7" spans="2:16" ht="15.75" customHeight="1">
      <c r="B7" s="172"/>
      <c r="C7" s="172"/>
      <c r="D7" s="172"/>
      <c r="E7" s="172"/>
      <c r="F7" s="3" t="s">
        <v>23</v>
      </c>
      <c r="G7" s="12">
        <f>Calc!I7*120</f>
        <v>8424000</v>
      </c>
      <c r="H7" s="109">
        <f t="shared" ref="H7:H8" si="0">ROUNDUP(SQRT(G7/5000),0)</f>
        <v>42</v>
      </c>
      <c r="I7" s="109">
        <f>VLOOKUP(F7,TblUserWarehouse,2,FALSE)</f>
        <v>60</v>
      </c>
      <c r="J7" s="12">
        <f t="shared" ref="J7:J8" si="1">IF((H7-I7)&lt;0,0,((416666+2/3)*H7^3-625000*H7^2+(208333+1/3)*H7)-((416666+2/3)*I7^3-625000*I7^2+(208333+1/3)*I7))</f>
        <v>0</v>
      </c>
      <c r="K7" s="172"/>
      <c r="L7" s="172"/>
      <c r="M7" s="172"/>
      <c r="N7" s="196"/>
      <c r="O7" s="172"/>
    </row>
    <row r="8" spans="2:16" ht="15.75" customHeight="1">
      <c r="B8" s="172"/>
      <c r="C8" s="172"/>
      <c r="D8" s="172"/>
      <c r="E8" s="172"/>
      <c r="F8" s="3" t="s">
        <v>22</v>
      </c>
      <c r="G8" s="12">
        <f>Calc!I8*120</f>
        <v>5616000</v>
      </c>
      <c r="H8" s="109">
        <f t="shared" si="0"/>
        <v>34</v>
      </c>
      <c r="I8" s="109">
        <f>VLOOKUP(F8,TblUserWarehouse,2,FALSE)</f>
        <v>64</v>
      </c>
      <c r="J8" s="12">
        <f t="shared" si="1"/>
        <v>0</v>
      </c>
      <c r="K8" s="172"/>
      <c r="L8" s="172"/>
      <c r="M8" s="172"/>
      <c r="N8" s="192"/>
      <c r="O8" s="172"/>
    </row>
    <row r="9" spans="2:16" ht="15.75" customHeight="1">
      <c r="B9" s="194" t="s">
        <v>109</v>
      </c>
      <c r="C9" s="193">
        <f ca="1">'Supply Chain'!N35*L9</f>
        <v>16638336000</v>
      </c>
      <c r="D9" s="193">
        <f ca="1">C9-K9-O9</f>
        <v>983335999.99999619</v>
      </c>
      <c r="E9" s="193">
        <f ca="1">ROUNDUP((K9+O9)/C9,0)</f>
        <v>1</v>
      </c>
      <c r="F9" s="3" t="s">
        <v>749</v>
      </c>
      <c r="G9" s="12">
        <f>Calc!I9*120</f>
        <v>76032000</v>
      </c>
      <c r="H9" s="109" t="s">
        <v>753</v>
      </c>
      <c r="I9" s="109" t="s">
        <v>753</v>
      </c>
      <c r="J9" s="12">
        <v>0</v>
      </c>
      <c r="K9" s="195">
        <f>SUM(J9:J10)</f>
        <v>0</v>
      </c>
      <c r="L9" s="194">
        <f>Calc!D6*120</f>
        <v>9292800</v>
      </c>
      <c r="M9" s="194">
        <f>ROUNDUP(SQRT(L9/5000),0)</f>
        <v>44</v>
      </c>
      <c r="N9" s="191">
        <f>VLOOKUP("Fertilizer",TblUserWarehouse,2,FALSE)</f>
        <v>36</v>
      </c>
      <c r="O9" s="193">
        <f>IF((M9-N9)&lt;0,0,((416666+2/3)*M9^3-625000*M9^2+(208333+1/3)*M9)-((416666+2/3)*N9^3-625000*N9^2+(208333+1/3)*N9))</f>
        <v>15655000000.000004</v>
      </c>
    </row>
    <row r="10" spans="2:16" ht="15.75" customHeight="1">
      <c r="B10" s="172"/>
      <c r="C10" s="172"/>
      <c r="D10" s="172"/>
      <c r="E10" s="172"/>
      <c r="F10" s="3" t="s">
        <v>22</v>
      </c>
      <c r="G10" s="12">
        <f>Calc!I10*120</f>
        <v>6758400</v>
      </c>
      <c r="H10" s="109">
        <f>ROUNDUP(SQRT(G10/5000),0)</f>
        <v>37</v>
      </c>
      <c r="I10" s="109">
        <f>VLOOKUP(F10,TblUserWarehouse,2,FALSE)</f>
        <v>64</v>
      </c>
      <c r="J10" s="12">
        <f>IF((H10-I10)&lt;0,0,((416666+2/3)*H10^3-625000*H10^2+(208333+1/3)*H10)-((416666+2/3)*I10^3-625000*I10^2+(208333+1/3)*I10))</f>
        <v>0</v>
      </c>
      <c r="K10" s="172"/>
      <c r="L10" s="172"/>
      <c r="M10" s="172"/>
      <c r="N10" s="192"/>
      <c r="O10" s="172"/>
    </row>
    <row r="11" spans="2:16" ht="15.75" customHeight="1">
      <c r="B11" s="194" t="s">
        <v>113</v>
      </c>
      <c r="C11" s="193">
        <f ca="1">'Supply Chain'!N36*L11</f>
        <v>53625780000</v>
      </c>
      <c r="D11" s="193">
        <f ca="1">C11-K11-O11</f>
        <v>-230747970000</v>
      </c>
      <c r="E11" s="193">
        <f ca="1">ROUNDUP((K11+O11)/C11,0)</f>
        <v>6</v>
      </c>
      <c r="F11" s="3" t="s">
        <v>749</v>
      </c>
      <c r="G11" s="12">
        <f>Calc!I11*120</f>
        <v>1228500000</v>
      </c>
      <c r="H11" s="109" t="s">
        <v>753</v>
      </c>
      <c r="I11" s="109" t="s">
        <v>753</v>
      </c>
      <c r="J11" s="12">
        <v>0</v>
      </c>
      <c r="K11" s="195">
        <f>SUM(J11:J13)</f>
        <v>284373750000</v>
      </c>
      <c r="L11" s="194">
        <f>Calc!D7*120</f>
        <v>3510000</v>
      </c>
      <c r="M11" s="194">
        <f>ROUNDUP(SQRT(L11/5000),0)</f>
        <v>27</v>
      </c>
      <c r="N11" s="191">
        <f>VLOOKUP("Steel",TblUserWarehouse,2,FALSE)</f>
        <v>64</v>
      </c>
      <c r="O11" s="193">
        <f>IF((M11-N11)&lt;0,0,((416666+2/3)*M11^3-625000*M11^2+(208333+1/3)*M11)-((416666+2/3)*N11^3-625000*N11^2+(208333+1/3)*N11))</f>
        <v>0</v>
      </c>
    </row>
    <row r="12" spans="2:16" ht="15.75" customHeight="1">
      <c r="B12" s="172"/>
      <c r="C12" s="172"/>
      <c r="D12" s="172"/>
      <c r="E12" s="172"/>
      <c r="F12" s="3" t="s">
        <v>24</v>
      </c>
      <c r="G12" s="12">
        <f>Calc!I12*120</f>
        <v>35100000</v>
      </c>
      <c r="H12" s="109">
        <f t="shared" ref="H12:H13" si="2">ROUNDUP(SQRT(G12/5000),0)</f>
        <v>84</v>
      </c>
      <c r="I12" s="109">
        <f>VLOOKUP(F12,TblUserWarehouse,2,FALSE)</f>
        <v>50</v>
      </c>
      <c r="J12" s="12">
        <f t="shared" ref="J12:J13" si="3">IF((H12-I12)&lt;0,0,((416666+2/3)*H12^3-625000*H12^2+(208333+1/3)*H12)-((416666+2/3)*I12^3-625000*I12^2+(208333+1/3)*I12))</f>
        <v>192036250000</v>
      </c>
      <c r="K12" s="172"/>
      <c r="L12" s="172"/>
      <c r="M12" s="172"/>
      <c r="N12" s="196"/>
      <c r="O12" s="172"/>
    </row>
    <row r="13" spans="2:16" ht="15.75" customHeight="1">
      <c r="B13" s="172"/>
      <c r="C13" s="172"/>
      <c r="D13" s="172"/>
      <c r="E13" s="172"/>
      <c r="F13" s="3" t="s">
        <v>123</v>
      </c>
      <c r="G13" s="12">
        <f>Calc!I13*120</f>
        <v>24570000</v>
      </c>
      <c r="H13" s="109">
        <f t="shared" si="2"/>
        <v>71</v>
      </c>
      <c r="I13" s="109">
        <f>VLOOKUP(F13,TblUserWarehouse,2,FALSE)</f>
        <v>51</v>
      </c>
      <c r="J13" s="12">
        <f t="shared" si="3"/>
        <v>92337500000</v>
      </c>
      <c r="K13" s="172"/>
      <c r="L13" s="172"/>
      <c r="M13" s="172"/>
      <c r="N13" s="192"/>
      <c r="O13" s="172"/>
    </row>
    <row r="14" spans="2:16" ht="15.75" customHeight="1">
      <c r="B14" s="194" t="s">
        <v>116</v>
      </c>
      <c r="C14" s="193">
        <f ca="1">'Supply Chain'!N37*L14</f>
        <v>142817472000</v>
      </c>
      <c r="D14" s="193">
        <f ca="1">C14-K14-O14</f>
        <v>142817472000</v>
      </c>
      <c r="E14" s="193">
        <f ca="1">ROUNDUP((K14+O14)/C14,0)</f>
        <v>0</v>
      </c>
      <c r="F14" s="3" t="s">
        <v>749</v>
      </c>
      <c r="G14" s="12">
        <f>Calc!I14*120</f>
        <v>181440000</v>
      </c>
      <c r="H14" s="109" t="s">
        <v>753</v>
      </c>
      <c r="I14" s="109" t="s">
        <v>753</v>
      </c>
      <c r="J14" s="12">
        <v>0</v>
      </c>
      <c r="K14" s="195">
        <f>SUM(J14:J15)</f>
        <v>0</v>
      </c>
      <c r="L14" s="194">
        <f>Calc!D8*120</f>
        <v>4838400</v>
      </c>
      <c r="M14" s="194">
        <f>ROUNDUP(SQRT(L14/5000),0)</f>
        <v>32</v>
      </c>
      <c r="N14" s="191">
        <f>VLOOKUP("Fossil fuel",TblUserWarehouse,2,FALSE)</f>
        <v>102</v>
      </c>
      <c r="O14" s="193">
        <f>IF((M14-N14)&lt;0,0,((416666+2/3)*M14^3-625000*M14^2+(208333+1/3)*M14)-((416666+2/3)*N14^3-625000*N14^2+(208333+1/3)*N14))</f>
        <v>0</v>
      </c>
    </row>
    <row r="15" spans="2:16" ht="15.75" customHeight="1">
      <c r="B15" s="172"/>
      <c r="C15" s="172"/>
      <c r="D15" s="172"/>
      <c r="E15" s="172"/>
      <c r="F15" s="3" t="s">
        <v>26</v>
      </c>
      <c r="G15" s="12">
        <f>Calc!I15*120</f>
        <v>4838400</v>
      </c>
      <c r="H15" s="109">
        <f>ROUNDUP(SQRT(G15/5000),0)</f>
        <v>32</v>
      </c>
      <c r="I15" s="109">
        <f>VLOOKUP(F15,TblUserWarehouse,2,FALSE)</f>
        <v>35</v>
      </c>
      <c r="J15" s="12">
        <f>IF((H15-I15)&lt;0,0,((416666+2/3)*H15^3-625000*H15^2+(208333+1/3)*H15)-((416666+2/3)*I15^3-625000*I15^2+(208333+1/3)*I15))</f>
        <v>0</v>
      </c>
      <c r="K15" s="172"/>
      <c r="L15" s="172"/>
      <c r="M15" s="172"/>
      <c r="N15" s="192"/>
      <c r="O15" s="172"/>
    </row>
    <row r="16" spans="2:16" ht="15.75" customHeight="1">
      <c r="B16" s="194" t="s">
        <v>120</v>
      </c>
      <c r="C16" s="193">
        <f ca="1">'Supply Chain'!N38*L16</f>
        <v>62003001600</v>
      </c>
      <c r="D16" s="193">
        <f ca="1">C16-K16-O16</f>
        <v>62003001600</v>
      </c>
      <c r="E16" s="193">
        <f ca="1">ROUNDUP((K16+O16)/C16,0)</f>
        <v>0</v>
      </c>
      <c r="F16" s="3" t="s">
        <v>749</v>
      </c>
      <c r="G16" s="12">
        <f>Calc!I16*120</f>
        <v>1353600000</v>
      </c>
      <c r="H16" s="109" t="s">
        <v>753</v>
      </c>
      <c r="I16" s="109" t="s">
        <v>753</v>
      </c>
      <c r="J16" s="12">
        <v>0</v>
      </c>
      <c r="K16" s="195">
        <f>SUM(J16:J19)</f>
        <v>0</v>
      </c>
      <c r="L16" s="194">
        <f>Calc!D9*120</f>
        <v>3609600</v>
      </c>
      <c r="M16" s="194">
        <f>ROUNDUP(SQRT(L16/5000),0)</f>
        <v>27</v>
      </c>
      <c r="N16" s="191">
        <f>VLOOKUP("Glass",TblUserWarehouse,2,FALSE)</f>
        <v>84</v>
      </c>
      <c r="O16" s="193">
        <f>IF((M16-N16)&lt;0,0,((416666+2/3)*M16^3-625000*M16^2+(208333+1/3)*M16)-((416666+2/3)*N16^3-625000*N16^2+(208333+1/3)*N16))</f>
        <v>0</v>
      </c>
    </row>
    <row r="17" spans="2:15" ht="15.75" customHeight="1">
      <c r="B17" s="172"/>
      <c r="C17" s="172"/>
      <c r="D17" s="172"/>
      <c r="E17" s="172"/>
      <c r="F17" s="3" t="s">
        <v>131</v>
      </c>
      <c r="G17" s="12">
        <f>Calc!I17*120</f>
        <v>2707200</v>
      </c>
      <c r="H17" s="109">
        <f t="shared" ref="H17:H19" si="4">ROUNDUP(SQRT(G17/5000),0)</f>
        <v>24</v>
      </c>
      <c r="I17" s="109">
        <f>VLOOKUP(F17,TblUserWarehouse,2,FALSE)</f>
        <v>38</v>
      </c>
      <c r="J17" s="12">
        <f t="shared" ref="J17:J19" si="5">IF((H17-I17)&lt;0,0,((416666+2/3)*H17^3-625000*H17^2+(208333+1/3)*H17)-((416666+2/3)*I17^3-625000*I17^2+(208333+1/3)*I17))</f>
        <v>0</v>
      </c>
      <c r="K17" s="172"/>
      <c r="L17" s="172"/>
      <c r="M17" s="172"/>
      <c r="N17" s="196"/>
      <c r="O17" s="172"/>
    </row>
    <row r="18" spans="2:15" ht="15.75" customHeight="1">
      <c r="B18" s="172"/>
      <c r="C18" s="172"/>
      <c r="D18" s="172"/>
      <c r="E18" s="172"/>
      <c r="F18" s="3" t="s">
        <v>48</v>
      </c>
      <c r="G18" s="12">
        <f>Calc!I18*120</f>
        <v>3609600</v>
      </c>
      <c r="H18" s="109">
        <f t="shared" si="4"/>
        <v>27</v>
      </c>
      <c r="I18" s="109">
        <f>VLOOKUP(F18,TblUserWarehouse,2,FALSE)</f>
        <v>102</v>
      </c>
      <c r="J18" s="12">
        <f t="shared" si="5"/>
        <v>0</v>
      </c>
      <c r="K18" s="172"/>
      <c r="L18" s="172"/>
      <c r="M18" s="172"/>
      <c r="N18" s="196"/>
      <c r="O18" s="172"/>
    </row>
    <row r="19" spans="2:15" ht="15.75" customHeight="1">
      <c r="B19" s="172"/>
      <c r="C19" s="172"/>
      <c r="D19" s="172"/>
      <c r="E19" s="172"/>
      <c r="F19" s="3" t="s">
        <v>22</v>
      </c>
      <c r="G19" s="12">
        <f>Calc!I19*120</f>
        <v>1804800</v>
      </c>
      <c r="H19" s="109">
        <f t="shared" si="4"/>
        <v>19</v>
      </c>
      <c r="I19" s="109">
        <f>VLOOKUP(F19,TblUserWarehouse,2,FALSE)</f>
        <v>64</v>
      </c>
      <c r="J19" s="12">
        <f t="shared" si="5"/>
        <v>0</v>
      </c>
      <c r="K19" s="172"/>
      <c r="L19" s="172"/>
      <c r="M19" s="172"/>
      <c r="N19" s="192"/>
      <c r="O19" s="172"/>
    </row>
    <row r="20" spans="2:15" ht="15.75" customHeight="1">
      <c r="B20" s="194" t="s">
        <v>125</v>
      </c>
      <c r="C20" s="193">
        <f ca="1">'Supply Chain'!N39*L20</f>
        <v>112171651200</v>
      </c>
      <c r="D20" s="193">
        <f ca="1">C20-K20-O20</f>
        <v>107272901200</v>
      </c>
      <c r="E20" s="193">
        <f ca="1">ROUNDUP((K20+O20)/C20,0)</f>
        <v>1</v>
      </c>
      <c r="F20" s="3" t="s">
        <v>749</v>
      </c>
      <c r="G20" s="12">
        <f>Calc!I20*120</f>
        <v>1134000000</v>
      </c>
      <c r="H20" s="109" t="s">
        <v>753</v>
      </c>
      <c r="I20" s="109" t="s">
        <v>753</v>
      </c>
      <c r="J20" s="12">
        <v>0</v>
      </c>
      <c r="K20" s="195">
        <f>SUM(J20:J21)</f>
        <v>4898749999.999999</v>
      </c>
      <c r="L20" s="194">
        <f>Calc!D10*120</f>
        <v>1360800</v>
      </c>
      <c r="M20" s="194">
        <f>ROUNDUP(SQRT(L20/5000),0)</f>
        <v>17</v>
      </c>
      <c r="N20" s="191">
        <f>VLOOKUP("Copper",TblUserWarehouse,2,FALSE)</f>
        <v>35</v>
      </c>
      <c r="O20" s="193">
        <f>IF((M20-N20)&lt;0,0,((416666+2/3)*M20^3-625000*M20^2+(208333+1/3)*M20)-((416666+2/3)*N20^3-625000*N20^2+(208333+1/3)*N20))</f>
        <v>0</v>
      </c>
    </row>
    <row r="21" spans="2:15" ht="15.75" customHeight="1">
      <c r="B21" s="172"/>
      <c r="C21" s="172"/>
      <c r="D21" s="172"/>
      <c r="E21" s="172"/>
      <c r="F21" s="3" t="s">
        <v>28</v>
      </c>
      <c r="G21" s="12">
        <f>Calc!I21*120</f>
        <v>4082400</v>
      </c>
      <c r="H21" s="109">
        <f>ROUNDUP(SQRT(G21/5000),0)</f>
        <v>29</v>
      </c>
      <c r="I21" s="109">
        <f>VLOOKUP(F21,TblUserWarehouse,2,FALSE)</f>
        <v>23</v>
      </c>
      <c r="J21" s="12">
        <f>IF((H21-I21)&lt;0,0,((416666+2/3)*H21^3-625000*H21^2+(208333+1/3)*H21)-((416666+2/3)*I21^3-625000*I21^2+(208333+1/3)*I21))</f>
        <v>4898749999.999999</v>
      </c>
      <c r="K21" s="172"/>
      <c r="L21" s="172"/>
      <c r="M21" s="172"/>
      <c r="N21" s="192"/>
      <c r="O21" s="172"/>
    </row>
    <row r="22" spans="2:15" ht="15.75" customHeight="1">
      <c r="B22" s="194" t="s">
        <v>129</v>
      </c>
      <c r="C22" s="193">
        <f ca="1">'Supply Chain'!N40*L22</f>
        <v>27997944000</v>
      </c>
      <c r="D22" s="193">
        <f ca="1">C22-K22-O22</f>
        <v>-15165806000</v>
      </c>
      <c r="E22" s="193">
        <f ca="1">ROUNDUP((K22+O22)/C22,0)</f>
        <v>2</v>
      </c>
      <c r="F22" s="3" t="s">
        <v>749</v>
      </c>
      <c r="G22" s="12">
        <f>Calc!I22*120</f>
        <v>1094400000</v>
      </c>
      <c r="H22" s="109" t="s">
        <v>753</v>
      </c>
      <c r="I22" s="109" t="s">
        <v>753</v>
      </c>
      <c r="J22" s="12">
        <v>0</v>
      </c>
      <c r="K22" s="195">
        <f>SUM(J22:J24)</f>
        <v>0</v>
      </c>
      <c r="L22" s="194">
        <f>Calc!D11*120</f>
        <v>15960000</v>
      </c>
      <c r="M22" s="194">
        <f>ROUNDUP(SQRT(L22/5000),0)</f>
        <v>57</v>
      </c>
      <c r="N22" s="191">
        <f>VLOOKUP("Insecticides",TblUserWarehouse,2,FALSE)</f>
        <v>43</v>
      </c>
      <c r="O22" s="193">
        <f>IF((M22-N22)&lt;0,0,((416666+2/3)*M22^3-625000*M22^2+(208333+1/3)*M22)-((416666+2/3)*N22^3-625000*N22^2+(208333+1/3)*N22))</f>
        <v>43163750000</v>
      </c>
    </row>
    <row r="23" spans="2:15" ht="15.75" customHeight="1">
      <c r="B23" s="172"/>
      <c r="C23" s="172"/>
      <c r="D23" s="172"/>
      <c r="E23" s="172"/>
      <c r="F23" s="3" t="s">
        <v>50</v>
      </c>
      <c r="G23" s="12">
        <f>Calc!I23*120</f>
        <v>456000</v>
      </c>
      <c r="H23" s="109">
        <f t="shared" ref="H23:H24" si="6">ROUNDUP(SQRT(G23/5000),0)</f>
        <v>10</v>
      </c>
      <c r="I23" s="109">
        <f>VLOOKUP(F23,TblUserWarehouse,2,FALSE)</f>
        <v>35</v>
      </c>
      <c r="J23" s="12">
        <f t="shared" ref="J23:J24" si="7">IF((H23-I23)&lt;0,0,((416666+2/3)*H23^3-625000*H23^2+(208333+1/3)*H23)-((416666+2/3)*I23^3-625000*I23^2+(208333+1/3)*I23))</f>
        <v>0</v>
      </c>
      <c r="K23" s="172"/>
      <c r="L23" s="172"/>
      <c r="M23" s="172"/>
      <c r="N23" s="196"/>
      <c r="O23" s="172"/>
    </row>
    <row r="24" spans="2:15" ht="15.75" customHeight="1">
      <c r="B24" s="172"/>
      <c r="C24" s="172"/>
      <c r="D24" s="172"/>
      <c r="E24" s="172"/>
      <c r="F24" s="3" t="s">
        <v>22</v>
      </c>
      <c r="G24" s="12">
        <f>Calc!I24*120</f>
        <v>1368000</v>
      </c>
      <c r="H24" s="109">
        <f t="shared" si="6"/>
        <v>17</v>
      </c>
      <c r="I24" s="109">
        <f>VLOOKUP(F24,TblUserWarehouse,2,FALSE)</f>
        <v>64</v>
      </c>
      <c r="J24" s="12">
        <f t="shared" si="7"/>
        <v>0</v>
      </c>
      <c r="K24" s="172"/>
      <c r="L24" s="172"/>
      <c r="M24" s="172"/>
      <c r="N24" s="192"/>
      <c r="O24" s="172"/>
    </row>
    <row r="25" spans="2:15" ht="15.75" customHeight="1">
      <c r="B25" s="194" t="s">
        <v>133</v>
      </c>
      <c r="C25" s="193">
        <f ca="1">'Supply Chain'!N41*L25</f>
        <v>146351539200</v>
      </c>
      <c r="D25" s="193">
        <f ca="1">C25-K25-O25</f>
        <v>117482789200</v>
      </c>
      <c r="E25" s="193">
        <f ca="1">ROUNDUP((K25+O25)/C25,0)</f>
        <v>1</v>
      </c>
      <c r="F25" s="3" t="s">
        <v>749</v>
      </c>
      <c r="G25" s="12">
        <f>Calc!I25*120</f>
        <v>2208000000</v>
      </c>
      <c r="H25" s="109" t="s">
        <v>753</v>
      </c>
      <c r="I25" s="109" t="s">
        <v>753</v>
      </c>
      <c r="J25" s="12">
        <v>0</v>
      </c>
      <c r="K25" s="195">
        <f>SUM(J25:J26)</f>
        <v>28868750000</v>
      </c>
      <c r="L25" s="194">
        <f>Calc!D12*120</f>
        <v>1766400</v>
      </c>
      <c r="M25" s="194">
        <f>ROUNDUP(SQRT(L25/5000),0)</f>
        <v>19</v>
      </c>
      <c r="N25" s="191">
        <f>VLOOKUP("Aluminium",TblUserWarehouse,2,FALSE)</f>
        <v>69</v>
      </c>
      <c r="O25" s="193">
        <f>IF((M25-N25)&lt;0,0,((416666+2/3)*M25^3-625000*M25^2+(208333+1/3)*M25)-((416666+2/3)*N25^3-625000*N25^2+(208333+1/3)*N25))</f>
        <v>0</v>
      </c>
    </row>
    <row r="26" spans="2:15" ht="15.75" customHeight="1">
      <c r="B26" s="172"/>
      <c r="C26" s="172"/>
      <c r="D26" s="172"/>
      <c r="E26" s="172"/>
      <c r="F26" s="3" t="s">
        <v>29</v>
      </c>
      <c r="G26" s="12">
        <f>Calc!I26*120</f>
        <v>10598400</v>
      </c>
      <c r="H26" s="109">
        <f>ROUNDUP(SQRT(G26/5000),0)</f>
        <v>47</v>
      </c>
      <c r="I26" s="109">
        <f>VLOOKUP(F26,TblUserWarehouse,2,FALSE)</f>
        <v>32</v>
      </c>
      <c r="J26" s="12">
        <f>IF((H26-I26)&lt;0,0,((416666+2/3)*H26^3-625000*H26^2+(208333+1/3)*H26)-((416666+2/3)*I26^3-625000*I26^2+(208333+1/3)*I26))</f>
        <v>28868750000</v>
      </c>
      <c r="K26" s="172"/>
      <c r="L26" s="172"/>
      <c r="M26" s="172"/>
      <c r="N26" s="192"/>
      <c r="O26" s="172"/>
    </row>
    <row r="27" spans="2:15" ht="15.75" customHeight="1">
      <c r="B27" s="194" t="s">
        <v>137</v>
      </c>
      <c r="C27" s="193">
        <f ca="1">'Supply Chain'!N42*L27</f>
        <v>39889195200</v>
      </c>
      <c r="D27" s="193">
        <f ca="1">C27-K27-O27</f>
        <v>39889195200</v>
      </c>
      <c r="E27" s="193">
        <f ca="1">ROUNDUP((K27+O27)/C27,0)</f>
        <v>0</v>
      </c>
      <c r="F27" s="3" t="s">
        <v>749</v>
      </c>
      <c r="G27" s="12">
        <f>Calc!I27*120</f>
        <v>354240000</v>
      </c>
      <c r="H27" s="109" t="s">
        <v>753</v>
      </c>
      <c r="I27" s="109" t="s">
        <v>753</v>
      </c>
      <c r="J27" s="12">
        <v>0</v>
      </c>
      <c r="K27" s="195">
        <f>SUM(J27:J28)</f>
        <v>0</v>
      </c>
      <c r="L27" s="194">
        <f>Calc!D13*120</f>
        <v>8856000</v>
      </c>
      <c r="M27" s="194">
        <f>ROUNDUP(SQRT(L27/5000),0)</f>
        <v>43</v>
      </c>
      <c r="N27" s="191">
        <f>VLOOKUP("Plastics",TblUserWarehouse,2,FALSE)</f>
        <v>59</v>
      </c>
      <c r="O27" s="193">
        <f>IF((M27-N27)&lt;0,0,((416666+2/3)*M27^3-625000*M27^2+(208333+1/3)*M27)-((416666+2/3)*N27^3-625000*N27^2+(208333+1/3)*N27))</f>
        <v>0</v>
      </c>
    </row>
    <row r="28" spans="2:15" ht="15.75" customHeight="1">
      <c r="B28" s="172"/>
      <c r="C28" s="172"/>
      <c r="D28" s="172"/>
      <c r="E28" s="172"/>
      <c r="F28" s="3" t="s">
        <v>26</v>
      </c>
      <c r="G28" s="12">
        <f>Calc!I28*120</f>
        <v>885600</v>
      </c>
      <c r="H28" s="109">
        <f>ROUNDUP(SQRT(G28/5000),0)</f>
        <v>14</v>
      </c>
      <c r="I28" s="109">
        <f>VLOOKUP(F28,TblUserWarehouse,2,FALSE)</f>
        <v>35</v>
      </c>
      <c r="J28" s="12">
        <f>IF((H28-I28)&lt;0,0,((416666+2/3)*H28^3-625000*H28^2+(208333+1/3)*H28)-((416666+2/3)*I28^3-625000*I28^2+(208333+1/3)*I28))</f>
        <v>0</v>
      </c>
      <c r="K28" s="172"/>
      <c r="L28" s="172"/>
      <c r="M28" s="172"/>
      <c r="N28" s="192"/>
      <c r="O28" s="172"/>
    </row>
    <row r="29" spans="2:15" ht="15.75" customHeight="1">
      <c r="B29" s="194" t="s">
        <v>140</v>
      </c>
      <c r="C29" s="193">
        <f ca="1">'Supply Chain'!N43*L29</f>
        <v>59256360000</v>
      </c>
      <c r="D29" s="193">
        <f ca="1">C29-K29-O29</f>
        <v>4350110000</v>
      </c>
      <c r="E29" s="193">
        <f ca="1">ROUNDUP((K29+O29)/C29,0)</f>
        <v>1</v>
      </c>
      <c r="F29" s="3" t="s">
        <v>749</v>
      </c>
      <c r="G29" s="12">
        <f>Calc!I29*120</f>
        <v>3240000000</v>
      </c>
      <c r="H29" s="109" t="s">
        <v>753</v>
      </c>
      <c r="I29" s="109" t="s">
        <v>753</v>
      </c>
      <c r="J29" s="12">
        <v>0</v>
      </c>
      <c r="K29" s="195">
        <f>SUM(J29:J30)</f>
        <v>54906250000</v>
      </c>
      <c r="L29" s="194">
        <f>Calc!D14*120</f>
        <v>3240000</v>
      </c>
      <c r="M29" s="194">
        <f>ROUNDUP(SQRT(L29/5000),0)</f>
        <v>26</v>
      </c>
      <c r="N29" s="191">
        <f>VLOOKUP("Lithium",TblUserWarehouse,2,FALSE)</f>
        <v>26</v>
      </c>
      <c r="O29" s="193">
        <f>IF((M29-N29)&lt;0,0,((416666+2/3)*M29^3-625000*M29^2+(208333+1/3)*M29)-((416666+2/3)*N29^3-625000*N29^2+(208333+1/3)*N29))</f>
        <v>0</v>
      </c>
    </row>
    <row r="30" spans="2:15" ht="15.75" customHeight="1">
      <c r="B30" s="172"/>
      <c r="C30" s="172"/>
      <c r="D30" s="172"/>
      <c r="E30" s="172"/>
      <c r="F30" s="3" t="s">
        <v>127</v>
      </c>
      <c r="G30" s="12">
        <f>Calc!I30*120</f>
        <v>74520000</v>
      </c>
      <c r="H30" s="109">
        <f>ROUNDUP(SQRT(G30/5000),0)</f>
        <v>123</v>
      </c>
      <c r="I30" s="109">
        <f>VLOOKUP(F30,TblUserWarehouse,2,FALSE)</f>
        <v>120</v>
      </c>
      <c r="J30" s="12">
        <f>IF((H30-I30)&lt;0,0,((416666+2/3)*H30^3-625000*H30^2+(208333+1/3)*H30)-((416666+2/3)*I30^3-625000*I30^2+(208333+1/3)*I30))</f>
        <v>54906250000</v>
      </c>
      <c r="K30" s="172"/>
      <c r="L30" s="172"/>
      <c r="M30" s="172"/>
      <c r="N30" s="192"/>
      <c r="O30" s="172"/>
    </row>
    <row r="31" spans="2:15" ht="15.75" customHeight="1">
      <c r="B31" s="194" t="s">
        <v>143</v>
      </c>
      <c r="C31" s="193">
        <f ca="1">'Supply Chain'!N44*L31</f>
        <v>27542448000</v>
      </c>
      <c r="D31" s="193">
        <f ca="1">C31-K31-O31</f>
        <v>27542448000</v>
      </c>
      <c r="E31" s="193">
        <f ca="1">ROUNDUP((K31+O31)/C31,0)</f>
        <v>0</v>
      </c>
      <c r="F31" s="3" t="s">
        <v>749</v>
      </c>
      <c r="G31" s="12">
        <f>Calc!I31*120</f>
        <v>9180000000</v>
      </c>
      <c r="H31" s="109" t="s">
        <v>753</v>
      </c>
      <c r="I31" s="109" t="s">
        <v>753</v>
      </c>
      <c r="J31" s="12">
        <v>0</v>
      </c>
      <c r="K31" s="195">
        <f>SUM(J31:J34)</f>
        <v>0</v>
      </c>
      <c r="L31" s="194">
        <f>Calc!D15*120</f>
        <v>1224000</v>
      </c>
      <c r="M31" s="194">
        <f>ROUNDUP(SQRT(L31/5000),0)</f>
        <v>16</v>
      </c>
      <c r="N31" s="191">
        <f>VLOOKUP("Batteries",TblUserWarehouse,2,FALSE)</f>
        <v>23</v>
      </c>
      <c r="O31" s="193">
        <f>IF((M31-N31)&lt;0,0,((416666+2/3)*M31^3-625000*M31^2+(208333+1/3)*M31)-((416666+2/3)*N31^3-625000*N31^2+(208333+1/3)*N31))</f>
        <v>0</v>
      </c>
    </row>
    <row r="32" spans="2:15" ht="15.75" customHeight="1">
      <c r="B32" s="172"/>
      <c r="C32" s="172"/>
      <c r="D32" s="172"/>
      <c r="E32" s="172"/>
      <c r="F32" s="3" t="s">
        <v>54</v>
      </c>
      <c r="G32" s="12">
        <f>Calc!I32*120</f>
        <v>2448000</v>
      </c>
      <c r="H32" s="109">
        <f t="shared" ref="H32:H34" si="8">ROUNDUP(SQRT(G32/5000),0)</f>
        <v>23</v>
      </c>
      <c r="I32" s="109">
        <f>VLOOKUP(F32,TblUserWarehouse,2,FALSE)</f>
        <v>26</v>
      </c>
      <c r="J32" s="12">
        <f t="shared" ref="J32:J34" si="9">IF((H32-I32)&lt;0,0,((416666+2/3)*H32^3-625000*H32^2+(208333+1/3)*H32)-((416666+2/3)*I32^3-625000*I32^2+(208333+1/3)*I32))</f>
        <v>0</v>
      </c>
      <c r="K32" s="172"/>
      <c r="L32" s="172"/>
      <c r="M32" s="172"/>
      <c r="N32" s="196"/>
      <c r="O32" s="172"/>
    </row>
    <row r="33" spans="2:15" ht="15.75" customHeight="1">
      <c r="B33" s="172"/>
      <c r="C33" s="172"/>
      <c r="D33" s="172"/>
      <c r="E33" s="172"/>
      <c r="F33" s="3" t="s">
        <v>53</v>
      </c>
      <c r="G33" s="12">
        <f>Calc!I33*120</f>
        <v>4896000</v>
      </c>
      <c r="H33" s="109">
        <f t="shared" si="8"/>
        <v>32</v>
      </c>
      <c r="I33" s="109">
        <f>VLOOKUP(F33,TblUserWarehouse,2,FALSE)</f>
        <v>59</v>
      </c>
      <c r="J33" s="12">
        <f t="shared" si="9"/>
        <v>0</v>
      </c>
      <c r="K33" s="172"/>
      <c r="L33" s="172"/>
      <c r="M33" s="172"/>
      <c r="N33" s="196"/>
      <c r="O33" s="172"/>
    </row>
    <row r="34" spans="2:15" ht="15.75" customHeight="1">
      <c r="B34" s="172"/>
      <c r="C34" s="172"/>
      <c r="D34" s="172"/>
      <c r="E34" s="172"/>
      <c r="F34" s="3" t="s">
        <v>52</v>
      </c>
      <c r="G34" s="12">
        <f>Calc!I34*120</f>
        <v>1224000</v>
      </c>
      <c r="H34" s="109">
        <f t="shared" si="8"/>
        <v>16</v>
      </c>
      <c r="I34" s="109">
        <f>VLOOKUP(F34,TblUserWarehouse,2,FALSE)</f>
        <v>69</v>
      </c>
      <c r="J34" s="12">
        <f t="shared" si="9"/>
        <v>0</v>
      </c>
      <c r="K34" s="172"/>
      <c r="L34" s="172"/>
      <c r="M34" s="172"/>
      <c r="N34" s="192"/>
      <c r="O34" s="172"/>
    </row>
    <row r="35" spans="2:15" ht="15.75" customHeight="1">
      <c r="B35" s="194" t="s">
        <v>146</v>
      </c>
      <c r="C35" s="193" t="e">
        <f ca="1">'Supply Chain'!N45*L35</f>
        <v>#N/A</v>
      </c>
      <c r="D35" s="193" t="e">
        <f ca="1">C35-K35-O35</f>
        <v>#N/A</v>
      </c>
      <c r="E35" s="193" t="e">
        <f ca="1">ROUNDUP((K35+O35)/C35,0)</f>
        <v>#N/A</v>
      </c>
      <c r="F35" s="3" t="s">
        <v>749</v>
      </c>
      <c r="G35" s="12">
        <f>Calc!I35*120</f>
        <v>3000000000</v>
      </c>
      <c r="H35" s="109" t="s">
        <v>753</v>
      </c>
      <c r="I35" s="109" t="s">
        <v>753</v>
      </c>
      <c r="J35" s="12">
        <v>0</v>
      </c>
      <c r="K35" s="195">
        <f>SUM(J35:J38)</f>
        <v>0</v>
      </c>
      <c r="L35" s="194">
        <f>Calc!D16*120</f>
        <v>300000</v>
      </c>
      <c r="M35" s="194">
        <f>ROUNDUP(SQRT(L35/5000),0)</f>
        <v>8</v>
      </c>
      <c r="N35" s="191">
        <f>VLOOKUP("Weapons",TblUserWarehouse,2,FALSE)</f>
        <v>15</v>
      </c>
      <c r="O35" s="193">
        <f>IF((M35-N35)&lt;0,0,((416666+2/3)*M35^3-625000*M35^2+(208333+1/3)*M35)-((416666+2/3)*N35^3-625000*N35^2+(208333+1/3)*N35))</f>
        <v>0</v>
      </c>
    </row>
    <row r="36" spans="2:15" ht="15.75" customHeight="1">
      <c r="B36" s="172"/>
      <c r="C36" s="172"/>
      <c r="D36" s="172"/>
      <c r="E36" s="172"/>
      <c r="F36" s="3" t="s">
        <v>47</v>
      </c>
      <c r="G36" s="12">
        <f>Calc!I36*120</f>
        <v>12000</v>
      </c>
      <c r="H36" s="109">
        <f t="shared" ref="H36:H38" si="10">ROUNDUP(SQRT(G36/5000),0)</f>
        <v>2</v>
      </c>
      <c r="I36" s="109">
        <f>VLOOKUP(F36,TblUserWarehouse,2,FALSE)</f>
        <v>64</v>
      </c>
      <c r="J36" s="12">
        <f t="shared" ref="J36:J38" si="11">IF((H36-I36)&lt;0,0,((416666+2/3)*H36^3-625000*H36^2+(208333+1/3)*H36)-((416666+2/3)*I36^3-625000*I36^2+(208333+1/3)*I36))</f>
        <v>0</v>
      </c>
      <c r="K36" s="172"/>
      <c r="L36" s="172"/>
      <c r="M36" s="172"/>
      <c r="N36" s="196"/>
      <c r="O36" s="172"/>
    </row>
    <row r="37" spans="2:15" ht="15.75" customHeight="1">
      <c r="B37" s="172"/>
      <c r="C37" s="172"/>
      <c r="D37" s="172"/>
      <c r="E37" s="172"/>
      <c r="F37" s="3" t="s">
        <v>52</v>
      </c>
      <c r="G37" s="12">
        <f>Calc!I37*120</f>
        <v>12000</v>
      </c>
      <c r="H37" s="109">
        <f t="shared" si="10"/>
        <v>2</v>
      </c>
      <c r="I37" s="109">
        <f>VLOOKUP(F37,TblUserWarehouse,2,FALSE)</f>
        <v>69</v>
      </c>
      <c r="J37" s="12">
        <f t="shared" si="11"/>
        <v>0</v>
      </c>
      <c r="K37" s="172"/>
      <c r="L37" s="172"/>
      <c r="M37" s="172"/>
      <c r="N37" s="196"/>
      <c r="O37" s="172"/>
    </row>
    <row r="38" spans="2:15" ht="15.75" customHeight="1">
      <c r="B38" s="172"/>
      <c r="C38" s="172"/>
      <c r="D38" s="172"/>
      <c r="E38" s="172"/>
      <c r="F38" s="3" t="s">
        <v>55</v>
      </c>
      <c r="G38" s="12">
        <f>Calc!I38*120</f>
        <v>12000</v>
      </c>
      <c r="H38" s="109">
        <f t="shared" si="10"/>
        <v>2</v>
      </c>
      <c r="I38" s="109">
        <f>VLOOKUP(F38,TblUserWarehouse,2,FALSE)</f>
        <v>23</v>
      </c>
      <c r="J38" s="12">
        <f t="shared" si="11"/>
        <v>0</v>
      </c>
      <c r="K38" s="172"/>
      <c r="L38" s="172"/>
      <c r="M38" s="172"/>
      <c r="N38" s="192"/>
      <c r="O38" s="172"/>
    </row>
    <row r="39" spans="2:15" ht="15.75" customHeight="1">
      <c r="B39" s="194" t="s">
        <v>149</v>
      </c>
      <c r="C39" s="193">
        <f ca="1">'Supply Chain'!N46*L39</f>
        <v>0</v>
      </c>
      <c r="D39" s="193">
        <f ca="1">C39-K39-O39</f>
        <v>0</v>
      </c>
      <c r="E39" s="193" t="e">
        <f ca="1">ROUNDUP((K39+O39)/C39,0)</f>
        <v>#DIV/0!</v>
      </c>
      <c r="F39" s="3" t="s">
        <v>749</v>
      </c>
      <c r="G39" s="12">
        <f>Calc!I39*120</f>
        <v>0</v>
      </c>
      <c r="H39" s="109" t="s">
        <v>753</v>
      </c>
      <c r="I39" s="109" t="s">
        <v>753</v>
      </c>
      <c r="J39" s="12">
        <v>0</v>
      </c>
      <c r="K39" s="195">
        <f>SUM(J39:J42)</f>
        <v>0</v>
      </c>
      <c r="L39" s="194">
        <f>Calc!D17*120</f>
        <v>0</v>
      </c>
      <c r="M39" s="194">
        <f>ROUNDUP(SQRT(L39/5000),0)</f>
        <v>0</v>
      </c>
      <c r="N39" s="191">
        <f>VLOOKUP("Silicon",TblUserWarehouse,2,FALSE)</f>
        <v>16</v>
      </c>
      <c r="O39" s="193">
        <f>IF((M39-N39)&lt;0,0,((416666+2/3)*M39^3-625000*M39^2+(208333+1/3)*M39)-((416666+2/3)*N39^3-625000*N39^2+(208333+1/3)*N39))</f>
        <v>0</v>
      </c>
    </row>
    <row r="40" spans="2:15" ht="15.75" customHeight="1">
      <c r="B40" s="172"/>
      <c r="C40" s="172"/>
      <c r="D40" s="172"/>
      <c r="E40" s="172"/>
      <c r="F40" s="3" t="s">
        <v>131</v>
      </c>
      <c r="G40" s="12">
        <f>Calc!I40*120</f>
        <v>0</v>
      </c>
      <c r="H40" s="109">
        <f t="shared" ref="H40:H42" si="12">ROUNDUP(SQRT(G40/5000),0)</f>
        <v>0</v>
      </c>
      <c r="I40" s="109">
        <f>VLOOKUP(F40,TblUserWarehouse,2,FALSE)</f>
        <v>38</v>
      </c>
      <c r="J40" s="12">
        <f t="shared" ref="J40:J42" si="13">IF((H40-I40)&lt;0,0,((416666+2/3)*H40^3-625000*H40^2+(208333+1/3)*H40)-((416666+2/3)*I40^3-625000*I40^2+(208333+1/3)*I40))</f>
        <v>0</v>
      </c>
      <c r="K40" s="172"/>
      <c r="L40" s="172"/>
      <c r="M40" s="172"/>
      <c r="N40" s="196"/>
      <c r="O40" s="172"/>
    </row>
    <row r="41" spans="2:15" ht="15.75" customHeight="1">
      <c r="B41" s="172"/>
      <c r="C41" s="172"/>
      <c r="D41" s="172"/>
      <c r="E41" s="172"/>
      <c r="F41" s="3" t="s">
        <v>21</v>
      </c>
      <c r="G41" s="12">
        <f>Calc!I41*120</f>
        <v>0</v>
      </c>
      <c r="H41" s="109">
        <f t="shared" si="12"/>
        <v>0</v>
      </c>
      <c r="I41" s="109">
        <f>VLOOKUP(F41,TblUserWarehouse,2,FALSE)</f>
        <v>126</v>
      </c>
      <c r="J41" s="12">
        <f t="shared" si="13"/>
        <v>0</v>
      </c>
      <c r="K41" s="172"/>
      <c r="L41" s="172"/>
      <c r="M41" s="172"/>
      <c r="N41" s="196"/>
      <c r="O41" s="172"/>
    </row>
    <row r="42" spans="2:15" ht="15.75" customHeight="1">
      <c r="B42" s="172"/>
      <c r="C42" s="172"/>
      <c r="D42" s="172"/>
      <c r="E42" s="172"/>
      <c r="F42" s="3" t="s">
        <v>48</v>
      </c>
      <c r="G42" s="12">
        <f>Calc!I42*120</f>
        <v>0</v>
      </c>
      <c r="H42" s="109">
        <f t="shared" si="12"/>
        <v>0</v>
      </c>
      <c r="I42" s="109">
        <f>VLOOKUP(F42,TblUserWarehouse,2,FALSE)</f>
        <v>102</v>
      </c>
      <c r="J42" s="12">
        <f t="shared" si="13"/>
        <v>0</v>
      </c>
      <c r="K42" s="172"/>
      <c r="L42" s="172"/>
      <c r="M42" s="172"/>
      <c r="N42" s="192"/>
      <c r="O42" s="172"/>
    </row>
    <row r="43" spans="2:15" ht="15.75" customHeight="1">
      <c r="B43" s="194" t="s">
        <v>152</v>
      </c>
      <c r="C43" s="193">
        <f ca="1">'Supply Chain'!N47*L43</f>
        <v>26379820800</v>
      </c>
      <c r="D43" s="193">
        <f ca="1">C43-K43-O43</f>
        <v>26379820800</v>
      </c>
      <c r="E43" s="193">
        <f ca="1">ROUNDUP((K43+O43)/C43,0)</f>
        <v>0</v>
      </c>
      <c r="F43" s="3" t="s">
        <v>749</v>
      </c>
      <c r="G43" s="12">
        <f>Calc!I43*120</f>
        <v>1296000000</v>
      </c>
      <c r="H43" s="109" t="s">
        <v>753</v>
      </c>
      <c r="I43" s="109" t="s">
        <v>753</v>
      </c>
      <c r="J43" s="12">
        <v>0</v>
      </c>
      <c r="K43" s="195">
        <f>SUM(J43:J46)</f>
        <v>0</v>
      </c>
      <c r="L43" s="194">
        <f>Calc!D18*120</f>
        <v>2073600</v>
      </c>
      <c r="M43" s="194">
        <f>ROUNDUP(SQRT(L43/5000),0)</f>
        <v>21</v>
      </c>
      <c r="N43" s="191">
        <f>VLOOKUP("Electronics",TblUserWarehouse,2,FALSE)</f>
        <v>50</v>
      </c>
      <c r="O43" s="193">
        <f>IF((M43-N43)&lt;0,0,((416666+2/3)*M43^3-625000*M43^2+(208333+1/3)*M43)-((416666+2/3)*N43^3-625000*N43^2+(208333+1/3)*N43))</f>
        <v>0</v>
      </c>
    </row>
    <row r="44" spans="2:15" ht="15.75" customHeight="1">
      <c r="B44" s="172"/>
      <c r="C44" s="172"/>
      <c r="D44" s="172"/>
      <c r="E44" s="172"/>
      <c r="F44" s="3" t="s">
        <v>53</v>
      </c>
      <c r="G44" s="12">
        <f>Calc!I44*120</f>
        <v>1036800</v>
      </c>
      <c r="H44" s="109">
        <f t="shared" ref="H44:H46" si="14">ROUNDUP(SQRT(G44/5000),0)</f>
        <v>15</v>
      </c>
      <c r="I44" s="109">
        <f>VLOOKUP(F44,TblUserWarehouse,2,FALSE)</f>
        <v>59</v>
      </c>
      <c r="J44" s="12">
        <f t="shared" ref="J44:J46" si="15">IF((H44-I44)&lt;0,0,((416666+2/3)*H44^3-625000*H44^2+(208333+1/3)*H44)-((416666+2/3)*I44^3-625000*I44^2+(208333+1/3)*I44))</f>
        <v>0</v>
      </c>
      <c r="K44" s="172"/>
      <c r="L44" s="172"/>
      <c r="M44" s="172"/>
      <c r="N44" s="196"/>
      <c r="O44" s="172"/>
    </row>
    <row r="45" spans="2:15" ht="15.75" customHeight="1">
      <c r="B45" s="172"/>
      <c r="C45" s="172"/>
      <c r="D45" s="172"/>
      <c r="E45" s="172"/>
      <c r="F45" s="3" t="s">
        <v>50</v>
      </c>
      <c r="G45" s="12">
        <f>Calc!I45*120</f>
        <v>777600</v>
      </c>
      <c r="H45" s="109">
        <f t="shared" si="14"/>
        <v>13</v>
      </c>
      <c r="I45" s="109">
        <f>VLOOKUP(F45,TblUserWarehouse,2,FALSE)</f>
        <v>35</v>
      </c>
      <c r="J45" s="12">
        <f t="shared" si="15"/>
        <v>0</v>
      </c>
      <c r="K45" s="172"/>
      <c r="L45" s="172"/>
      <c r="M45" s="172"/>
      <c r="N45" s="196"/>
      <c r="O45" s="172"/>
    </row>
    <row r="46" spans="2:15" ht="15.75" customHeight="1">
      <c r="B46" s="172"/>
      <c r="C46" s="172"/>
      <c r="D46" s="172"/>
      <c r="E46" s="172"/>
      <c r="F46" s="3" t="s">
        <v>57</v>
      </c>
      <c r="G46" s="12">
        <f>Calc!I46*120</f>
        <v>259200</v>
      </c>
      <c r="H46" s="109">
        <f t="shared" si="14"/>
        <v>8</v>
      </c>
      <c r="I46" s="109">
        <f>VLOOKUP(F46,TblUserWarehouse,2,FALSE)</f>
        <v>16</v>
      </c>
      <c r="J46" s="12">
        <f t="shared" si="15"/>
        <v>0</v>
      </c>
      <c r="K46" s="172"/>
      <c r="L46" s="172"/>
      <c r="M46" s="172"/>
      <c r="N46" s="192"/>
      <c r="O46" s="172"/>
    </row>
    <row r="47" spans="2:15" ht="15.75" customHeight="1">
      <c r="B47" s="194" t="s">
        <v>154</v>
      </c>
      <c r="C47" s="193">
        <f ca="1">'Supply Chain'!N48*L47</f>
        <v>26902310400</v>
      </c>
      <c r="D47" s="193">
        <f ca="1">C47-K47-O47</f>
        <v>26902310400</v>
      </c>
      <c r="E47" s="193">
        <f ca="1">ROUNDUP((K47+O47)/C47,0)</f>
        <v>0</v>
      </c>
      <c r="F47" s="3" t="s">
        <v>749</v>
      </c>
      <c r="G47" s="12">
        <f>Calc!I47*120</f>
        <v>2016000000</v>
      </c>
      <c r="H47" s="109" t="s">
        <v>753</v>
      </c>
      <c r="I47" s="109" t="s">
        <v>753</v>
      </c>
      <c r="J47" s="12">
        <v>0</v>
      </c>
      <c r="K47" s="195">
        <f>SUM(J47:J48)</f>
        <v>0</v>
      </c>
      <c r="L47" s="194">
        <f>Calc!D19*120</f>
        <v>806400</v>
      </c>
      <c r="M47" s="194">
        <f>ROUNDUP(SQRT(L47/5000),0)</f>
        <v>13</v>
      </c>
      <c r="N47" s="191">
        <f>VLOOKUP("Titanium",TblUserWarehouse,2,FALSE)</f>
        <v>32</v>
      </c>
      <c r="O47" s="193">
        <f>IF((M47-N47)&lt;0,0,((416666+2/3)*M47^3-625000*M47^2+(208333+1/3)*M47)-((416666+2/3)*N47^3-625000*N47^2+(208333+1/3)*N47))</f>
        <v>0</v>
      </c>
    </row>
    <row r="48" spans="2:15" ht="15.75" customHeight="1">
      <c r="B48" s="172"/>
      <c r="C48" s="172"/>
      <c r="D48" s="172"/>
      <c r="E48" s="172"/>
      <c r="F48" s="3" t="s">
        <v>31</v>
      </c>
      <c r="G48" s="12">
        <f>Calc!I48*120</f>
        <v>1612800</v>
      </c>
      <c r="H48" s="109">
        <f>ROUNDUP(SQRT(G48/5000),0)</f>
        <v>18</v>
      </c>
      <c r="I48" s="109">
        <f>VLOOKUP(F48,TblUserWarehouse,2,FALSE)</f>
        <v>37</v>
      </c>
      <c r="J48" s="12">
        <f>IF((H48-I48)&lt;0,0,((416666+2/3)*H48^3-625000*H48^2+(208333+1/3)*H48)-((416666+2/3)*I48^3-625000*I48^2+(208333+1/3)*I48))</f>
        <v>0</v>
      </c>
      <c r="K48" s="172"/>
      <c r="L48" s="172"/>
      <c r="M48" s="172"/>
      <c r="N48" s="192"/>
      <c r="O48" s="172"/>
    </row>
    <row r="49" spans="2:15" ht="15.75" customHeight="1">
      <c r="B49" s="194" t="s">
        <v>64</v>
      </c>
      <c r="C49" s="193">
        <f ca="1">'Supply Chain'!N49*L49</f>
        <v>197599411200</v>
      </c>
      <c r="D49" s="193">
        <f ca="1">C49-K49-O49</f>
        <v>197599411200</v>
      </c>
      <c r="E49" s="193">
        <f ca="1">ROUNDUP((K49+O49)/C49,0)</f>
        <v>0</v>
      </c>
      <c r="F49" s="3" t="s">
        <v>749</v>
      </c>
      <c r="G49" s="12">
        <f>Calc!I49*120</f>
        <v>12528000000</v>
      </c>
      <c r="H49" s="109" t="s">
        <v>753</v>
      </c>
      <c r="I49" s="109" t="s">
        <v>753</v>
      </c>
      <c r="J49" s="12">
        <v>0</v>
      </c>
      <c r="K49" s="195">
        <f>SUM(J49:J52)</f>
        <v>0</v>
      </c>
      <c r="L49" s="194">
        <f>Calc!D20*120</f>
        <v>1392000</v>
      </c>
      <c r="M49" s="194">
        <f>ROUNDUP(SQRT(L49/5000),0)</f>
        <v>17</v>
      </c>
      <c r="N49" s="191">
        <f>VLOOKUP("Medical Technology",TblUserWarehouse,2,FALSE)</f>
        <v>17</v>
      </c>
      <c r="O49" s="193">
        <f>IF((M49-N49)&lt;0,0,((416666+2/3)*M49^3-625000*M49^2+(208333+1/3)*M49)-((416666+2/3)*N49^3-625000*N49^2+(208333+1/3)*N49))</f>
        <v>0</v>
      </c>
    </row>
    <row r="50" spans="2:15" ht="15.75" customHeight="1">
      <c r="B50" s="172"/>
      <c r="C50" s="172"/>
      <c r="D50" s="172"/>
      <c r="E50" s="172"/>
      <c r="F50" s="3" t="s">
        <v>63</v>
      </c>
      <c r="G50" s="12">
        <f>Calc!I50*120</f>
        <v>556800</v>
      </c>
      <c r="H50" s="109">
        <f t="shared" ref="H50:H52" si="16">ROUNDUP(SQRT(G50/5000),0)</f>
        <v>11</v>
      </c>
      <c r="I50" s="109">
        <f>VLOOKUP(F50,TblUserWarehouse,2,FALSE)</f>
        <v>32</v>
      </c>
      <c r="J50" s="12">
        <f t="shared" ref="J50:J52" si="17">IF((H50-I50)&lt;0,0,((416666+2/3)*H50^3-625000*H50^2+(208333+1/3)*H50)-((416666+2/3)*I50^3-625000*I50^2+(208333+1/3)*I50))</f>
        <v>0</v>
      </c>
      <c r="K50" s="172"/>
      <c r="L50" s="172"/>
      <c r="M50" s="172"/>
      <c r="N50" s="196"/>
      <c r="O50" s="172"/>
    </row>
    <row r="51" spans="2:15" ht="15.75" customHeight="1">
      <c r="B51" s="172"/>
      <c r="C51" s="172"/>
      <c r="D51" s="172"/>
      <c r="E51" s="172"/>
      <c r="F51" s="3" t="s">
        <v>53</v>
      </c>
      <c r="G51" s="12">
        <f>Calc!I51*120</f>
        <v>278400</v>
      </c>
      <c r="H51" s="109">
        <f t="shared" si="16"/>
        <v>8</v>
      </c>
      <c r="I51" s="109">
        <f>VLOOKUP(F51,TblUserWarehouse,2,FALSE)</f>
        <v>59</v>
      </c>
      <c r="J51" s="12">
        <f t="shared" si="17"/>
        <v>0</v>
      </c>
      <c r="K51" s="172"/>
      <c r="L51" s="172"/>
      <c r="M51" s="172"/>
      <c r="N51" s="196"/>
      <c r="O51" s="172"/>
    </row>
    <row r="52" spans="2:15" ht="15.75" customHeight="1">
      <c r="B52" s="172"/>
      <c r="C52" s="172"/>
      <c r="D52" s="172"/>
      <c r="E52" s="172"/>
      <c r="F52" s="3" t="s">
        <v>61</v>
      </c>
      <c r="G52" s="12">
        <f>Calc!I52*120</f>
        <v>278400</v>
      </c>
      <c r="H52" s="109">
        <f t="shared" si="16"/>
        <v>8</v>
      </c>
      <c r="I52" s="109">
        <f>VLOOKUP(F52,TblUserWarehouse,2,FALSE)</f>
        <v>50</v>
      </c>
      <c r="J52" s="12">
        <f t="shared" si="17"/>
        <v>0</v>
      </c>
      <c r="K52" s="172"/>
      <c r="L52" s="172"/>
      <c r="M52" s="172"/>
      <c r="N52" s="192"/>
      <c r="O52" s="172"/>
    </row>
    <row r="53" spans="2:15" ht="15.75" customHeight="1">
      <c r="B53" s="194" t="s">
        <v>157</v>
      </c>
      <c r="C53" s="193">
        <f ca="1">'Supply Chain'!N50*L53</f>
        <v>5115916800</v>
      </c>
      <c r="D53" s="193">
        <f ca="1">C53-K53-O53</f>
        <v>5115916800</v>
      </c>
      <c r="E53" s="193">
        <f ca="1">ROUNDUP((K53+O53)/C53,0)</f>
        <v>0</v>
      </c>
      <c r="F53" s="3" t="s">
        <v>749</v>
      </c>
      <c r="G53" s="12">
        <f>Calc!I53*120</f>
        <v>864000000</v>
      </c>
      <c r="H53" s="109" t="s">
        <v>753</v>
      </c>
      <c r="I53" s="109" t="s">
        <v>753</v>
      </c>
      <c r="J53" s="12">
        <v>0</v>
      </c>
      <c r="K53" s="195">
        <f>SUM(J53:J54)</f>
        <v>0</v>
      </c>
      <c r="L53" s="194">
        <f>Calc!D21*120</f>
        <v>4320000</v>
      </c>
      <c r="M53" s="194">
        <f>ROUNDUP(SQRT(L53/5000),0)</f>
        <v>30</v>
      </c>
      <c r="N53" s="191">
        <f>VLOOKUP("Silver",TblUserWarehouse,2,FALSE)</f>
        <v>201</v>
      </c>
      <c r="O53" s="193">
        <f>IF((M53-N53)&lt;0,0,((416666+2/3)*M53^3-625000*M53^2+(208333+1/3)*M53)-((416666+2/3)*N53^3-625000*N53^2+(208333+1/3)*N53))</f>
        <v>0</v>
      </c>
    </row>
    <row r="54" spans="2:15" ht="15.75" customHeight="1">
      <c r="B54" s="172"/>
      <c r="C54" s="172"/>
      <c r="D54" s="172"/>
      <c r="E54" s="172"/>
      <c r="F54" s="3" t="s">
        <v>135</v>
      </c>
      <c r="G54" s="12">
        <f>Calc!I54*120</f>
        <v>691200</v>
      </c>
      <c r="H54" s="109">
        <f>ROUNDUP(SQRT(G54/5000),0)</f>
        <v>12</v>
      </c>
      <c r="I54" s="109">
        <f>VLOOKUP(F54,TblUserWarehouse,2,FALSE)</f>
        <v>40</v>
      </c>
      <c r="J54" s="12">
        <f>IF((H54-I54)&lt;0,0,((416666+2/3)*H54^3-625000*H54^2+(208333+1/3)*H54)-((416666+2/3)*I54^3-625000*I54^2+(208333+1/3)*I54))</f>
        <v>0</v>
      </c>
      <c r="K54" s="172"/>
      <c r="L54" s="172"/>
      <c r="M54" s="172"/>
      <c r="N54" s="192"/>
      <c r="O54" s="172"/>
    </row>
    <row r="55" spans="2:15" ht="15.75" customHeight="1">
      <c r="B55" s="194" t="s">
        <v>162</v>
      </c>
      <c r="C55" s="193">
        <f ca="1">'Supply Chain'!N51*L55</f>
        <v>29896876800</v>
      </c>
      <c r="D55" s="193">
        <f ca="1">C55-K55-O55</f>
        <v>29896876800</v>
      </c>
      <c r="E55" s="193">
        <f ca="1">ROUNDUP((K55+O55)/C55,0)</f>
        <v>0</v>
      </c>
      <c r="F55" s="3" t="s">
        <v>749</v>
      </c>
      <c r="G55" s="12">
        <f>Calc!I55*120</f>
        <v>4032000000</v>
      </c>
      <c r="H55" s="109" t="s">
        <v>753</v>
      </c>
      <c r="I55" s="109" t="s">
        <v>753</v>
      </c>
      <c r="J55" s="12">
        <v>0</v>
      </c>
      <c r="K55" s="195">
        <f>SUM(J55:J56)</f>
        <v>0</v>
      </c>
      <c r="L55" s="194">
        <f>Calc!D22*120</f>
        <v>604800</v>
      </c>
      <c r="M55" s="194">
        <f>ROUNDUP(SQRT(L55/5000),0)</f>
        <v>11</v>
      </c>
      <c r="N55" s="191">
        <f>VLOOKUP("Gold",TblUserWarehouse,2,FALSE)</f>
        <v>20</v>
      </c>
      <c r="O55" s="193">
        <f>IF((M55-N55)&lt;0,0,((416666+2/3)*M55^3-625000*M55^2+(208333+1/3)*M55)-((416666+2/3)*N55^3-625000*N55^2+(208333+1/3)*N55))</f>
        <v>0</v>
      </c>
    </row>
    <row r="56" spans="2:15" ht="15.75" customHeight="1">
      <c r="B56" s="172"/>
      <c r="C56" s="172"/>
      <c r="D56" s="172"/>
      <c r="E56" s="172"/>
      <c r="F56" s="3" t="s">
        <v>122</v>
      </c>
      <c r="G56" s="12">
        <f>Calc!I56*120</f>
        <v>4032000</v>
      </c>
      <c r="H56" s="109">
        <f>ROUNDUP(SQRT(G56/5000),0)</f>
        <v>29</v>
      </c>
      <c r="I56" s="109">
        <f>VLOOKUP(F56,TblUserWarehouse,2,FALSE)</f>
        <v>52</v>
      </c>
      <c r="J56" s="12">
        <f>IF((H56-I56)&lt;0,0,((416666+2/3)*H56^3-625000*H56^2+(208333+1/3)*H56)-((416666+2/3)*I56^3-625000*I56^2+(208333+1/3)*I56))</f>
        <v>0</v>
      </c>
      <c r="K56" s="172"/>
      <c r="L56" s="172"/>
      <c r="M56" s="172"/>
      <c r="N56" s="192"/>
      <c r="O56" s="172"/>
    </row>
    <row r="57" spans="2:15" ht="15.75" customHeight="1">
      <c r="B57" s="194" t="s">
        <v>163</v>
      </c>
      <c r="C57" s="193">
        <f ca="1">'Supply Chain'!N52*L57</f>
        <v>175906944000</v>
      </c>
      <c r="D57" s="193">
        <f ca="1">C57-K57-O57</f>
        <v>-4099298056000</v>
      </c>
      <c r="E57" s="193">
        <f ca="1">ROUNDUP((K57+O57)/C57,0)</f>
        <v>25</v>
      </c>
      <c r="F57" s="3" t="s">
        <v>749</v>
      </c>
      <c r="G57" s="12">
        <f>Calc!I57*120</f>
        <v>14400000000</v>
      </c>
      <c r="H57" s="109" t="s">
        <v>753</v>
      </c>
      <c r="I57" s="109" t="s">
        <v>753</v>
      </c>
      <c r="J57" s="12">
        <v>0</v>
      </c>
      <c r="K57" s="195">
        <f>SUM(J57:J60)</f>
        <v>4275205000000</v>
      </c>
      <c r="L57" s="194">
        <f>Calc!D23*120</f>
        <v>576000</v>
      </c>
      <c r="M57" s="194">
        <f>ROUNDUP(SQRT(L57/5000),0)</f>
        <v>11</v>
      </c>
      <c r="N57" s="191">
        <f>VLOOKUP("Jewellery",TblUserWarehouse,2,FALSE)</f>
        <v>28</v>
      </c>
      <c r="O57" s="193">
        <f>IF((M57-N57)&lt;0,0,((416666+2/3)*M57^3-625000*M57^2+(208333+1/3)*M57)-((416666+2/3)*N57^3-625000*N57^2+(208333+1/3)*N57))</f>
        <v>0</v>
      </c>
    </row>
    <row r="58" spans="2:15" ht="15.75" customHeight="1">
      <c r="B58" s="172"/>
      <c r="C58" s="172"/>
      <c r="D58" s="172"/>
      <c r="E58" s="172"/>
      <c r="F58" s="3" t="s">
        <v>111</v>
      </c>
      <c r="G58" s="12">
        <f>Calc!I58*120</f>
        <v>288000000</v>
      </c>
      <c r="H58" s="109">
        <f t="shared" ref="H58:H60" si="18">ROUNDUP(SQRT(G58/5000),0)</f>
        <v>240</v>
      </c>
      <c r="I58" s="109">
        <f>VLOOKUP(F58,TblUserWarehouse,2,FALSE)</f>
        <v>152</v>
      </c>
      <c r="J58" s="12">
        <f t="shared" ref="J58:J60" si="19">IF((H58-I58)&lt;0,0,((416666+2/3)*H58^3-625000*H58^2+(208333+1/3)*H58)-((416666+2/3)*I58^3-625000*I58^2+(208333+1/3)*I58))</f>
        <v>4275205000000</v>
      </c>
      <c r="K58" s="172"/>
      <c r="L58" s="172"/>
      <c r="M58" s="172"/>
      <c r="N58" s="196"/>
      <c r="O58" s="172"/>
    </row>
    <row r="59" spans="2:15" ht="15.75" customHeight="1">
      <c r="B59" s="172"/>
      <c r="C59" s="172"/>
      <c r="D59" s="172"/>
      <c r="E59" s="172"/>
      <c r="F59" s="3" t="s">
        <v>66</v>
      </c>
      <c r="G59" s="12">
        <f>Calc!I59*120</f>
        <v>288000</v>
      </c>
      <c r="H59" s="109">
        <f t="shared" si="18"/>
        <v>8</v>
      </c>
      <c r="I59" s="109">
        <f>VLOOKUP(F59,TblUserWarehouse,2,FALSE)</f>
        <v>20</v>
      </c>
      <c r="J59" s="12">
        <f t="shared" si="19"/>
        <v>0</v>
      </c>
      <c r="K59" s="172"/>
      <c r="L59" s="172"/>
      <c r="M59" s="172"/>
      <c r="N59" s="196"/>
      <c r="O59" s="172"/>
    </row>
    <row r="60" spans="2:15" ht="15.75" customHeight="1">
      <c r="B60" s="172"/>
      <c r="C60" s="172"/>
      <c r="D60" s="172"/>
      <c r="E60" s="172"/>
      <c r="F60" s="3" t="s">
        <v>65</v>
      </c>
      <c r="G60" s="12">
        <f>Calc!I60*120</f>
        <v>288000</v>
      </c>
      <c r="H60" s="109">
        <f t="shared" si="18"/>
        <v>8</v>
      </c>
      <c r="I60" s="109">
        <f>VLOOKUP(F60,TblUserWarehouse,2,FALSE)</f>
        <v>201</v>
      </c>
      <c r="J60" s="12">
        <f t="shared" si="19"/>
        <v>0</v>
      </c>
      <c r="K60" s="172"/>
      <c r="L60" s="172"/>
      <c r="M60" s="172"/>
      <c r="N60" s="192"/>
      <c r="O60" s="172"/>
    </row>
    <row r="61" spans="2:15" ht="15.75" customHeight="1">
      <c r="B61" s="194" t="s">
        <v>165</v>
      </c>
      <c r="C61" s="193">
        <f ca="1">'Supply Chain'!N53*L61</f>
        <v>0</v>
      </c>
      <c r="D61" s="193">
        <f ca="1">C61-K61-O61</f>
        <v>0</v>
      </c>
      <c r="E61" s="193" t="e">
        <f ca="1">ROUNDUP((K61+O61)/C61,0)</f>
        <v>#DIV/0!</v>
      </c>
      <c r="F61" s="3" t="s">
        <v>749</v>
      </c>
      <c r="G61" s="12">
        <f>Calc!I61*120</f>
        <v>0</v>
      </c>
      <c r="H61" s="109" t="s">
        <v>753</v>
      </c>
      <c r="I61" s="109" t="s">
        <v>753</v>
      </c>
      <c r="J61" s="12">
        <v>0</v>
      </c>
      <c r="K61" s="195">
        <f>SUM(J61:J64)</f>
        <v>0</v>
      </c>
      <c r="L61" s="194">
        <f>Calc!D24*120</f>
        <v>0</v>
      </c>
      <c r="M61" s="194">
        <f>ROUNDUP(SQRT(L61/5000),0)</f>
        <v>0</v>
      </c>
      <c r="N61" s="191">
        <f>VLOOKUP("Scan drones",TblUserWarehouse,2,FALSE)</f>
        <v>1</v>
      </c>
      <c r="O61" s="193">
        <f>IF((M61-N61)&lt;0,0,((416666+2/3)*M61^3-625000*M61^2+(208333+1/3)*M61)-((416666+2/3)*N61^3-625000*N61^2+(208333+1/3)*N61))</f>
        <v>0</v>
      </c>
    </row>
    <row r="62" spans="2:15" ht="15.75" customHeight="1">
      <c r="B62" s="172"/>
      <c r="C62" s="172"/>
      <c r="D62" s="172"/>
      <c r="E62" s="172"/>
      <c r="F62" s="3" t="s">
        <v>61</v>
      </c>
      <c r="G62" s="12">
        <f>Calc!I62*120</f>
        <v>0</v>
      </c>
      <c r="H62" s="109">
        <f t="shared" ref="H62:H64" si="20">ROUNDUP(SQRT(G62/5000),0)</f>
        <v>0</v>
      </c>
      <c r="I62" s="109">
        <f>VLOOKUP(F62,TblUserWarehouse,2,FALSE)</f>
        <v>50</v>
      </c>
      <c r="J62" s="12">
        <f t="shared" ref="J62:J64" si="21">IF((H62-I62)&lt;0,0,((416666+2/3)*H62^3-625000*H62^2+(208333+1/3)*H62)-((416666+2/3)*I62^3-625000*I62^2+(208333+1/3)*I62))</f>
        <v>0</v>
      </c>
      <c r="K62" s="172"/>
      <c r="L62" s="172"/>
      <c r="M62" s="172"/>
      <c r="N62" s="196"/>
      <c r="O62" s="172"/>
    </row>
    <row r="63" spans="2:15" ht="15.75" customHeight="1">
      <c r="B63" s="172"/>
      <c r="C63" s="172"/>
      <c r="D63" s="172"/>
      <c r="E63" s="172"/>
      <c r="F63" s="3" t="s">
        <v>63</v>
      </c>
      <c r="G63" s="12">
        <f>Calc!I63*120</f>
        <v>0</v>
      </c>
      <c r="H63" s="109">
        <f t="shared" si="20"/>
        <v>0</v>
      </c>
      <c r="I63" s="109">
        <f>VLOOKUP(F63,TblUserWarehouse,2,FALSE)</f>
        <v>32</v>
      </c>
      <c r="J63" s="12">
        <f t="shared" si="21"/>
        <v>0</v>
      </c>
      <c r="K63" s="172"/>
      <c r="L63" s="172"/>
      <c r="M63" s="172"/>
      <c r="N63" s="196"/>
      <c r="O63" s="172"/>
    </row>
    <row r="64" spans="2:15" ht="15.75" customHeight="1">
      <c r="B64" s="172"/>
      <c r="C64" s="172"/>
      <c r="D64" s="172"/>
      <c r="E64" s="172"/>
      <c r="F64" s="3" t="s">
        <v>55</v>
      </c>
      <c r="G64" s="12">
        <f>Calc!I64*120</f>
        <v>0</v>
      </c>
      <c r="H64" s="109">
        <f t="shared" si="20"/>
        <v>0</v>
      </c>
      <c r="I64" s="109">
        <f>VLOOKUP(F64,TblUserWarehouse,2,FALSE)</f>
        <v>23</v>
      </c>
      <c r="J64" s="12">
        <f t="shared" si="21"/>
        <v>0</v>
      </c>
      <c r="K64" s="172"/>
      <c r="L64" s="172"/>
      <c r="M64" s="172"/>
      <c r="N64" s="192"/>
      <c r="O64" s="172"/>
    </row>
    <row r="65" spans="2:15" ht="15.75" customHeight="1">
      <c r="B65" s="194" t="s">
        <v>167</v>
      </c>
      <c r="C65" s="193">
        <f ca="1">'Supply Chain'!N54*L65</f>
        <v>5461260000</v>
      </c>
      <c r="D65" s="193">
        <f ca="1">C65-K65-O65</f>
        <v>5461260000</v>
      </c>
      <c r="E65" s="193">
        <f ca="1">ROUNDUP((K65+O65)/C65,0)</f>
        <v>0</v>
      </c>
      <c r="F65" s="3" t="s">
        <v>749</v>
      </c>
      <c r="G65" s="12">
        <f>Calc!I65*120</f>
        <v>6000000000</v>
      </c>
      <c r="H65" s="109" t="s">
        <v>753</v>
      </c>
      <c r="I65" s="109" t="s">
        <v>753</v>
      </c>
      <c r="J65" s="12">
        <v>0</v>
      </c>
      <c r="K65" s="195">
        <f>SUM(J65:J68)</f>
        <v>0</v>
      </c>
      <c r="L65" s="194">
        <f>Calc!D25*120</f>
        <v>120000</v>
      </c>
      <c r="M65" s="194">
        <f>ROUNDUP(SQRT(L65/5000),0)</f>
        <v>5</v>
      </c>
      <c r="N65" s="191">
        <f>VLOOKUP("Trucks",UserBuildings!$Y$5:$AA$41,2,FALSE)</f>
        <v>30</v>
      </c>
      <c r="O65" s="193">
        <f>IF((M65-N65)&lt;0,0,((416666+2/3)*M65^3-625000*M65^2+(208333+1/3)*M65)-((416666+2/3)*N65^3-625000*N65^2+(208333+1/3)*N65))</f>
        <v>0</v>
      </c>
    </row>
    <row r="66" spans="2:15" ht="15.75" customHeight="1">
      <c r="B66" s="172"/>
      <c r="C66" s="172"/>
      <c r="D66" s="172"/>
      <c r="E66" s="172"/>
      <c r="F66" s="3" t="s">
        <v>61</v>
      </c>
      <c r="G66" s="12">
        <f>Calc!I66*120</f>
        <v>240000</v>
      </c>
      <c r="H66" s="109">
        <f t="shared" ref="H66:H68" si="22">ROUNDUP(SQRT(G66/5000),0)</f>
        <v>7</v>
      </c>
      <c r="I66" s="109">
        <f>VLOOKUP(F66,TblUserWarehouse,2,FALSE)</f>
        <v>50</v>
      </c>
      <c r="J66" s="12">
        <f t="shared" ref="J66:J68" si="23">IF((H66-I66)&lt;0,0,((416666+2/3)*H66^3-625000*H66^2+(208333+1/3)*H66)-((416666+2/3)*I66^3-625000*I66^2+(208333+1/3)*I66))</f>
        <v>0</v>
      </c>
      <c r="K66" s="172"/>
      <c r="L66" s="172"/>
      <c r="M66" s="172"/>
      <c r="N66" s="196"/>
      <c r="O66" s="172"/>
    </row>
    <row r="67" spans="2:15" ht="15.75" customHeight="1">
      <c r="B67" s="172"/>
      <c r="C67" s="172"/>
      <c r="D67" s="172"/>
      <c r="E67" s="172"/>
      <c r="F67" s="3" t="s">
        <v>63</v>
      </c>
      <c r="G67" s="12">
        <f>Calc!I67*120</f>
        <v>60000</v>
      </c>
      <c r="H67" s="109">
        <f t="shared" si="22"/>
        <v>4</v>
      </c>
      <c r="I67" s="109">
        <f>VLOOKUP(F67,TblUserWarehouse,2,FALSE)</f>
        <v>32</v>
      </c>
      <c r="J67" s="12">
        <f t="shared" si="23"/>
        <v>0</v>
      </c>
      <c r="K67" s="172"/>
      <c r="L67" s="172"/>
      <c r="M67" s="172"/>
      <c r="N67" s="196"/>
      <c r="O67" s="172"/>
    </row>
    <row r="68" spans="2:15" ht="15.75" customHeight="1">
      <c r="B68" s="172"/>
      <c r="C68" s="172"/>
      <c r="D68" s="172"/>
      <c r="E68" s="172"/>
      <c r="F68" s="3" t="s">
        <v>55</v>
      </c>
      <c r="G68" s="12">
        <f>Calc!I68*120</f>
        <v>120000</v>
      </c>
      <c r="H68" s="109">
        <f t="shared" si="22"/>
        <v>5</v>
      </c>
      <c r="I68" s="109">
        <f>VLOOKUP(F68,TblUserWarehouse,2,FALSE)</f>
        <v>23</v>
      </c>
      <c r="J68" s="12">
        <f t="shared" si="23"/>
        <v>0</v>
      </c>
      <c r="K68" s="172"/>
      <c r="L68" s="172"/>
      <c r="M68" s="172"/>
      <c r="N68" s="192"/>
      <c r="O68" s="172"/>
    </row>
    <row r="69" spans="2:15" ht="15.75" customHeight="1"/>
    <row r="70" spans="2:15" ht="15.75" customHeight="1"/>
    <row r="71" spans="2:15" ht="15.75" customHeight="1"/>
    <row r="72" spans="2:15" ht="15.75" customHeight="1"/>
    <row r="73" spans="2:15" ht="15.75" customHeight="1"/>
    <row r="74" spans="2:15" ht="15.75" customHeight="1"/>
    <row r="75" spans="2:15" ht="15.75" customHeight="1"/>
    <row r="76" spans="2:15" ht="15.75" customHeight="1"/>
    <row r="77" spans="2:15" ht="15.75" customHeight="1"/>
    <row r="78" spans="2:15" ht="15.75" customHeight="1"/>
    <row r="79" spans="2:15" ht="15.75" customHeight="1"/>
    <row r="80" spans="2:15"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8">
    <mergeCell ref="N11:N13"/>
    <mergeCell ref="O11:O13"/>
    <mergeCell ref="B11:B13"/>
    <mergeCell ref="C11:C13"/>
    <mergeCell ref="D11:D13"/>
    <mergeCell ref="E11:E13"/>
    <mergeCell ref="K11:K13"/>
    <mergeCell ref="L11:L13"/>
    <mergeCell ref="M11:M13"/>
    <mergeCell ref="N14:N15"/>
    <mergeCell ref="O14:O15"/>
    <mergeCell ref="B14:B15"/>
    <mergeCell ref="C14:C15"/>
    <mergeCell ref="D14:D15"/>
    <mergeCell ref="E14:E15"/>
    <mergeCell ref="K14:K15"/>
    <mergeCell ref="L14:L15"/>
    <mergeCell ref="M14:M15"/>
    <mergeCell ref="N20:N21"/>
    <mergeCell ref="O20:O21"/>
    <mergeCell ref="B20:B21"/>
    <mergeCell ref="C20:C21"/>
    <mergeCell ref="D20:D21"/>
    <mergeCell ref="E20:E21"/>
    <mergeCell ref="K20:K21"/>
    <mergeCell ref="L20:L21"/>
    <mergeCell ref="M20:M21"/>
    <mergeCell ref="N22:N24"/>
    <mergeCell ref="O22:O24"/>
    <mergeCell ref="B22:B24"/>
    <mergeCell ref="C22:C24"/>
    <mergeCell ref="D22:D24"/>
    <mergeCell ref="E22:E24"/>
    <mergeCell ref="K22:K24"/>
    <mergeCell ref="L22:L24"/>
    <mergeCell ref="M22:M24"/>
    <mergeCell ref="N25:N26"/>
    <mergeCell ref="O25:O26"/>
    <mergeCell ref="B25:B26"/>
    <mergeCell ref="C25:C26"/>
    <mergeCell ref="D25:D26"/>
    <mergeCell ref="E25:E26"/>
    <mergeCell ref="K25:K26"/>
    <mergeCell ref="L25:L26"/>
    <mergeCell ref="M25:M26"/>
    <mergeCell ref="N27:N28"/>
    <mergeCell ref="O27:O28"/>
    <mergeCell ref="B27:B28"/>
    <mergeCell ref="C27:C28"/>
    <mergeCell ref="D27:D28"/>
    <mergeCell ref="E27:E28"/>
    <mergeCell ref="K27:K28"/>
    <mergeCell ref="L27:L28"/>
    <mergeCell ref="M27:M28"/>
    <mergeCell ref="N29:N30"/>
    <mergeCell ref="O29:O30"/>
    <mergeCell ref="B29:B30"/>
    <mergeCell ref="C29:C30"/>
    <mergeCell ref="D29:D30"/>
    <mergeCell ref="E29:E30"/>
    <mergeCell ref="K29:K30"/>
    <mergeCell ref="L29:L30"/>
    <mergeCell ref="M29:M30"/>
    <mergeCell ref="N49:N52"/>
    <mergeCell ref="O49:O52"/>
    <mergeCell ref="B49:B52"/>
    <mergeCell ref="C49:C52"/>
    <mergeCell ref="D49:D52"/>
    <mergeCell ref="E49:E52"/>
    <mergeCell ref="K49:K52"/>
    <mergeCell ref="L49:L52"/>
    <mergeCell ref="M49:M52"/>
    <mergeCell ref="N55:N56"/>
    <mergeCell ref="O55:O56"/>
    <mergeCell ref="B55:B56"/>
    <mergeCell ref="C55:C56"/>
    <mergeCell ref="D55:D56"/>
    <mergeCell ref="E55:E56"/>
    <mergeCell ref="K55:K56"/>
    <mergeCell ref="L55:L56"/>
    <mergeCell ref="M55:M56"/>
    <mergeCell ref="N57:N60"/>
    <mergeCell ref="O57:O60"/>
    <mergeCell ref="B57:B60"/>
    <mergeCell ref="C57:C60"/>
    <mergeCell ref="D57:D60"/>
    <mergeCell ref="E57:E60"/>
    <mergeCell ref="K57:K60"/>
    <mergeCell ref="L57:L60"/>
    <mergeCell ref="M57:M60"/>
    <mergeCell ref="N61:N64"/>
    <mergeCell ref="O61:O64"/>
    <mergeCell ref="B61:B64"/>
    <mergeCell ref="C61:C64"/>
    <mergeCell ref="D61:D64"/>
    <mergeCell ref="E61:E64"/>
    <mergeCell ref="K61:K64"/>
    <mergeCell ref="L61:L64"/>
    <mergeCell ref="M61:M64"/>
    <mergeCell ref="N4:N5"/>
    <mergeCell ref="O4:O5"/>
    <mergeCell ref="B4:B5"/>
    <mergeCell ref="C4:C5"/>
    <mergeCell ref="D4:D5"/>
    <mergeCell ref="E4:E5"/>
    <mergeCell ref="K4:K5"/>
    <mergeCell ref="L4:L5"/>
    <mergeCell ref="M4:M5"/>
    <mergeCell ref="N6:N8"/>
    <mergeCell ref="O6:O8"/>
    <mergeCell ref="B6:B8"/>
    <mergeCell ref="C6:C8"/>
    <mergeCell ref="D6:D8"/>
    <mergeCell ref="E6:E8"/>
    <mergeCell ref="K6:K8"/>
    <mergeCell ref="L6:L8"/>
    <mergeCell ref="M6:M8"/>
    <mergeCell ref="N9:N10"/>
    <mergeCell ref="O9:O10"/>
    <mergeCell ref="B9:B10"/>
    <mergeCell ref="C9:C10"/>
    <mergeCell ref="D9:D10"/>
    <mergeCell ref="E9:E10"/>
    <mergeCell ref="K9:K10"/>
    <mergeCell ref="L9:L10"/>
    <mergeCell ref="M9:M10"/>
    <mergeCell ref="N65:N68"/>
    <mergeCell ref="O65:O68"/>
    <mergeCell ref="B65:B68"/>
    <mergeCell ref="C65:C68"/>
    <mergeCell ref="D65:D68"/>
    <mergeCell ref="E65:E68"/>
    <mergeCell ref="K65:K68"/>
    <mergeCell ref="L65:L68"/>
    <mergeCell ref="M65:M68"/>
    <mergeCell ref="N16:N19"/>
    <mergeCell ref="O16:O19"/>
    <mergeCell ref="B16:B19"/>
    <mergeCell ref="C16:C19"/>
    <mergeCell ref="D16:D19"/>
    <mergeCell ref="E16:E19"/>
    <mergeCell ref="K16:K19"/>
    <mergeCell ref="L16:L19"/>
    <mergeCell ref="M16:M19"/>
    <mergeCell ref="N31:N34"/>
    <mergeCell ref="O31:O34"/>
    <mergeCell ref="B31:B34"/>
    <mergeCell ref="C31:C34"/>
    <mergeCell ref="D31:D34"/>
    <mergeCell ref="E31:E34"/>
    <mergeCell ref="K31:K34"/>
    <mergeCell ref="L31:L34"/>
    <mergeCell ref="M31:M34"/>
    <mergeCell ref="N35:N38"/>
    <mergeCell ref="O35:O38"/>
    <mergeCell ref="B35:B38"/>
    <mergeCell ref="C35:C38"/>
    <mergeCell ref="D35:D38"/>
    <mergeCell ref="E35:E38"/>
    <mergeCell ref="K35:K38"/>
    <mergeCell ref="L35:L38"/>
    <mergeCell ref="M35:M38"/>
    <mergeCell ref="N39:N42"/>
    <mergeCell ref="O39:O42"/>
    <mergeCell ref="B39:B42"/>
    <mergeCell ref="C39:C42"/>
    <mergeCell ref="D39:D42"/>
    <mergeCell ref="E39:E42"/>
    <mergeCell ref="K39:K42"/>
    <mergeCell ref="L39:L42"/>
    <mergeCell ref="M39:M42"/>
    <mergeCell ref="N43:N46"/>
    <mergeCell ref="O43:O46"/>
    <mergeCell ref="B43:B46"/>
    <mergeCell ref="C43:C46"/>
    <mergeCell ref="D43:D46"/>
    <mergeCell ref="E43:E46"/>
    <mergeCell ref="K43:K46"/>
    <mergeCell ref="L43:L46"/>
    <mergeCell ref="M43:M46"/>
    <mergeCell ref="N47:N48"/>
    <mergeCell ref="O47:O48"/>
    <mergeCell ref="B47:B48"/>
    <mergeCell ref="C47:C48"/>
    <mergeCell ref="D47:D48"/>
    <mergeCell ref="E47:E48"/>
    <mergeCell ref="K47:K48"/>
    <mergeCell ref="L47:L48"/>
    <mergeCell ref="M47:M48"/>
    <mergeCell ref="N53:N54"/>
    <mergeCell ref="O53:O54"/>
    <mergeCell ref="B53:B54"/>
    <mergeCell ref="C53:C54"/>
    <mergeCell ref="D53:D54"/>
    <mergeCell ref="E53:E54"/>
    <mergeCell ref="K53:K54"/>
    <mergeCell ref="L53:L54"/>
    <mergeCell ref="M53:M54"/>
  </mergeCells>
  <conditionalFormatting sqref="C4:C68">
    <cfRule type="colorScale" priority="1">
      <colorScale>
        <cfvo type="min"/>
        <cfvo type="percentile" val="50"/>
        <cfvo type="max"/>
        <color rgb="FFE67C73"/>
        <color rgb="FFFFD666"/>
        <color rgb="FF57BB8A"/>
      </colorScale>
    </cfRule>
  </conditionalFormatting>
  <conditionalFormatting sqref="D4:D68">
    <cfRule type="colorScale" priority="2">
      <colorScale>
        <cfvo type="formula" val="0"/>
        <cfvo type="percentile" val="50"/>
        <cfvo type="max"/>
        <color rgb="FFE67C73"/>
        <color rgb="FFFFD666"/>
        <color rgb="FF57BB8A"/>
      </colorScale>
    </cfRule>
  </conditionalFormatting>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4A86E8"/>
    <outlinePr summaryBelow="0" summaryRight="0"/>
  </sheetPr>
  <dimension ref="B1:M1000"/>
  <sheetViews>
    <sheetView workbookViewId="0"/>
  </sheetViews>
  <sheetFormatPr defaultColWidth="15.109375" defaultRowHeight="15" customHeight="1"/>
  <cols>
    <col min="1" max="2" width="3.21875" customWidth="1"/>
    <col min="3" max="3" width="25.44140625" customWidth="1"/>
    <col min="4" max="4" width="17.33203125" customWidth="1"/>
    <col min="5" max="5" width="14.88671875" customWidth="1"/>
    <col min="6" max="300" width="12.6640625" customWidth="1"/>
  </cols>
  <sheetData>
    <row r="1" spans="2:13" ht="15.75" customHeight="1"/>
    <row r="2" spans="2:13" ht="15.75" customHeight="1">
      <c r="B2" s="11" t="s">
        <v>897</v>
      </c>
      <c r="C2" s="10"/>
      <c r="D2" s="10"/>
      <c r="E2" s="10"/>
      <c r="F2" s="10"/>
      <c r="G2" s="10"/>
      <c r="H2" s="10"/>
      <c r="I2" s="10"/>
      <c r="J2" s="10"/>
      <c r="K2" s="10"/>
      <c r="L2" s="10"/>
      <c r="M2" s="10"/>
    </row>
    <row r="3" spans="2:13" ht="15.75" customHeight="1">
      <c r="C3" s="3" t="s">
        <v>898</v>
      </c>
    </row>
    <row r="4" spans="2:13" ht="15.75" customHeight="1">
      <c r="B4" s="3"/>
      <c r="C4" s="3" t="s">
        <v>899</v>
      </c>
    </row>
    <row r="5" spans="2:13" ht="15.75" customHeight="1">
      <c r="B5" s="34"/>
      <c r="C5" s="34" t="s">
        <v>510</v>
      </c>
      <c r="D5" s="143" t="s">
        <v>108</v>
      </c>
    </row>
    <row r="6" spans="2:13" ht="15.75" customHeight="1">
      <c r="C6" s="34" t="s">
        <v>900</v>
      </c>
      <c r="D6" s="143">
        <v>100</v>
      </c>
    </row>
    <row r="7" spans="2:13" ht="15.75" customHeight="1">
      <c r="C7" s="34" t="s">
        <v>901</v>
      </c>
      <c r="D7" s="144">
        <f>VLOOKUP($D$5,TblMineBasics,6,FALSE)*(1+(D6/50))</f>
        <v>1200000000</v>
      </c>
    </row>
    <row r="8" spans="2:13" ht="15.75" customHeight="1"/>
    <row r="9" spans="2:13" ht="15.75" customHeight="1">
      <c r="B9" s="11" t="s">
        <v>902</v>
      </c>
      <c r="C9" s="10"/>
      <c r="D9" s="10"/>
      <c r="E9" s="10"/>
      <c r="F9" s="10"/>
      <c r="G9" s="10"/>
      <c r="H9" s="10"/>
      <c r="I9" s="10"/>
      <c r="J9" s="10"/>
      <c r="K9" s="10"/>
      <c r="L9" s="10"/>
      <c r="M9" s="10"/>
    </row>
    <row r="10" spans="2:13" ht="15.75" customHeight="1">
      <c r="B10" s="3"/>
      <c r="C10" s="3" t="s">
        <v>903</v>
      </c>
    </row>
    <row r="11" spans="2:13" ht="15.75" customHeight="1">
      <c r="B11" s="3"/>
      <c r="C11" s="3" t="s">
        <v>904</v>
      </c>
    </row>
    <row r="12" spans="2:13" ht="15.75" customHeight="1">
      <c r="B12" s="3"/>
      <c r="C12" s="3" t="s">
        <v>905</v>
      </c>
    </row>
    <row r="13" spans="2:13" ht="15.75" customHeight="1">
      <c r="B13" s="3"/>
      <c r="M13" s="3"/>
    </row>
    <row r="14" spans="2:13" ht="15.75" customHeight="1">
      <c r="B14" s="3"/>
      <c r="C14" s="34" t="s">
        <v>906</v>
      </c>
      <c r="D14" s="143">
        <v>50</v>
      </c>
      <c r="M14" s="3"/>
    </row>
    <row r="15" spans="2:13" ht="15.75" customHeight="1">
      <c r="B15" s="3"/>
      <c r="C15" s="34" t="s">
        <v>907</v>
      </c>
      <c r="D15" s="144">
        <f>D14^2*5000</f>
        <v>12500000</v>
      </c>
      <c r="E15" s="3" t="s">
        <v>908</v>
      </c>
      <c r="M15" s="3"/>
    </row>
    <row r="16" spans="2:13" ht="15.75" customHeight="1">
      <c r="B16" s="3"/>
      <c r="C16" s="34" t="s">
        <v>909</v>
      </c>
      <c r="D16" s="144">
        <f>(416666+2/3)*D14^3-625000*D14^2+(208333+1/3)*D14</f>
        <v>50531250000</v>
      </c>
      <c r="F16" s="3"/>
      <c r="M16" s="3"/>
    </row>
    <row r="17" spans="2:13" ht="15.75" customHeight="1">
      <c r="B17" s="3"/>
      <c r="C17" s="34" t="s">
        <v>910</v>
      </c>
      <c r="D17" s="144">
        <f>(D14-1)^2*1250000</f>
        <v>3001250000</v>
      </c>
      <c r="M17" s="3"/>
    </row>
    <row r="18" spans="2:13" ht="15.75" customHeight="1">
      <c r="B18" s="3"/>
      <c r="C18" s="34" t="s">
        <v>911</v>
      </c>
      <c r="D18" s="144">
        <f>(D14+1)^2*5000</f>
        <v>13005000</v>
      </c>
      <c r="E18" t="str">
        <f>"+" &amp; TEXT(D18-D15,"0,0")</f>
        <v>+505,000</v>
      </c>
    </row>
    <row r="19" spans="2:13" ht="15.75" customHeight="1"/>
    <row r="20" spans="2:13" ht="15.75" customHeight="1">
      <c r="B20" s="11" t="s">
        <v>912</v>
      </c>
      <c r="C20" s="10"/>
      <c r="D20" s="10"/>
      <c r="E20" s="10"/>
      <c r="F20" s="10"/>
      <c r="G20" s="10"/>
      <c r="H20" s="10"/>
      <c r="I20" s="10"/>
      <c r="J20" s="10"/>
      <c r="K20" s="10"/>
      <c r="L20" s="10"/>
      <c r="M20" s="10"/>
    </row>
    <row r="21" spans="2:13" ht="15.75" customHeight="1"/>
    <row r="22" spans="2:13" ht="15.75" customHeight="1">
      <c r="B22" s="3"/>
      <c r="C22" s="12"/>
      <c r="D22" s="17" t="s">
        <v>913</v>
      </c>
      <c r="E22" s="12" t="s">
        <v>914</v>
      </c>
      <c r="F22" s="12"/>
    </row>
    <row r="23" spans="2:13" ht="15.75" customHeight="1">
      <c r="C23" s="12" t="s">
        <v>915</v>
      </c>
      <c r="D23" s="145">
        <v>3</v>
      </c>
      <c r="E23" s="146">
        <v>200</v>
      </c>
      <c r="F23" s="12" t="s">
        <v>916</v>
      </c>
    </row>
    <row r="24" spans="2:13" ht="15.75" customHeight="1">
      <c r="B24" s="3"/>
      <c r="C24" s="12" t="s">
        <v>917</v>
      </c>
      <c r="D24" s="147">
        <v>100</v>
      </c>
      <c r="E24" s="148">
        <v>3</v>
      </c>
      <c r="F24" s="12"/>
    </row>
    <row r="25" spans="2:13" ht="15.75" customHeight="1">
      <c r="C25" s="12" t="s">
        <v>918</v>
      </c>
      <c r="D25" s="149">
        <f>UserBuildings!$T$10</f>
        <v>10</v>
      </c>
      <c r="E25" s="148">
        <v>3</v>
      </c>
      <c r="F25" s="12"/>
    </row>
    <row r="26" spans="2:13" ht="15.75" customHeight="1">
      <c r="B26" s="3"/>
      <c r="C26" s="12" t="s">
        <v>919</v>
      </c>
      <c r="D26" s="149">
        <f>UserBuildings!$E$20</f>
        <v>1147</v>
      </c>
      <c r="E26" s="148">
        <v>161</v>
      </c>
      <c r="F26" s="12"/>
    </row>
    <row r="27" spans="2:13" ht="15.75" customHeight="1">
      <c r="C27" s="12" t="s">
        <v>920</v>
      </c>
      <c r="D27" s="150" t="e">
        <f ca="1">D23*('Supply Chain'!D48+'Supply Chain'!K56)*24</f>
        <v>#N/A</v>
      </c>
      <c r="E27" s="150">
        <f>E23*1000000000</f>
        <v>200000000000</v>
      </c>
      <c r="F27" s="12"/>
    </row>
    <row r="28" spans="2:13" ht="15.75" customHeight="1">
      <c r="B28" s="3"/>
      <c r="C28" s="12" t="s">
        <v>921</v>
      </c>
      <c r="D28" s="150">
        <f t="shared" ref="D28:E28" si="0">D24*1000000000</f>
        <v>100000000000</v>
      </c>
      <c r="E28" s="150">
        <f t="shared" si="0"/>
        <v>3000000000</v>
      </c>
      <c r="F28" s="12"/>
    </row>
    <row r="29" spans="2:13" ht="15.75" customHeight="1">
      <c r="B29" s="3"/>
      <c r="C29" s="12" t="s">
        <v>922</v>
      </c>
      <c r="D29" s="150">
        <f t="shared" ref="D29:E29" si="1">((D26/8)^3)*1000</f>
        <v>2947272505.859375</v>
      </c>
      <c r="E29" s="150">
        <f t="shared" si="1"/>
        <v>8150939.453125</v>
      </c>
      <c r="F29" s="12"/>
    </row>
    <row r="30" spans="2:13" ht="15.75" customHeight="1">
      <c r="C30" s="12" t="s">
        <v>923</v>
      </c>
      <c r="D30" s="151">
        <f t="shared" ref="D30:E30" si="2">1-(D25/20)</f>
        <v>0.5</v>
      </c>
      <c r="E30" s="151">
        <f t="shared" si="2"/>
        <v>0.85</v>
      </c>
      <c r="F30" s="12"/>
    </row>
    <row r="31" spans="2:13" ht="15.75" customHeight="1">
      <c r="B31" s="3"/>
      <c r="C31" s="12" t="s">
        <v>924</v>
      </c>
      <c r="D31" s="150" t="e">
        <f t="shared" ref="D31:E31" ca="1" si="3">D28+D27/20</f>
        <v>#N/A</v>
      </c>
      <c r="E31" s="150">
        <f t="shared" si="3"/>
        <v>13000000000</v>
      </c>
      <c r="F31" s="12"/>
    </row>
    <row r="32" spans="2:13" ht="15.75" customHeight="1">
      <c r="B32" s="3"/>
      <c r="C32" s="12" t="s">
        <v>925</v>
      </c>
      <c r="D32" s="152" t="e">
        <f t="shared" ref="D32:E32" ca="1" si="4">D30*((D31/4)+D29)</f>
        <v>#N/A</v>
      </c>
      <c r="E32" s="152">
        <f t="shared" si="4"/>
        <v>2769428298.5351563</v>
      </c>
      <c r="F32" s="12"/>
    </row>
    <row r="33" spans="2:13" ht="15.75" customHeight="1">
      <c r="B33" s="3"/>
      <c r="C33" s="12" t="s">
        <v>926</v>
      </c>
      <c r="D33" s="152" t="e">
        <f ca="1">D30*((D31/2)+D29)</f>
        <v>#N/A</v>
      </c>
      <c r="E33" s="152">
        <f>E30*((E31/D26)+E29)</f>
        <v>16562125.910919109</v>
      </c>
      <c r="F33" s="12"/>
    </row>
    <row r="34" spans="2:13" ht="15.75" customHeight="1">
      <c r="B34" s="3"/>
      <c r="D34" s="3"/>
      <c r="E34" s="3"/>
      <c r="F34" s="3"/>
    </row>
    <row r="35" spans="2:13" ht="15.75" customHeight="1">
      <c r="B35" s="11" t="s">
        <v>927</v>
      </c>
      <c r="C35" s="10"/>
      <c r="D35" s="10"/>
      <c r="E35" s="10"/>
      <c r="F35" s="10"/>
      <c r="G35" s="10"/>
      <c r="H35" s="10"/>
      <c r="I35" s="10"/>
      <c r="J35" s="10"/>
      <c r="K35" s="10"/>
      <c r="L35" s="10"/>
      <c r="M35" s="10"/>
    </row>
    <row r="36" spans="2:13" ht="15.75" customHeight="1">
      <c r="B36" s="3"/>
      <c r="C36" s="3" t="s">
        <v>928</v>
      </c>
      <c r="D36" s="3"/>
      <c r="E36" s="3"/>
      <c r="F36" s="3"/>
    </row>
    <row r="37" spans="2:13" ht="15.75" customHeight="1">
      <c r="B37" s="3"/>
      <c r="C37" s="3" t="s">
        <v>929</v>
      </c>
      <c r="D37" s="3"/>
      <c r="E37" s="3"/>
      <c r="F37" s="3"/>
    </row>
    <row r="38" spans="2:13" ht="15.75" customHeight="1">
      <c r="B38" s="3"/>
      <c r="C38" s="3" t="s">
        <v>930</v>
      </c>
      <c r="D38" s="3"/>
      <c r="E38" s="3"/>
      <c r="F38" s="3"/>
    </row>
    <row r="39" spans="2:13" ht="15.75" customHeight="1">
      <c r="B39" s="3"/>
      <c r="C39" s="3" t="s">
        <v>931</v>
      </c>
      <c r="D39" s="3"/>
      <c r="E39" s="3"/>
      <c r="F39" s="3"/>
    </row>
    <row r="40" spans="2:13" ht="15.75" customHeight="1">
      <c r="B40" s="3"/>
      <c r="C40" s="3"/>
      <c r="D40" s="3"/>
      <c r="E40" s="3"/>
      <c r="F40" s="3"/>
    </row>
    <row r="41" spans="2:13" ht="15.75" customHeight="1">
      <c r="B41" s="3"/>
      <c r="C41" s="3" t="s">
        <v>932</v>
      </c>
      <c r="D41" s="153">
        <v>50</v>
      </c>
      <c r="E41" s="153">
        <v>16.079999999999998</v>
      </c>
      <c r="F41" s="3"/>
    </row>
    <row r="42" spans="2:13" ht="15.75" customHeight="1">
      <c r="B42" s="3"/>
      <c r="C42" s="3" t="s">
        <v>933</v>
      </c>
      <c r="D42" s="3">
        <f>UserBuildings!T5</f>
        <v>10</v>
      </c>
      <c r="E42" s="146"/>
      <c r="F42" s="3"/>
    </row>
    <row r="43" spans="2:13" ht="15.75" customHeight="1">
      <c r="B43" s="3"/>
      <c r="C43" s="3" t="s">
        <v>934</v>
      </c>
      <c r="D43" s="3">
        <f t="shared" ref="D43:E43" si="5">9*(D42+1)</f>
        <v>99</v>
      </c>
      <c r="E43" s="3">
        <f t="shared" si="5"/>
        <v>9</v>
      </c>
      <c r="F43" s="3"/>
    </row>
    <row r="44" spans="2:13" ht="15.75" customHeight="1">
      <c r="B44" s="3"/>
      <c r="C44" s="3" t="s">
        <v>935</v>
      </c>
      <c r="D44" s="152">
        <f t="shared" ref="D44:E44" si="6">IF((D43+(D41-D43)*5)&lt;=D43,D41,(D43+(D41-D43)*5))</f>
        <v>50</v>
      </c>
      <c r="E44" s="152">
        <f t="shared" si="6"/>
        <v>44.399999999999991</v>
      </c>
    </row>
    <row r="45" spans="2:13" ht="15.75" customHeight="1">
      <c r="B45" s="3"/>
      <c r="C45" s="3"/>
      <c r="D45" s="3"/>
      <c r="E45" s="3"/>
      <c r="F45" s="3"/>
    </row>
    <row r="46" spans="2:13" ht="15.75" customHeight="1">
      <c r="B46" s="3"/>
      <c r="C46" s="3" t="s">
        <v>936</v>
      </c>
      <c r="D46" s="146">
        <v>75</v>
      </c>
      <c r="E46" s="146">
        <v>75</v>
      </c>
      <c r="F46" s="3"/>
    </row>
    <row r="47" spans="2:13" ht="15.75" customHeight="1">
      <c r="B47" s="3"/>
      <c r="C47" s="49" t="s">
        <v>937</v>
      </c>
      <c r="D47" s="154">
        <f t="shared" ref="D47:E47" si="7">IF((D43+(D46-D43)/5)&gt;=D46,D46,(D43+(D46-D43)/5))</f>
        <v>75</v>
      </c>
      <c r="E47" s="154">
        <f t="shared" si="7"/>
        <v>22.2</v>
      </c>
      <c r="F47" s="3"/>
    </row>
    <row r="48" spans="2:13" ht="15.75" customHeight="1">
      <c r="C48" s="49"/>
    </row>
    <row r="49" spans="2:4" ht="15.75" customHeight="1">
      <c r="D49" s="3"/>
    </row>
    <row r="50" spans="2:4" ht="15.75" customHeight="1">
      <c r="D50" s="3"/>
    </row>
    <row r="51" spans="2:4" ht="15.75" customHeight="1">
      <c r="D51" s="3"/>
    </row>
    <row r="52" spans="2:4" ht="15.75" customHeight="1">
      <c r="D52" s="3"/>
    </row>
    <row r="53" spans="2:4" ht="15.75" customHeight="1">
      <c r="D53" s="3"/>
    </row>
    <row r="54" spans="2:4" ht="15.75" customHeight="1"/>
    <row r="55" spans="2:4" ht="15.75" customHeight="1">
      <c r="B55" s="3"/>
      <c r="C55" s="3" t="s">
        <v>938</v>
      </c>
    </row>
    <row r="56" spans="2:4" ht="15.75" customHeight="1"/>
    <row r="57" spans="2:4" ht="15.75" customHeight="1">
      <c r="B57" s="3"/>
      <c r="C57" s="3" t="s">
        <v>939</v>
      </c>
    </row>
    <row r="58" spans="2:4" ht="15.75" customHeight="1">
      <c r="B58" s="3"/>
      <c r="C58" s="3" t="s">
        <v>940</v>
      </c>
    </row>
    <row r="59" spans="2:4" ht="15.75" customHeight="1">
      <c r="B59" s="3"/>
      <c r="C59" s="3" t="s">
        <v>941</v>
      </c>
    </row>
    <row r="60" spans="2:4" ht="15.75" customHeight="1">
      <c r="B60" s="3"/>
      <c r="C60" s="3" t="s">
        <v>942</v>
      </c>
    </row>
    <row r="61" spans="2:4" ht="15.75" customHeight="1">
      <c r="B61" s="3"/>
      <c r="C61" s="3" t="s">
        <v>943</v>
      </c>
    </row>
    <row r="62" spans="2:4" ht="15.75" customHeight="1">
      <c r="B62" s="3"/>
      <c r="C62" s="3" t="s">
        <v>944</v>
      </c>
    </row>
    <row r="63" spans="2:4" ht="15.75" customHeight="1">
      <c r="B63" s="3"/>
      <c r="C63" s="3" t="s">
        <v>945</v>
      </c>
    </row>
    <row r="64" spans="2:4" ht="15.75" customHeight="1"/>
    <row r="65" spans="2:5" ht="15.75" customHeight="1">
      <c r="B65" s="3"/>
      <c r="C65" s="3" t="s">
        <v>946</v>
      </c>
    </row>
    <row r="66" spans="2:5" ht="15.75" customHeight="1">
      <c r="B66" s="3"/>
      <c r="C66" s="3" t="s">
        <v>947</v>
      </c>
    </row>
    <row r="67" spans="2:5" ht="15.75" customHeight="1">
      <c r="B67" s="3"/>
      <c r="C67" s="3" t="s">
        <v>948</v>
      </c>
    </row>
    <row r="68" spans="2:5" ht="15.75" customHeight="1">
      <c r="B68" s="3"/>
      <c r="C68" s="3" t="s">
        <v>903</v>
      </c>
    </row>
    <row r="69" spans="2:5" ht="15.75" customHeight="1"/>
    <row r="70" spans="2:5" ht="15.75" customHeight="1">
      <c r="B70" s="3"/>
      <c r="C70" s="3" t="s">
        <v>904</v>
      </c>
    </row>
    <row r="71" spans="2:5" ht="15.75" customHeight="1"/>
    <row r="72" spans="2:5" ht="15.75" customHeight="1">
      <c r="B72" s="3"/>
      <c r="C72" s="3" t="s">
        <v>905</v>
      </c>
    </row>
    <row r="73" spans="2:5" ht="15.75" customHeight="1"/>
    <row r="74" spans="2:5" ht="15.75" customHeight="1">
      <c r="B74" s="3"/>
      <c r="C74" s="3" t="s">
        <v>100</v>
      </c>
      <c r="D74" s="3" t="s">
        <v>949</v>
      </c>
      <c r="E74" s="3" t="s">
        <v>950</v>
      </c>
    </row>
    <row r="75" spans="2:5" ht="15.75" customHeight="1">
      <c r="B75" s="3"/>
      <c r="C75" s="3">
        <v>1</v>
      </c>
      <c r="D75" s="3">
        <v>0</v>
      </c>
      <c r="E75" s="3">
        <v>0</v>
      </c>
    </row>
    <row r="76" spans="2:5" ht="15.75" customHeight="1">
      <c r="B76" s="3"/>
      <c r="C76" s="3">
        <v>2</v>
      </c>
      <c r="D76" s="12">
        <v>1250000</v>
      </c>
      <c r="E76" s="12">
        <v>1250000</v>
      </c>
    </row>
    <row r="77" spans="2:5" ht="15.75" customHeight="1">
      <c r="B77" s="3"/>
      <c r="C77" s="3">
        <v>3</v>
      </c>
      <c r="D77" s="12">
        <v>5000000</v>
      </c>
      <c r="E77" s="12">
        <v>6250000</v>
      </c>
    </row>
    <row r="78" spans="2:5" ht="15.75" customHeight="1">
      <c r="B78" s="3"/>
      <c r="C78" s="3">
        <v>4</v>
      </c>
      <c r="D78" s="12">
        <v>11250000</v>
      </c>
      <c r="E78" s="12">
        <v>17500000</v>
      </c>
    </row>
    <row r="79" spans="2:5" ht="15.75" customHeight="1">
      <c r="B79" s="3"/>
      <c r="C79" s="3">
        <v>5</v>
      </c>
      <c r="D79" s="12">
        <v>20000000</v>
      </c>
      <c r="E79" s="12">
        <v>37500000</v>
      </c>
    </row>
    <row r="80" spans="2:5" ht="15.75" customHeight="1">
      <c r="B80" s="3"/>
      <c r="C80" s="3">
        <v>6</v>
      </c>
      <c r="D80" s="12">
        <v>31250000</v>
      </c>
      <c r="E80" s="12">
        <v>68750000</v>
      </c>
    </row>
    <row r="81" spans="2:11" ht="15.75" customHeight="1">
      <c r="B81" s="3"/>
      <c r="C81" s="3">
        <v>7</v>
      </c>
      <c r="D81" s="12">
        <v>45000000</v>
      </c>
      <c r="E81" s="12">
        <v>113750000</v>
      </c>
    </row>
    <row r="82" spans="2:11" ht="15.75" customHeight="1">
      <c r="B82" s="3"/>
      <c r="C82" s="3">
        <v>8</v>
      </c>
      <c r="D82" s="12">
        <v>61250000</v>
      </c>
      <c r="E82" s="12">
        <v>175000000</v>
      </c>
    </row>
    <row r="83" spans="2:11" ht="15.75" customHeight="1">
      <c r="B83" s="3"/>
      <c r="C83" s="3">
        <v>9</v>
      </c>
      <c r="D83" s="12">
        <v>80000000</v>
      </c>
      <c r="E83" s="12">
        <v>255000000</v>
      </c>
    </row>
    <row r="84" spans="2:11" ht="15.75" customHeight="1"/>
    <row r="85" spans="2:11" ht="15.75" customHeight="1"/>
    <row r="86" spans="2:11" ht="15.75" customHeight="1"/>
    <row r="87" spans="2:11" ht="15.75" customHeight="1"/>
    <row r="88" spans="2:11" ht="15.75" customHeight="1"/>
    <row r="89" spans="2:11" ht="15.75" customHeight="1"/>
    <row r="90" spans="2:11" ht="15.75" customHeight="1"/>
    <row r="91" spans="2:11" ht="15.75" customHeight="1"/>
    <row r="92" spans="2:11" ht="15.75" customHeight="1"/>
    <row r="93" spans="2:11" ht="15.75" customHeight="1">
      <c r="B93" s="3"/>
      <c r="C93" s="3" t="s">
        <v>951</v>
      </c>
    </row>
    <row r="94" spans="2:11" ht="15.75" customHeight="1">
      <c r="B94" s="3"/>
      <c r="C94" s="3" t="s">
        <v>952</v>
      </c>
      <c r="K94" s="155" t="str">
        <f ca="1">IFERROR(__xludf.DUMMYFUNCTION("IMPORTDATA(""http://www.resources-game.ch/exchange/kurseliste_json.txt"")"),"#REF!")</f>
        <v>#REF!</v>
      </c>
    </row>
    <row r="95" spans="2:11" ht="15.75" customHeight="1">
      <c r="B95" s="3"/>
      <c r="C95" s="3" t="s">
        <v>953</v>
      </c>
    </row>
    <row r="96" spans="2:11" ht="15.75" customHeight="1">
      <c r="B96" s="3"/>
      <c r="C96" s="3" t="s">
        <v>954</v>
      </c>
    </row>
    <row r="97" spans="2:6" ht="15.75" customHeight="1">
      <c r="B97" s="3"/>
      <c r="C97" s="3" t="s">
        <v>955</v>
      </c>
    </row>
    <row r="98" spans="2:6" ht="15.75" customHeight="1">
      <c r="B98" s="3"/>
      <c r="C98" s="3" t="s">
        <v>956</v>
      </c>
    </row>
    <row r="99" spans="2:6" ht="15.75" customHeight="1">
      <c r="B99" s="3"/>
      <c r="C99" s="3" t="s">
        <v>957</v>
      </c>
    </row>
    <row r="100" spans="2:6" ht="15.75" customHeight="1">
      <c r="B100" s="3"/>
      <c r="C100" s="3" t="s">
        <v>958</v>
      </c>
    </row>
    <row r="101" spans="2:6" ht="15.75" customHeight="1">
      <c r="B101" s="3"/>
      <c r="C101" s="3" t="s">
        <v>959</v>
      </c>
    </row>
    <row r="102" spans="2:6" ht="15.75" customHeight="1">
      <c r="B102" s="3"/>
      <c r="C102" s="3" t="s">
        <v>960</v>
      </c>
    </row>
    <row r="103" spans="2:6" ht="15.75" customHeight="1">
      <c r="B103" s="3"/>
      <c r="C103" s="3" t="s">
        <v>961</v>
      </c>
    </row>
    <row r="104" spans="2:6" ht="15.75" customHeight="1">
      <c r="B104" s="3"/>
      <c r="C104" s="3" t="s">
        <v>962</v>
      </c>
    </row>
    <row r="105" spans="2:6" ht="15.75" customHeight="1">
      <c r="B105" s="3"/>
      <c r="C105" s="3" t="s">
        <v>963</v>
      </c>
    </row>
    <row r="106" spans="2:6" ht="15.75" customHeight="1">
      <c r="B106" s="3"/>
      <c r="C106" s="3" t="s">
        <v>964</v>
      </c>
      <c r="D106" s="3" t="s">
        <v>965</v>
      </c>
    </row>
    <row r="107" spans="2:6" ht="15.75" customHeight="1">
      <c r="B107" s="3"/>
      <c r="C107" s="3" t="s">
        <v>966</v>
      </c>
    </row>
    <row r="108" spans="2:6" ht="15.75" customHeight="1">
      <c r="B108" s="3"/>
      <c r="C108" s="3" t="s">
        <v>953</v>
      </c>
    </row>
    <row r="109" spans="2:6" ht="15.75" customHeight="1">
      <c r="B109" s="3"/>
      <c r="C109" s="3" t="s">
        <v>967</v>
      </c>
    </row>
    <row r="110" spans="2:6" ht="15.75" customHeight="1">
      <c r="B110" s="3"/>
      <c r="C110" s="3" t="s">
        <v>968</v>
      </c>
    </row>
    <row r="111" spans="2:6" ht="15.75" customHeight="1">
      <c r="B111" s="3"/>
      <c r="C111" s="3" t="s">
        <v>11</v>
      </c>
      <c r="D111" s="3" t="s">
        <v>969</v>
      </c>
      <c r="E111" s="3" t="s">
        <v>970</v>
      </c>
      <c r="F111" s="3" t="s">
        <v>971</v>
      </c>
    </row>
    <row r="112" spans="2:6" ht="15.75" customHeight="1">
      <c r="B112" s="3"/>
      <c r="C112" s="3" t="s">
        <v>29</v>
      </c>
      <c r="D112" s="3" t="s">
        <v>52</v>
      </c>
      <c r="F112" s="3" t="s">
        <v>972</v>
      </c>
    </row>
    <row r="113" spans="2:6" ht="15.75" customHeight="1">
      <c r="B113" s="3"/>
      <c r="C113" s="3" t="s">
        <v>28</v>
      </c>
      <c r="D113" s="3" t="s">
        <v>50</v>
      </c>
      <c r="F113" s="3" t="s">
        <v>972</v>
      </c>
    </row>
    <row r="114" spans="2:6" ht="15.75" customHeight="1">
      <c r="B114" s="3"/>
      <c r="C114" s="3" t="s">
        <v>21</v>
      </c>
    </row>
    <row r="115" spans="2:6" ht="15.75" customHeight="1">
      <c r="B115" s="3"/>
      <c r="C115" s="3" t="s">
        <v>44</v>
      </c>
    </row>
    <row r="116" spans="2:6" ht="15.75" customHeight="1"/>
    <row r="117" spans="2:6" ht="15.75" customHeight="1">
      <c r="B117" s="3"/>
      <c r="C117" s="3" t="s">
        <v>57</v>
      </c>
    </row>
    <row r="118" spans="2:6" ht="15.75" customHeight="1"/>
    <row r="119" spans="2:6" ht="15.75" customHeight="1">
      <c r="B119" s="3"/>
      <c r="C119" s="3" t="s">
        <v>840</v>
      </c>
    </row>
    <row r="120" spans="2:6" ht="15.75" customHeight="1">
      <c r="B120" s="3"/>
      <c r="C120" s="3" t="s">
        <v>752</v>
      </c>
    </row>
    <row r="121" spans="2:6" ht="15.75" customHeight="1"/>
    <row r="122" spans="2:6" ht="15.75" customHeight="1">
      <c r="B122" s="3"/>
      <c r="C122" s="3" t="s">
        <v>754</v>
      </c>
    </row>
    <row r="123" spans="2:6" ht="15.75" customHeight="1"/>
    <row r="124" spans="2:6" ht="15.75" customHeight="1">
      <c r="B124" s="3"/>
      <c r="C124" s="3" t="s">
        <v>973</v>
      </c>
    </row>
    <row r="125" spans="2:6" ht="15.75" customHeight="1"/>
    <row r="126" spans="2:6" ht="15.75" customHeight="1">
      <c r="B126" s="3"/>
      <c r="C126" s="3" t="s">
        <v>24</v>
      </c>
      <c r="D126" s="3" t="s">
        <v>47</v>
      </c>
      <c r="F126" s="3" t="s">
        <v>973</v>
      </c>
    </row>
    <row r="127" spans="2:6" ht="15.75" customHeight="1">
      <c r="B127" s="3"/>
      <c r="C127" s="3" t="s">
        <v>26</v>
      </c>
    </row>
    <row r="128" spans="2:6" ht="15.75" customHeight="1">
      <c r="B128" s="3"/>
      <c r="C128" s="3" t="s">
        <v>782</v>
      </c>
    </row>
    <row r="129" spans="2:6" ht="15.75" customHeight="1"/>
    <row r="130" spans="2:6" ht="15.75" customHeight="1">
      <c r="B130" s="3"/>
      <c r="C130" s="3" t="s">
        <v>53</v>
      </c>
    </row>
    <row r="131" spans="2:6" ht="15.75" customHeight="1"/>
    <row r="132" spans="2:6" ht="15.75" customHeight="1">
      <c r="B132" s="3"/>
      <c r="C132" s="3" t="s">
        <v>974</v>
      </c>
    </row>
    <row r="133" spans="2:6" ht="15.75" customHeight="1">
      <c r="B133" s="3"/>
      <c r="C133" s="3" t="s">
        <v>33</v>
      </c>
      <c r="D133" s="3" t="s">
        <v>66</v>
      </c>
      <c r="F133" s="3" t="s">
        <v>975</v>
      </c>
    </row>
    <row r="134" spans="2:6" ht="15.75" customHeight="1">
      <c r="B134" s="3"/>
      <c r="C134" s="3" t="s">
        <v>23</v>
      </c>
      <c r="D134" s="3" t="s">
        <v>45</v>
      </c>
      <c r="E134" s="3" t="s">
        <v>840</v>
      </c>
    </row>
    <row r="135" spans="2:6" ht="15.75" customHeight="1">
      <c r="B135" s="3"/>
      <c r="C135" s="3" t="s">
        <v>756</v>
      </c>
    </row>
    <row r="136" spans="2:6" ht="15.75" customHeight="1"/>
    <row r="137" spans="2:6" ht="15.75" customHeight="1">
      <c r="B137" s="3"/>
      <c r="C137" s="3" t="s">
        <v>973</v>
      </c>
    </row>
    <row r="138" spans="2:6" ht="15.75" customHeight="1"/>
    <row r="139" spans="2:6" ht="15.75" customHeight="1">
      <c r="B139" s="3"/>
      <c r="C139" s="3" t="s">
        <v>31</v>
      </c>
      <c r="D139" s="3" t="s">
        <v>976</v>
      </c>
      <c r="F139" s="3" t="s">
        <v>977</v>
      </c>
    </row>
    <row r="140" spans="2:6" ht="15.75" customHeight="1">
      <c r="B140" s="3"/>
      <c r="C140" s="3" t="s">
        <v>25</v>
      </c>
      <c r="D140" s="3" t="s">
        <v>47</v>
      </c>
      <c r="F140" s="3" t="s">
        <v>978</v>
      </c>
    </row>
    <row r="141" spans="2:6" ht="15.75" customHeight="1">
      <c r="B141" s="3"/>
      <c r="C141" s="3" t="s">
        <v>22</v>
      </c>
    </row>
    <row r="142" spans="2:6" ht="15.75" customHeight="1">
      <c r="B142" s="3"/>
      <c r="C142" s="3" t="s">
        <v>45</v>
      </c>
    </row>
    <row r="143" spans="2:6" ht="15.75" customHeight="1"/>
    <row r="144" spans="2:6" ht="15.75" customHeight="1">
      <c r="B144" s="3"/>
      <c r="C144" s="3" t="s">
        <v>46</v>
      </c>
    </row>
    <row r="145" spans="2:3" ht="15.75" customHeight="1"/>
    <row r="146" spans="2:3" ht="15.75" customHeight="1">
      <c r="B146" s="3"/>
      <c r="C146" s="3" t="s">
        <v>49</v>
      </c>
    </row>
    <row r="147" spans="2:3" ht="15.75" customHeight="1"/>
    <row r="148" spans="2:3" ht="15.75" customHeight="1">
      <c r="B148" s="3"/>
      <c r="C148" s="3" t="s">
        <v>979</v>
      </c>
    </row>
    <row r="149" spans="2:3" ht="15.75" customHeight="1"/>
    <row r="150" spans="2:3" ht="15.75" customHeight="1">
      <c r="B150" s="3"/>
      <c r="C150" s="3" t="s">
        <v>840</v>
      </c>
    </row>
    <row r="151" spans="2:3" ht="15.75" customHeight="1">
      <c r="B151" s="3"/>
      <c r="C151" s="3" t="s">
        <v>754</v>
      </c>
    </row>
    <row r="152" spans="2:3" ht="15.75" customHeight="1"/>
    <row r="153" spans="2:3" ht="15.75" customHeight="1">
      <c r="B153" s="3"/>
      <c r="C153" s="3" t="s">
        <v>755</v>
      </c>
    </row>
    <row r="154" spans="2:3" ht="15.75" customHeight="1"/>
    <row r="155" spans="2:3" ht="15.75" customHeight="1">
      <c r="B155" s="3"/>
      <c r="C155" s="3" t="s">
        <v>980</v>
      </c>
    </row>
    <row r="156" spans="2:3" ht="15.75" customHeight="1"/>
    <row r="157" spans="2:3" ht="15.75" customHeight="1">
      <c r="B157" s="3"/>
      <c r="C157" s="3" t="s">
        <v>113</v>
      </c>
    </row>
    <row r="158" spans="2:3" ht="15.75" customHeight="1"/>
    <row r="159" spans="2:3" ht="15.75" customHeight="1">
      <c r="B159" s="3"/>
      <c r="C159" s="3" t="s">
        <v>126</v>
      </c>
    </row>
    <row r="160" spans="2:3" ht="15.75" customHeight="1"/>
    <row r="161" spans="2:6" ht="15.75" customHeight="1">
      <c r="B161" s="3"/>
      <c r="C161" s="3" t="s">
        <v>973</v>
      </c>
    </row>
    <row r="162" spans="2:6" ht="15.75" customHeight="1"/>
    <row r="163" spans="2:6" ht="15.75" customHeight="1">
      <c r="B163" s="3"/>
      <c r="C163" s="3" t="s">
        <v>30</v>
      </c>
      <c r="D163" s="3" t="s">
        <v>54</v>
      </c>
      <c r="F163" s="3" t="s">
        <v>977</v>
      </c>
    </row>
    <row r="164" spans="2:6" ht="15.75" customHeight="1">
      <c r="B164" s="3"/>
      <c r="C164" s="3" t="s">
        <v>27</v>
      </c>
    </row>
    <row r="165" spans="2:6" ht="15.75" customHeight="1">
      <c r="B165" s="3"/>
      <c r="C165" s="3" t="s">
        <v>49</v>
      </c>
    </row>
    <row r="166" spans="2:6" ht="15.75" customHeight="1"/>
    <row r="167" spans="2:6" ht="15.75" customHeight="1">
      <c r="B167" s="3"/>
      <c r="C167" s="3" t="s">
        <v>57</v>
      </c>
    </row>
    <row r="168" spans="2:6" ht="15.75" customHeight="1"/>
    <row r="169" spans="2:6" ht="15.75" customHeight="1">
      <c r="B169" s="3"/>
      <c r="C169" s="3" t="s">
        <v>972</v>
      </c>
    </row>
    <row r="170" spans="2:6" ht="15.75" customHeight="1">
      <c r="B170" s="3"/>
      <c r="C170" s="3" t="s">
        <v>34</v>
      </c>
      <c r="D170" s="3" t="s">
        <v>67</v>
      </c>
      <c r="F170" s="3" t="s">
        <v>975</v>
      </c>
    </row>
    <row r="171" spans="2:6" ht="15.75" customHeight="1">
      <c r="B171" s="3"/>
      <c r="C171" s="3" t="s">
        <v>32</v>
      </c>
      <c r="D171" s="3" t="s">
        <v>65</v>
      </c>
      <c r="F171" s="3" t="s">
        <v>975</v>
      </c>
    </row>
    <row r="172" spans="2:6" ht="15.75" customHeight="1">
      <c r="B172" s="3"/>
      <c r="C172" s="3" t="s">
        <v>17</v>
      </c>
      <c r="D172" s="3" t="s">
        <v>969</v>
      </c>
      <c r="E172" s="3" t="s">
        <v>970</v>
      </c>
      <c r="F172" s="3" t="s">
        <v>971</v>
      </c>
    </row>
    <row r="173" spans="2:6" ht="15.75" customHeight="1">
      <c r="B173" s="3"/>
      <c r="C173" s="3" t="s">
        <v>52</v>
      </c>
    </row>
    <row r="174" spans="2:6" ht="15.75" customHeight="1">
      <c r="B174" s="3"/>
      <c r="C174" s="3" t="s">
        <v>981</v>
      </c>
    </row>
    <row r="175" spans="2:6" ht="15.75" customHeight="1"/>
    <row r="176" spans="2:6" ht="15.75" customHeight="1">
      <c r="B176" s="3"/>
      <c r="C176" s="3" t="s">
        <v>982</v>
      </c>
    </row>
    <row r="177" spans="2:3" ht="15.75" customHeight="1"/>
    <row r="178" spans="2:3" ht="15.75" customHeight="1">
      <c r="B178" s="3"/>
      <c r="C178" s="3" t="s">
        <v>55</v>
      </c>
    </row>
    <row r="179" spans="2:3" ht="15.75" customHeight="1"/>
    <row r="180" spans="2:3" ht="15.75" customHeight="1">
      <c r="B180" s="3"/>
      <c r="C180" s="3" t="s">
        <v>56</v>
      </c>
    </row>
    <row r="181" spans="2:3" ht="15.75" customHeight="1"/>
    <row r="182" spans="2:3" ht="15.75" customHeight="1">
      <c r="B182" s="3"/>
      <c r="C182" s="3" t="s">
        <v>983</v>
      </c>
    </row>
    <row r="183" spans="2:3" ht="15.75" customHeight="1">
      <c r="B183" s="3"/>
      <c r="C183" s="3" t="s">
        <v>766</v>
      </c>
    </row>
    <row r="184" spans="2:3" ht="15.75" customHeight="1"/>
    <row r="185" spans="2:3" ht="15.75" customHeight="1">
      <c r="B185" s="3"/>
      <c r="C185" s="3" t="s">
        <v>761</v>
      </c>
    </row>
    <row r="186" spans="2:3" ht="15.75" customHeight="1"/>
    <row r="187" spans="2:3" ht="15.75" customHeight="1">
      <c r="B187" s="3"/>
      <c r="C187" s="3" t="s">
        <v>984</v>
      </c>
    </row>
    <row r="188" spans="2:3" ht="15.75" customHeight="1"/>
    <row r="189" spans="2:3" ht="15.75" customHeight="1">
      <c r="B189" s="3"/>
      <c r="C189" s="3" t="s">
        <v>977</v>
      </c>
    </row>
    <row r="190" spans="2:3" ht="15.75" customHeight="1"/>
    <row r="191" spans="2:3" ht="15.75" customHeight="1">
      <c r="B191" s="3"/>
      <c r="C191" s="3" t="s">
        <v>55</v>
      </c>
    </row>
    <row r="192" spans="2:3" ht="15.75" customHeight="1">
      <c r="B192" s="3"/>
      <c r="C192" s="3" t="s">
        <v>763</v>
      </c>
    </row>
    <row r="193" spans="2:3" ht="15.75" customHeight="1"/>
    <row r="194" spans="2:3" ht="15.75" customHeight="1">
      <c r="B194" s="3"/>
      <c r="C194" s="3" t="s">
        <v>985</v>
      </c>
    </row>
    <row r="195" spans="2:3" ht="15.75" customHeight="1"/>
    <row r="196" spans="2:3" ht="15.75" customHeight="1">
      <c r="B196" s="3"/>
      <c r="C196" s="3" t="s">
        <v>986</v>
      </c>
    </row>
    <row r="197" spans="2:3" ht="15.75" customHeight="1"/>
    <row r="198" spans="2:3" ht="15.75" customHeight="1">
      <c r="B198" s="3"/>
      <c r="C198" s="3" t="s">
        <v>987</v>
      </c>
    </row>
    <row r="199" spans="2:3" ht="15.75" customHeight="1"/>
    <row r="200" spans="2:3" ht="15.75" customHeight="1">
      <c r="B200" s="3"/>
      <c r="C200" s="3" t="s">
        <v>988</v>
      </c>
    </row>
    <row r="201" spans="2:3" ht="15.75" customHeight="1"/>
    <row r="202" spans="2:3" ht="15.75" customHeight="1">
      <c r="B202" s="3"/>
      <c r="C202" s="3" t="s">
        <v>56</v>
      </c>
    </row>
    <row r="203" spans="2:3" ht="15.75" customHeight="1"/>
    <row r="204" spans="2:3" ht="15.75" customHeight="1">
      <c r="B204" s="3"/>
      <c r="C204" s="3" t="s">
        <v>989</v>
      </c>
    </row>
    <row r="205" spans="2:3" ht="15.75" customHeight="1">
      <c r="B205" s="3"/>
      <c r="C205" s="3" t="s">
        <v>44</v>
      </c>
    </row>
    <row r="206" spans="2:3" ht="15.75" customHeight="1">
      <c r="B206" s="3"/>
      <c r="C206" s="3" t="s">
        <v>752</v>
      </c>
    </row>
    <row r="207" spans="2:3" ht="15.75" customHeight="1"/>
    <row r="208" spans="2:3" ht="15.75" customHeight="1">
      <c r="B208" s="3"/>
      <c r="C208" s="3" t="s">
        <v>990</v>
      </c>
    </row>
    <row r="209" spans="2:3" ht="15.75" customHeight="1"/>
    <row r="210" spans="2:3" ht="15.75" customHeight="1">
      <c r="B210" s="3"/>
      <c r="C210" s="3" t="s">
        <v>764</v>
      </c>
    </row>
    <row r="211" spans="2:3" ht="15.75" customHeight="1"/>
    <row r="212" spans="2:3" ht="15.75" customHeight="1">
      <c r="B212" s="3"/>
      <c r="C212" s="3" t="s">
        <v>754</v>
      </c>
    </row>
    <row r="213" spans="2:3" ht="15.75" customHeight="1"/>
    <row r="214" spans="2:3" ht="15.75" customHeight="1">
      <c r="B214" s="3"/>
      <c r="C214" s="3" t="s">
        <v>755</v>
      </c>
    </row>
    <row r="215" spans="2:3" ht="15.75" customHeight="1"/>
    <row r="216" spans="2:3" ht="15.75" customHeight="1">
      <c r="B216" s="3"/>
      <c r="C216" s="3" t="s">
        <v>980</v>
      </c>
    </row>
    <row r="217" spans="2:3" ht="15.75" customHeight="1"/>
    <row r="218" spans="2:3" ht="15.75" customHeight="1">
      <c r="B218" s="3"/>
      <c r="C218" s="3" t="s">
        <v>113</v>
      </c>
    </row>
    <row r="219" spans="2:3" ht="15.75" customHeight="1"/>
    <row r="220" spans="2:3" ht="15.75" customHeight="1">
      <c r="B220" s="3"/>
      <c r="C220" s="3" t="s">
        <v>130</v>
      </c>
    </row>
    <row r="221" spans="2:3" ht="15.75" customHeight="1"/>
    <row r="222" spans="2:3" ht="15.75" customHeight="1">
      <c r="B222" s="3"/>
      <c r="C222" s="3" t="s">
        <v>126</v>
      </c>
    </row>
    <row r="223" spans="2:3" ht="15.75" customHeight="1"/>
    <row r="224" spans="2:3" ht="15.75" customHeight="1">
      <c r="B224" s="3"/>
      <c r="C224" s="3" t="s">
        <v>991</v>
      </c>
    </row>
    <row r="225" spans="2:3" ht="15.75" customHeight="1"/>
    <row r="226" spans="2:3" ht="15.75" customHeight="1">
      <c r="B226" s="3"/>
      <c r="C226" s="3" t="s">
        <v>978</v>
      </c>
    </row>
    <row r="227" spans="2:3" ht="15.75" customHeight="1"/>
    <row r="228" spans="2:3" ht="15.75" customHeight="1">
      <c r="B228" s="3"/>
      <c r="C228" s="3" t="s">
        <v>45</v>
      </c>
    </row>
    <row r="229" spans="2:3" ht="15.75" customHeight="1">
      <c r="B229" s="3"/>
      <c r="C229" s="3" t="s">
        <v>754</v>
      </c>
    </row>
    <row r="230" spans="2:3" ht="15.75" customHeight="1"/>
    <row r="231" spans="2:3" ht="15.75" customHeight="1">
      <c r="B231" s="3"/>
      <c r="C231" s="3" t="s">
        <v>992</v>
      </c>
    </row>
    <row r="232" spans="2:3" ht="15.75" customHeight="1"/>
    <row r="233" spans="2:3" ht="15.75" customHeight="1">
      <c r="B233" s="3"/>
      <c r="C233" s="3" t="s">
        <v>993</v>
      </c>
    </row>
    <row r="234" spans="2:3" ht="15.75" customHeight="1"/>
    <row r="235" spans="2:3" ht="15.75" customHeight="1">
      <c r="B235" s="3"/>
      <c r="C235" s="3" t="s">
        <v>760</v>
      </c>
    </row>
    <row r="236" spans="2:3" ht="15.75" customHeight="1"/>
    <row r="237" spans="2:3" ht="15.75" customHeight="1">
      <c r="B237" s="3"/>
      <c r="C237" s="3" t="s">
        <v>764</v>
      </c>
    </row>
    <row r="238" spans="2:3" ht="15.75" customHeight="1"/>
    <row r="239" spans="2:3" ht="15.75" customHeight="1">
      <c r="B239" s="3"/>
      <c r="C239" s="3" t="s">
        <v>763</v>
      </c>
    </row>
    <row r="240" spans="2:3" ht="15.75" customHeight="1"/>
    <row r="241" spans="2:3" ht="15.75" customHeight="1">
      <c r="B241" s="3"/>
      <c r="C241" s="3" t="s">
        <v>758</v>
      </c>
    </row>
    <row r="242" spans="2:3" ht="15.75" customHeight="1"/>
    <row r="243" spans="2:3" ht="15.75" customHeight="1">
      <c r="B243" s="3"/>
      <c r="C243" s="3" t="s">
        <v>766</v>
      </c>
    </row>
    <row r="244" spans="2:3" ht="15.75" customHeight="1"/>
    <row r="245" spans="2:3" ht="15.75" customHeight="1">
      <c r="B245" s="3"/>
      <c r="C245" s="3" t="s">
        <v>755</v>
      </c>
    </row>
    <row r="246" spans="2:3" ht="15.75" customHeight="1"/>
    <row r="247" spans="2:3" ht="15.75" customHeight="1">
      <c r="B247" s="3"/>
      <c r="C247" s="3" t="s">
        <v>980</v>
      </c>
    </row>
    <row r="248" spans="2:3" ht="15.75" customHeight="1"/>
    <row r="249" spans="2:3" ht="15.75" customHeight="1">
      <c r="B249" s="3"/>
      <c r="C249" s="3" t="s">
        <v>759</v>
      </c>
    </row>
    <row r="250" spans="2:3" ht="15.75" customHeight="1"/>
    <row r="251" spans="2:3" ht="15.75" customHeight="1">
      <c r="B251" s="3"/>
      <c r="C251" s="3" t="s">
        <v>113</v>
      </c>
    </row>
    <row r="252" spans="2:3" ht="15.75" customHeight="1"/>
    <row r="253" spans="2:3" ht="15.75" customHeight="1">
      <c r="B253" s="3"/>
      <c r="C253" s="3" t="s">
        <v>762</v>
      </c>
    </row>
    <row r="254" spans="2:3" ht="15.75" customHeight="1"/>
    <row r="255" spans="2:3" ht="15.75" customHeight="1">
      <c r="B255" s="3"/>
      <c r="C255" s="3" t="s">
        <v>756</v>
      </c>
    </row>
    <row r="256" spans="2:3" ht="15.75" customHeight="1"/>
    <row r="257" spans="2:3" ht="15.75" customHeight="1">
      <c r="B257" s="3"/>
      <c r="C257" s="3" t="s">
        <v>761</v>
      </c>
    </row>
    <row r="258" spans="2:3" ht="15.75" customHeight="1"/>
    <row r="259" spans="2:3" ht="15.75" customHeight="1">
      <c r="B259" s="3"/>
      <c r="C259" s="3" t="s">
        <v>765</v>
      </c>
    </row>
    <row r="260" spans="2:3" ht="15.75" customHeight="1"/>
    <row r="261" spans="2:3" ht="15.75" customHeight="1">
      <c r="B261" s="3"/>
      <c r="C261" s="3" t="s">
        <v>769</v>
      </c>
    </row>
    <row r="262" spans="2:3" ht="15.75" customHeight="1"/>
    <row r="263" spans="2:3" ht="15.75" customHeight="1">
      <c r="B263" s="3"/>
      <c r="C263" s="3" t="s">
        <v>767</v>
      </c>
    </row>
    <row r="264" spans="2:3" ht="15.75" customHeight="1"/>
    <row r="265" spans="2:3" ht="15.75" customHeight="1">
      <c r="B265" s="3"/>
      <c r="C265" s="3" t="s">
        <v>107</v>
      </c>
    </row>
    <row r="266" spans="2:3" ht="15.75" customHeight="1"/>
    <row r="267" spans="2:3" ht="15.75" customHeight="1">
      <c r="B267" s="3"/>
      <c r="C267" s="3" t="s">
        <v>991</v>
      </c>
    </row>
    <row r="268" spans="2:3" ht="15.75" customHeight="1"/>
    <row r="269" spans="2:3" ht="15.75" customHeight="1">
      <c r="B269" s="3"/>
      <c r="C269" s="3" t="s">
        <v>978</v>
      </c>
    </row>
    <row r="270" spans="2:3" ht="15.75" customHeight="1"/>
    <row r="271" spans="2:3" ht="15.75" customHeight="1">
      <c r="B271" s="3"/>
      <c r="C271" s="3" t="s">
        <v>50</v>
      </c>
    </row>
    <row r="272" spans="2:3" ht="15.75" customHeight="1">
      <c r="B272" s="3"/>
      <c r="C272" s="3" t="s">
        <v>758</v>
      </c>
    </row>
    <row r="273" spans="2:3" ht="15.75" customHeight="1"/>
    <row r="274" spans="2:3" ht="15.75" customHeight="1">
      <c r="B274" s="3"/>
      <c r="C274" s="3" t="s">
        <v>994</v>
      </c>
    </row>
    <row r="275" spans="2:3" ht="15.75" customHeight="1"/>
    <row r="276" spans="2:3" ht="15.75" customHeight="1">
      <c r="B276" s="3"/>
      <c r="C276" s="3" t="s">
        <v>61</v>
      </c>
    </row>
    <row r="277" spans="2:3" ht="15.75" customHeight="1"/>
    <row r="278" spans="2:3" ht="15.75" customHeight="1">
      <c r="B278" s="3"/>
      <c r="C278" s="3" t="s">
        <v>979</v>
      </c>
    </row>
    <row r="279" spans="2:3" ht="15.75" customHeight="1"/>
    <row r="280" spans="2:3" ht="15.75" customHeight="1">
      <c r="B280" s="3"/>
      <c r="C280" s="3" t="s">
        <v>995</v>
      </c>
    </row>
    <row r="281" spans="2:3" ht="15.75" customHeight="1"/>
    <row r="282" spans="2:3" ht="15.75" customHeight="1">
      <c r="B282" s="3"/>
      <c r="C282" s="3" t="s">
        <v>983</v>
      </c>
    </row>
    <row r="283" spans="2:3" ht="15.75" customHeight="1"/>
    <row r="284" spans="2:3" ht="15.75" customHeight="1">
      <c r="B284" s="3"/>
      <c r="C284" s="3" t="s">
        <v>759</v>
      </c>
    </row>
    <row r="285" spans="2:3" ht="15.75" customHeight="1"/>
    <row r="286" spans="2:3" ht="15.75" customHeight="1">
      <c r="B286" s="3"/>
      <c r="C286" s="3" t="s">
        <v>996</v>
      </c>
    </row>
    <row r="287" spans="2:3" ht="15.75" customHeight="1"/>
    <row r="288" spans="2:3" ht="15.75" customHeight="1">
      <c r="B288" s="3"/>
      <c r="C288" s="3" t="s">
        <v>61</v>
      </c>
    </row>
    <row r="289" spans="2:3" ht="15.75" customHeight="1">
      <c r="B289" s="3"/>
      <c r="C289" s="3" t="s">
        <v>766</v>
      </c>
    </row>
    <row r="290" spans="2:3" ht="15.75" customHeight="1"/>
    <row r="291" spans="2:3" ht="15.75" customHeight="1">
      <c r="B291" s="3"/>
      <c r="C291" s="3" t="s">
        <v>997</v>
      </c>
    </row>
    <row r="292" spans="2:3" ht="15.75" customHeight="1"/>
    <row r="293" spans="2:3" ht="15.75" customHeight="1">
      <c r="B293" s="3"/>
      <c r="C293" s="3" t="s">
        <v>986</v>
      </c>
    </row>
    <row r="294" spans="2:3" ht="15.75" customHeight="1"/>
    <row r="295" spans="2:3" ht="15.75" customHeight="1">
      <c r="B295" s="3"/>
      <c r="C295" s="3" t="s">
        <v>998</v>
      </c>
    </row>
    <row r="296" spans="2:3" ht="15.75" customHeight="1"/>
    <row r="297" spans="2:3" ht="15.75" customHeight="1">
      <c r="B297" s="3"/>
      <c r="C297" s="3" t="s">
        <v>999</v>
      </c>
    </row>
    <row r="298" spans="2:3" ht="15.75" customHeight="1"/>
    <row r="299" spans="2:3" ht="15.75" customHeight="1">
      <c r="B299" s="3"/>
      <c r="C299" s="3" t="s">
        <v>988</v>
      </c>
    </row>
    <row r="300" spans="2:3" ht="15.75" customHeight="1"/>
    <row r="301" spans="2:3" ht="15.75" customHeight="1">
      <c r="B301" s="3"/>
      <c r="C301" s="3" t="s">
        <v>1000</v>
      </c>
    </row>
    <row r="302" spans="2:3" ht="15.75" customHeight="1"/>
    <row r="303" spans="2:3" ht="15.75" customHeight="1">
      <c r="B303" s="3"/>
      <c r="C303" s="3" t="s">
        <v>818</v>
      </c>
    </row>
    <row r="304" spans="2:3" ht="15.75" customHeight="1"/>
    <row r="305" spans="2:3" ht="15.75" customHeight="1">
      <c r="B305" s="3"/>
      <c r="C305" s="3" t="s">
        <v>1001</v>
      </c>
    </row>
    <row r="306" spans="2:3" ht="15.75" customHeight="1"/>
    <row r="307" spans="2:3" ht="15.75" customHeight="1">
      <c r="B307" s="3"/>
      <c r="C307" s="3" t="s">
        <v>820</v>
      </c>
    </row>
    <row r="308" spans="2:3" ht="15.75" customHeight="1"/>
    <row r="309" spans="2:3" ht="15.75" customHeight="1">
      <c r="B309" s="3"/>
      <c r="C309" s="3" t="s">
        <v>1002</v>
      </c>
    </row>
    <row r="310" spans="2:3" ht="15.75" customHeight="1">
      <c r="B310" s="3"/>
      <c r="C310" s="3" t="s">
        <v>64</v>
      </c>
    </row>
    <row r="311" spans="2:3" ht="15.75" customHeight="1"/>
    <row r="312" spans="2:3" ht="15.75" customHeight="1">
      <c r="B312" s="3"/>
      <c r="C312" s="3" t="s">
        <v>1003</v>
      </c>
    </row>
    <row r="313" spans="2:3" ht="15.75" customHeight="1"/>
    <row r="314" spans="2:3" ht="15.75" customHeight="1">
      <c r="B314" s="3"/>
      <c r="C314" s="3" t="s">
        <v>46</v>
      </c>
    </row>
    <row r="315" spans="2:3" ht="15.75" customHeight="1">
      <c r="B315" s="3"/>
      <c r="C315" s="3" t="s">
        <v>755</v>
      </c>
    </row>
    <row r="316" spans="2:3" ht="15.75" customHeight="1"/>
    <row r="317" spans="2:3" ht="15.75" customHeight="1">
      <c r="B317" s="3"/>
      <c r="C317" s="3" t="s">
        <v>993</v>
      </c>
    </row>
    <row r="318" spans="2:3" ht="15.75" customHeight="1"/>
    <row r="319" spans="2:3" ht="15.75" customHeight="1">
      <c r="B319" s="3"/>
      <c r="C319" s="3" t="s">
        <v>978</v>
      </c>
    </row>
    <row r="320" spans="2:3" ht="15.75" customHeight="1">
      <c r="B320" s="3"/>
      <c r="C320" s="3" t="s">
        <v>782</v>
      </c>
    </row>
    <row r="321" spans="2:3" ht="15.75" customHeight="1">
      <c r="B321" s="3"/>
      <c r="C321" s="3" t="s">
        <v>756</v>
      </c>
    </row>
    <row r="322" spans="2:3" ht="15.75" customHeight="1"/>
    <row r="323" spans="2:3" ht="15.75" customHeight="1">
      <c r="B323" s="3"/>
      <c r="C323" s="3" t="s">
        <v>1004</v>
      </c>
    </row>
    <row r="324" spans="2:3" ht="15.75" customHeight="1"/>
    <row r="325" spans="2:3" ht="15.75" customHeight="1">
      <c r="B325" s="3"/>
      <c r="C325" s="3" t="s">
        <v>49</v>
      </c>
    </row>
    <row r="326" spans="2:3" ht="15.75" customHeight="1"/>
    <row r="327" spans="2:3" ht="15.75" customHeight="1">
      <c r="B327" s="3"/>
      <c r="C327" s="3" t="s">
        <v>57</v>
      </c>
    </row>
    <row r="328" spans="2:3" ht="15.75" customHeight="1"/>
    <row r="329" spans="2:3" ht="15.75" customHeight="1">
      <c r="B329" s="3"/>
      <c r="C329" s="3" t="s">
        <v>1002</v>
      </c>
    </row>
    <row r="330" spans="2:3" ht="15.75" customHeight="1"/>
    <row r="331" spans="2:3" ht="15.75" customHeight="1">
      <c r="B331" s="3"/>
      <c r="C331" s="3" t="s">
        <v>974</v>
      </c>
    </row>
    <row r="332" spans="2:3" ht="15.75" customHeight="1"/>
    <row r="333" spans="2:3" ht="15.75" customHeight="1">
      <c r="B333" s="3"/>
      <c r="C333" s="3" t="s">
        <v>996</v>
      </c>
    </row>
    <row r="334" spans="2:3" ht="15.75" customHeight="1">
      <c r="B334" s="3"/>
      <c r="C334" s="3" t="s">
        <v>49</v>
      </c>
    </row>
    <row r="335" spans="2:3" ht="15.75" customHeight="1">
      <c r="B335" s="3"/>
      <c r="C335" s="3" t="s">
        <v>980</v>
      </c>
    </row>
    <row r="336" spans="2:3" ht="15.75" customHeight="1"/>
    <row r="337" spans="2:3" ht="15.75" customHeight="1">
      <c r="B337" s="3"/>
      <c r="C337" s="3" t="s">
        <v>1005</v>
      </c>
    </row>
    <row r="338" spans="2:3" ht="15.75" customHeight="1"/>
    <row r="339" spans="2:3" ht="15.75" customHeight="1">
      <c r="B339" s="3"/>
      <c r="C339" s="3" t="s">
        <v>1006</v>
      </c>
    </row>
    <row r="340" spans="2:3" ht="15.75" customHeight="1"/>
    <row r="341" spans="2:3" ht="15.75" customHeight="1">
      <c r="B341" s="3"/>
      <c r="C341" s="3" t="s">
        <v>993</v>
      </c>
    </row>
    <row r="342" spans="2:3" ht="15.75" customHeight="1"/>
    <row r="343" spans="2:3" ht="15.75" customHeight="1">
      <c r="B343" s="3"/>
      <c r="C343" s="3" t="s">
        <v>1007</v>
      </c>
    </row>
    <row r="344" spans="2:3" ht="15.75" customHeight="1">
      <c r="B344" s="3"/>
      <c r="C344" s="3" t="s">
        <v>760</v>
      </c>
    </row>
    <row r="345" spans="2:3" ht="15.75" customHeight="1"/>
    <row r="346" spans="2:3" ht="15.75" customHeight="1">
      <c r="B346" s="3"/>
      <c r="C346" s="3" t="s">
        <v>764</v>
      </c>
    </row>
    <row r="347" spans="2:3" ht="15.75" customHeight="1"/>
    <row r="348" spans="2:3" ht="15.75" customHeight="1">
      <c r="B348" s="3"/>
      <c r="C348" s="3" t="s">
        <v>763</v>
      </c>
    </row>
    <row r="349" spans="2:3" ht="15.75" customHeight="1"/>
    <row r="350" spans="2:3" ht="15.75" customHeight="1">
      <c r="B350" s="3"/>
      <c r="C350" s="3" t="s">
        <v>758</v>
      </c>
    </row>
    <row r="351" spans="2:3" ht="15.75" customHeight="1"/>
    <row r="352" spans="2:3" ht="15.75" customHeight="1">
      <c r="B352" s="3"/>
      <c r="C352" s="3" t="s">
        <v>766</v>
      </c>
    </row>
    <row r="353" spans="2:3" ht="15.75" customHeight="1"/>
    <row r="354" spans="2:3" ht="15.75" customHeight="1">
      <c r="B354" s="3"/>
      <c r="C354" s="3" t="s">
        <v>762</v>
      </c>
    </row>
    <row r="355" spans="2:3" ht="15.75" customHeight="1"/>
    <row r="356" spans="2:3" ht="15.75" customHeight="1">
      <c r="B356" s="3"/>
      <c r="C356" s="3" t="s">
        <v>765</v>
      </c>
    </row>
    <row r="357" spans="2:3" ht="15.75" customHeight="1"/>
    <row r="358" spans="2:3" ht="15.75" customHeight="1">
      <c r="B358" s="3"/>
      <c r="C358" s="3" t="s">
        <v>769</v>
      </c>
    </row>
    <row r="359" spans="2:3" ht="15.75" customHeight="1"/>
    <row r="360" spans="2:3" ht="15.75" customHeight="1">
      <c r="B360" s="3"/>
      <c r="C360" s="3" t="s">
        <v>767</v>
      </c>
    </row>
    <row r="361" spans="2:3" ht="15.75" customHeight="1"/>
    <row r="362" spans="2:3" ht="15.75" customHeight="1">
      <c r="B362" s="3"/>
      <c r="C362" s="3" t="s">
        <v>984</v>
      </c>
    </row>
    <row r="363" spans="2:3" ht="15.75" customHeight="1"/>
    <row r="364" spans="2:3" ht="15.75" customHeight="1">
      <c r="B364" s="3"/>
      <c r="C364" s="3" t="s">
        <v>989</v>
      </c>
    </row>
    <row r="365" spans="2:3" ht="15.75" customHeight="1"/>
    <row r="366" spans="2:3" ht="15.75" customHeight="1">
      <c r="B366" s="3"/>
      <c r="C366" s="3" t="s">
        <v>1008</v>
      </c>
    </row>
    <row r="367" spans="2:3" ht="15.75" customHeight="1"/>
    <row r="368" spans="2:3" ht="15.75" customHeight="1">
      <c r="B368" s="3"/>
      <c r="C368" s="3" t="s">
        <v>66</v>
      </c>
    </row>
    <row r="369" spans="2:3" ht="15.75" customHeight="1">
      <c r="B369" s="3"/>
      <c r="C369" s="3" t="s">
        <v>770</v>
      </c>
    </row>
    <row r="370" spans="2:3" ht="15.75" customHeight="1"/>
    <row r="371" spans="2:3" ht="15.75" customHeight="1">
      <c r="B371" s="3"/>
      <c r="C371" s="3" t="s">
        <v>1009</v>
      </c>
    </row>
    <row r="372" spans="2:3" ht="15.75" customHeight="1"/>
    <row r="373" spans="2:3" ht="15.75" customHeight="1">
      <c r="B373" s="3"/>
      <c r="C373" s="3" t="s">
        <v>67</v>
      </c>
    </row>
    <row r="374" spans="2:3" ht="15.75" customHeight="1"/>
    <row r="375" spans="2:3" ht="15.75" customHeight="1">
      <c r="B375" s="3"/>
      <c r="C375" s="3" t="s">
        <v>1000</v>
      </c>
    </row>
    <row r="376" spans="2:3" ht="15.75" customHeight="1"/>
    <row r="377" spans="2:3" ht="15.75" customHeight="1">
      <c r="B377" s="3"/>
      <c r="C377" s="3" t="s">
        <v>1003</v>
      </c>
    </row>
    <row r="378" spans="2:3" ht="15.75" customHeight="1">
      <c r="B378" s="3"/>
      <c r="C378" s="3" t="s">
        <v>51</v>
      </c>
    </row>
    <row r="379" spans="2:3" ht="15.75" customHeight="1">
      <c r="B379" s="3"/>
      <c r="C379" s="3" t="s">
        <v>759</v>
      </c>
    </row>
    <row r="380" spans="2:3" ht="15.75" customHeight="1"/>
    <row r="381" spans="2:3" ht="15.75" customHeight="1">
      <c r="B381" s="3"/>
      <c r="C381" s="3" t="s">
        <v>997</v>
      </c>
    </row>
    <row r="382" spans="2:3" ht="15.75" customHeight="1"/>
    <row r="383" spans="2:3" ht="15.75" customHeight="1">
      <c r="B383" s="3"/>
      <c r="C383" s="3" t="s">
        <v>993</v>
      </c>
    </row>
    <row r="384" spans="2:3" ht="15.75" customHeight="1"/>
    <row r="385" spans="2:4" ht="15.75" customHeight="1">
      <c r="B385" s="3"/>
      <c r="C385" s="3" t="s">
        <v>996</v>
      </c>
    </row>
    <row r="386" spans="2:4" ht="15.75" customHeight="1">
      <c r="B386" s="3"/>
      <c r="C386" s="3" t="s">
        <v>67</v>
      </c>
    </row>
    <row r="387" spans="2:4" ht="15.75" customHeight="1">
      <c r="B387" s="3"/>
      <c r="C387" s="3" t="s">
        <v>163</v>
      </c>
    </row>
    <row r="388" spans="2:4" ht="15.75" customHeight="1"/>
    <row r="389" spans="2:4" ht="15.75" customHeight="1">
      <c r="B389" s="3"/>
      <c r="C389" s="3" t="s">
        <v>1010</v>
      </c>
    </row>
    <row r="390" spans="2:4" ht="15.75" customHeight="1"/>
    <row r="391" spans="2:4" ht="15.75" customHeight="1">
      <c r="B391" s="3"/>
      <c r="C391" s="3" t="s">
        <v>1011</v>
      </c>
    </row>
    <row r="392" spans="2:4" ht="15.75" customHeight="1"/>
    <row r="393" spans="2:4" ht="15.75" customHeight="1">
      <c r="B393" s="3"/>
      <c r="C393" s="3" t="s">
        <v>1012</v>
      </c>
    </row>
    <row r="394" spans="2:4" ht="15.75" customHeight="1"/>
    <row r="395" spans="2:4" ht="15.75" customHeight="1">
      <c r="B395" s="3"/>
      <c r="C395" s="3" t="s">
        <v>1001</v>
      </c>
      <c r="D395" s="3" t="s">
        <v>1008</v>
      </c>
    </row>
    <row r="396" spans="2:4" ht="15.75" customHeight="1">
      <c r="B396" s="3"/>
      <c r="C396" s="3" t="s">
        <v>54</v>
      </c>
    </row>
    <row r="397" spans="2:4" ht="15.75" customHeight="1">
      <c r="B397" s="3"/>
      <c r="C397" s="3" t="s">
        <v>762</v>
      </c>
    </row>
    <row r="398" spans="2:4" ht="15.75" customHeight="1"/>
    <row r="399" spans="2:4" ht="15.75" customHeight="1">
      <c r="B399" s="3"/>
      <c r="C399" s="3" t="s">
        <v>1013</v>
      </c>
    </row>
    <row r="400" spans="2:4" ht="15.75" customHeight="1"/>
    <row r="401" spans="2:4" ht="15.75" customHeight="1">
      <c r="B401" s="3"/>
      <c r="C401" s="3" t="s">
        <v>55</v>
      </c>
      <c r="D401" s="3" t="s">
        <v>977</v>
      </c>
    </row>
    <row r="402" spans="2:4" ht="15.75" customHeight="1">
      <c r="B402" s="3"/>
      <c r="C402" s="3" t="s">
        <v>999</v>
      </c>
    </row>
    <row r="403" spans="2:4" ht="15.75" customHeight="1">
      <c r="B403" s="3"/>
      <c r="C403" s="3" t="s">
        <v>64</v>
      </c>
    </row>
    <row r="404" spans="2:4" ht="15.75" customHeight="1"/>
    <row r="405" spans="2:4" ht="15.75" customHeight="1">
      <c r="B405" s="3"/>
      <c r="C405" s="3" t="s">
        <v>1014</v>
      </c>
    </row>
    <row r="406" spans="2:4" ht="15.75" customHeight="1"/>
    <row r="407" spans="2:4" ht="15.75" customHeight="1">
      <c r="B407" s="3"/>
      <c r="C407" s="3" t="s">
        <v>986</v>
      </c>
    </row>
    <row r="408" spans="2:4" ht="15.75" customHeight="1"/>
    <row r="409" spans="2:4" ht="15.75" customHeight="1">
      <c r="B409" s="3"/>
      <c r="C409" s="3" t="s">
        <v>1015</v>
      </c>
    </row>
    <row r="410" spans="2:4" ht="15.75" customHeight="1"/>
    <row r="411" spans="2:4" ht="15.75" customHeight="1">
      <c r="B411" s="3"/>
      <c r="C411" s="3" t="s">
        <v>130</v>
      </c>
    </row>
    <row r="412" spans="2:4" ht="15.75" customHeight="1"/>
    <row r="413" spans="2:4" ht="15.75" customHeight="1">
      <c r="B413" s="3"/>
      <c r="C413" s="3" t="s">
        <v>1003</v>
      </c>
    </row>
    <row r="414" spans="2:4" ht="15.75" customHeight="1"/>
    <row r="415" spans="2:4" ht="15.75" customHeight="1">
      <c r="B415" s="3"/>
      <c r="C415" s="3" t="s">
        <v>53</v>
      </c>
    </row>
    <row r="416" spans="2:4" ht="15.75" customHeight="1">
      <c r="B416" s="3"/>
      <c r="C416" s="3" t="s">
        <v>1016</v>
      </c>
    </row>
    <row r="417" spans="2:3" ht="15.75" customHeight="1"/>
    <row r="418" spans="2:3" ht="15.75" customHeight="1">
      <c r="B418" s="3"/>
      <c r="C418" s="3" t="s">
        <v>1004</v>
      </c>
    </row>
    <row r="419" spans="2:3" ht="15.75" customHeight="1"/>
    <row r="420" spans="2:3" ht="15.75" customHeight="1">
      <c r="B420" s="3"/>
      <c r="C420" s="3" t="s">
        <v>55</v>
      </c>
    </row>
    <row r="421" spans="2:3" ht="15.75" customHeight="1"/>
    <row r="422" spans="2:3" ht="15.75" customHeight="1">
      <c r="B422" s="3"/>
      <c r="C422" s="3" t="s">
        <v>61</v>
      </c>
    </row>
    <row r="423" spans="2:3" ht="15.75" customHeight="1"/>
    <row r="424" spans="2:3" ht="15.75" customHeight="1">
      <c r="B424" s="3"/>
      <c r="C424" s="3" t="s">
        <v>999</v>
      </c>
    </row>
    <row r="425" spans="2:3" ht="15.75" customHeight="1"/>
    <row r="426" spans="2:3" ht="15.75" customHeight="1">
      <c r="B426" s="3"/>
      <c r="C426" s="3" t="s">
        <v>995</v>
      </c>
    </row>
    <row r="427" spans="2:3" ht="15.75" customHeight="1"/>
    <row r="428" spans="2:3" ht="15.75" customHeight="1">
      <c r="B428" s="3"/>
      <c r="C428" s="3" t="s">
        <v>1017</v>
      </c>
    </row>
    <row r="429" spans="2:3" ht="15.75" customHeight="1"/>
    <row r="430" spans="2:3" ht="15.75" customHeight="1">
      <c r="B430" s="3"/>
      <c r="C430" s="3" t="s">
        <v>1018</v>
      </c>
    </row>
    <row r="431" spans="2:3" ht="15.75" customHeight="1"/>
    <row r="432" spans="2:3" ht="15.75" customHeight="1">
      <c r="B432" s="3"/>
      <c r="C432" s="3" t="s">
        <v>64</v>
      </c>
    </row>
    <row r="433" spans="2:3" ht="15.75" customHeight="1"/>
    <row r="434" spans="2:3" ht="15.75" customHeight="1">
      <c r="B434" s="3"/>
      <c r="C434" s="3" t="s">
        <v>984</v>
      </c>
    </row>
    <row r="435" spans="2:3" ht="15.75" customHeight="1"/>
    <row r="436" spans="2:3" ht="15.75" customHeight="1">
      <c r="B436" s="3"/>
      <c r="C436" s="3" t="s">
        <v>989</v>
      </c>
    </row>
    <row r="437" spans="2:3" ht="15.75" customHeight="1"/>
    <row r="438" spans="2:3" ht="15.75" customHeight="1">
      <c r="B438" s="3"/>
      <c r="C438" s="3" t="s">
        <v>988</v>
      </c>
    </row>
    <row r="439" spans="2:3" ht="15.75" customHeight="1">
      <c r="B439" s="3"/>
      <c r="C439" s="3" t="s">
        <v>771</v>
      </c>
    </row>
    <row r="440" spans="2:3" ht="15.75" customHeight="1"/>
    <row r="441" spans="2:3" ht="15.75" customHeight="1">
      <c r="B441" s="3"/>
      <c r="C441" s="3" t="s">
        <v>1019</v>
      </c>
    </row>
    <row r="442" spans="2:3" ht="15.75" customHeight="1"/>
    <row r="443" spans="2:3" ht="15.75" customHeight="1">
      <c r="B443" s="3"/>
      <c r="C443" s="3" t="s">
        <v>1014</v>
      </c>
    </row>
    <row r="444" spans="2:3" ht="15.75" customHeight="1"/>
    <row r="445" spans="2:3" ht="15.75" customHeight="1">
      <c r="B445" s="3"/>
      <c r="C445" s="3" t="s">
        <v>1015</v>
      </c>
    </row>
    <row r="446" spans="2:3" ht="15.75" customHeight="1"/>
    <row r="447" spans="2:3" ht="15.75" customHeight="1">
      <c r="B447" s="3"/>
      <c r="C447" s="3" t="s">
        <v>57</v>
      </c>
    </row>
    <row r="448" spans="2:3" ht="15.75" customHeight="1">
      <c r="B448" s="3"/>
      <c r="C448" s="3" t="s">
        <v>765</v>
      </c>
    </row>
    <row r="449" spans="2:4" ht="15.75" customHeight="1"/>
    <row r="450" spans="2:4" ht="15.75" customHeight="1">
      <c r="B450" s="3"/>
      <c r="C450" s="3" t="s">
        <v>990</v>
      </c>
    </row>
    <row r="451" spans="2:4" ht="15.75" customHeight="1"/>
    <row r="452" spans="2:4" ht="15.75" customHeight="1">
      <c r="B452" s="3"/>
      <c r="C452" s="3" t="s">
        <v>1005</v>
      </c>
    </row>
    <row r="453" spans="2:4" ht="15.75" customHeight="1"/>
    <row r="454" spans="2:4" ht="15.75" customHeight="1">
      <c r="B454" s="3"/>
      <c r="C454" s="3" t="s">
        <v>1006</v>
      </c>
    </row>
    <row r="455" spans="2:4" ht="15.75" customHeight="1"/>
    <row r="456" spans="2:4" ht="15.75" customHeight="1">
      <c r="B456" s="3"/>
      <c r="C456" s="3" t="s">
        <v>61</v>
      </c>
      <c r="D456" s="3" t="s">
        <v>989</v>
      </c>
    </row>
    <row r="457" spans="2:4" ht="15.75" customHeight="1">
      <c r="B457" s="3"/>
      <c r="C457" s="3" t="s">
        <v>65</v>
      </c>
    </row>
    <row r="458" spans="2:4" ht="15.75" customHeight="1">
      <c r="B458" s="3"/>
      <c r="C458" s="3" t="s">
        <v>769</v>
      </c>
    </row>
    <row r="459" spans="2:4" ht="15.75" customHeight="1"/>
    <row r="460" spans="2:4" ht="15.75" customHeight="1">
      <c r="B460" s="3"/>
      <c r="C460" s="3" t="s">
        <v>1020</v>
      </c>
    </row>
    <row r="461" spans="2:4" ht="15.75" customHeight="1"/>
    <row r="462" spans="2:4" ht="15.75" customHeight="1">
      <c r="B462" s="3"/>
      <c r="C462" s="3" t="s">
        <v>67</v>
      </c>
    </row>
    <row r="463" spans="2:4" ht="15.75" customHeight="1"/>
    <row r="464" spans="2:4" ht="15.75" customHeight="1">
      <c r="B464" s="3"/>
      <c r="C464" s="3" t="s">
        <v>818</v>
      </c>
    </row>
    <row r="465" spans="2:3" ht="15.75" customHeight="1"/>
    <row r="466" spans="2:3" ht="15.75" customHeight="1">
      <c r="B466" s="3"/>
      <c r="C466" s="3" t="s">
        <v>820</v>
      </c>
    </row>
    <row r="467" spans="2:3" ht="15.75" customHeight="1"/>
    <row r="468" spans="2:3" ht="15.75" customHeight="1">
      <c r="B468" s="3"/>
      <c r="C468" s="3" t="s">
        <v>130</v>
      </c>
    </row>
    <row r="469" spans="2:3" ht="15.75" customHeight="1"/>
    <row r="470" spans="2:3" ht="15.75" customHeight="1">
      <c r="B470" s="3"/>
      <c r="C470" s="3" t="s">
        <v>1003</v>
      </c>
    </row>
    <row r="471" spans="2:3" ht="15.75" customHeight="1"/>
    <row r="472" spans="2:3" ht="15.75" customHeight="1">
      <c r="B472" s="3"/>
      <c r="C472" s="3" t="s">
        <v>47</v>
      </c>
    </row>
    <row r="473" spans="2:3" ht="15.75" customHeight="1">
      <c r="B473" s="3"/>
      <c r="C473" s="3" t="s">
        <v>113</v>
      </c>
    </row>
    <row r="474" spans="2:3" ht="15.75" customHeight="1"/>
    <row r="475" spans="2:3" ht="15.75" customHeight="1">
      <c r="B475" s="3"/>
      <c r="C475" s="3" t="s">
        <v>1021</v>
      </c>
    </row>
    <row r="476" spans="2:3" ht="15.75" customHeight="1"/>
    <row r="477" spans="2:3" ht="15.75" customHeight="1">
      <c r="B477" s="3"/>
      <c r="C477" s="3" t="s">
        <v>1022</v>
      </c>
    </row>
    <row r="478" spans="2:3" ht="15.75" customHeight="1"/>
    <row r="479" spans="2:3" ht="15.75" customHeight="1">
      <c r="B479" s="3"/>
      <c r="C479" s="3" t="s">
        <v>56</v>
      </c>
    </row>
    <row r="480" spans="2:3" ht="15.75" customHeight="1"/>
    <row r="481" spans="2:3" ht="15.75" customHeight="1">
      <c r="B481" s="3"/>
      <c r="C481" s="3" t="s">
        <v>1023</v>
      </c>
    </row>
    <row r="482" spans="2:3" ht="15.75" customHeight="1"/>
    <row r="483" spans="2:3" ht="15.75" customHeight="1">
      <c r="B483" s="3"/>
      <c r="C483" s="3" t="s">
        <v>1024</v>
      </c>
    </row>
    <row r="484" spans="2:3" ht="15.75" customHeight="1"/>
    <row r="485" spans="2:3" ht="15.75" customHeight="1">
      <c r="B485" s="3"/>
      <c r="C485" s="3" t="s">
        <v>1017</v>
      </c>
    </row>
    <row r="486" spans="2:3" ht="15.75" customHeight="1"/>
    <row r="487" spans="2:3" ht="15.75" customHeight="1">
      <c r="B487" s="3"/>
      <c r="C487" s="3" t="s">
        <v>983</v>
      </c>
    </row>
    <row r="488" spans="2:3" ht="15.75" customHeight="1"/>
    <row r="489" spans="2:3" ht="15.75" customHeight="1">
      <c r="B489" s="3"/>
      <c r="C489" s="3" t="s">
        <v>760</v>
      </c>
    </row>
    <row r="490" spans="2:3" ht="15.75" customHeight="1"/>
    <row r="491" spans="2:3" ht="15.75" customHeight="1">
      <c r="B491" s="3"/>
      <c r="C491" s="3" t="s">
        <v>763</v>
      </c>
    </row>
    <row r="492" spans="2:3" ht="15.75" customHeight="1"/>
    <row r="493" spans="2:3" ht="15.75" customHeight="1">
      <c r="B493" s="3"/>
      <c r="C493" s="3" t="s">
        <v>758</v>
      </c>
    </row>
    <row r="494" spans="2:3" ht="15.75" customHeight="1"/>
    <row r="495" spans="2:3" ht="15.75" customHeight="1">
      <c r="B495" s="3"/>
      <c r="C495" s="3" t="s">
        <v>759</v>
      </c>
    </row>
    <row r="496" spans="2:3" ht="15.75" customHeight="1"/>
    <row r="497" spans="2:3" ht="15.75" customHeight="1">
      <c r="B497" s="3"/>
      <c r="C497" s="3" t="s">
        <v>762</v>
      </c>
    </row>
    <row r="498" spans="2:3" ht="15.75" customHeight="1"/>
    <row r="499" spans="2:3" ht="15.75" customHeight="1">
      <c r="B499" s="3"/>
      <c r="C499" s="3" t="s">
        <v>756</v>
      </c>
    </row>
    <row r="500" spans="2:3" ht="15.75" customHeight="1"/>
    <row r="501" spans="2:3" ht="15.75" customHeight="1">
      <c r="B501" s="3"/>
      <c r="C501" s="3" t="s">
        <v>1016</v>
      </c>
    </row>
    <row r="502" spans="2:3" ht="15.75" customHeight="1"/>
    <row r="503" spans="2:3" ht="15.75" customHeight="1">
      <c r="B503" s="3"/>
      <c r="C503" s="3" t="s">
        <v>765</v>
      </c>
    </row>
    <row r="504" spans="2:3" ht="15.75" customHeight="1"/>
    <row r="505" spans="2:3" ht="15.75" customHeight="1">
      <c r="B505" s="3"/>
      <c r="C505" s="3" t="s">
        <v>769</v>
      </c>
    </row>
    <row r="506" spans="2:3" ht="15.75" customHeight="1"/>
    <row r="507" spans="2:3" ht="15.75" customHeight="1">
      <c r="B507" s="3"/>
      <c r="C507" s="3" t="s">
        <v>767</v>
      </c>
    </row>
    <row r="508" spans="2:3" ht="15.75" customHeight="1"/>
    <row r="509" spans="2:3" ht="15.75" customHeight="1">
      <c r="B509" s="3"/>
      <c r="C509" s="3" t="s">
        <v>996</v>
      </c>
    </row>
    <row r="510" spans="2:3" ht="15.75" customHeight="1"/>
    <row r="511" spans="2:3" ht="15.75" customHeight="1">
      <c r="B511" s="3"/>
      <c r="C511" s="3" t="s">
        <v>1008</v>
      </c>
    </row>
    <row r="512" spans="2:3" ht="15.75" customHeight="1"/>
    <row r="513" spans="2:3" ht="15.75" customHeight="1">
      <c r="B513" s="3"/>
      <c r="C513" s="3" t="s">
        <v>63</v>
      </c>
    </row>
    <row r="514" spans="2:3" ht="15.75" customHeight="1">
      <c r="B514" s="3"/>
      <c r="C514" s="3" t="s">
        <v>767</v>
      </c>
    </row>
    <row r="515" spans="2:3" ht="15.75" customHeight="1"/>
    <row r="516" spans="2:3" ht="15.75" customHeight="1">
      <c r="B516" s="3"/>
      <c r="C516" s="3" t="s">
        <v>1025</v>
      </c>
    </row>
    <row r="517" spans="2:3" ht="15.75" customHeight="1"/>
    <row r="518" spans="2:3" ht="15.75" customHeight="1">
      <c r="B518" s="3"/>
      <c r="C518" s="3" t="s">
        <v>999</v>
      </c>
    </row>
    <row r="519" spans="2:3" ht="15.75" customHeight="1"/>
    <row r="520" spans="2:3" ht="15.75" customHeight="1">
      <c r="B520" s="3"/>
      <c r="C520" s="3" t="s">
        <v>988</v>
      </c>
    </row>
    <row r="521" spans="2:3" ht="15.75" customHeight="1"/>
    <row r="522" spans="2:3" ht="15.75" customHeight="1">
      <c r="B522" s="3"/>
      <c r="C522" s="3" t="s">
        <v>1002</v>
      </c>
    </row>
    <row r="523" spans="2:3" ht="15.75" customHeight="1">
      <c r="B523" s="3"/>
      <c r="C523" s="3" t="s">
        <v>64</v>
      </c>
    </row>
    <row r="524" spans="2:3" ht="15.75" customHeight="1"/>
    <row r="525" spans="2:3" ht="15.75" customHeight="1">
      <c r="B525" s="3"/>
      <c r="C525" s="3" t="s">
        <v>975</v>
      </c>
    </row>
    <row r="526" spans="2:3" ht="15.75" customHeight="1"/>
    <row r="527" spans="2:3" ht="15.75" customHeight="1">
      <c r="B527" s="3"/>
      <c r="C527" s="3" t="s">
        <v>56</v>
      </c>
    </row>
    <row r="528" spans="2:3" ht="15.75" customHeight="1">
      <c r="B528" s="3"/>
      <c r="C528" s="3" t="s">
        <v>764</v>
      </c>
    </row>
    <row r="529" spans="2:3" ht="15.75" customHeight="1"/>
    <row r="530" spans="2:3" ht="15.75" customHeight="1">
      <c r="B530" s="3"/>
      <c r="C530" s="3" t="s">
        <v>1026</v>
      </c>
    </row>
    <row r="531" spans="2:3" ht="15.75" customHeight="1"/>
    <row r="532" spans="2:3" ht="15.75" customHeight="1">
      <c r="B532" s="3"/>
      <c r="C532" s="3" t="s">
        <v>1019</v>
      </c>
    </row>
    <row r="533" spans="2:3" ht="15.75" customHeight="1"/>
    <row r="534" spans="2:3" ht="15.75" customHeight="1">
      <c r="B534" s="3"/>
      <c r="C534" s="3" t="s">
        <v>1027</v>
      </c>
    </row>
    <row r="535" spans="2:3" ht="15.75" customHeight="1"/>
    <row r="536" spans="2:3" ht="15.75" customHeight="1">
      <c r="B536" s="3"/>
      <c r="C536" s="3" t="s">
        <v>1000</v>
      </c>
    </row>
    <row r="537" spans="2:3" ht="15.75" customHeight="1"/>
    <row r="538" spans="2:3" ht="15.75" customHeight="1">
      <c r="B538" s="3"/>
      <c r="C538" s="3" t="s">
        <v>818</v>
      </c>
    </row>
    <row r="539" spans="2:3" ht="15.75" customHeight="1"/>
    <row r="540" spans="2:3" ht="15.75" customHeight="1">
      <c r="B540" s="3"/>
      <c r="C540" s="3" t="s">
        <v>1001</v>
      </c>
    </row>
    <row r="541" spans="2:3" ht="15.75" customHeight="1"/>
    <row r="542" spans="2:3" ht="15.75" customHeight="1">
      <c r="B542" s="3"/>
      <c r="C542" s="3" t="s">
        <v>820</v>
      </c>
    </row>
    <row r="543" spans="2:3" ht="15.75" customHeight="1"/>
    <row r="544" spans="2:3" ht="15.75" customHeight="1">
      <c r="B544" s="3"/>
      <c r="C544" s="3" t="s">
        <v>1008</v>
      </c>
    </row>
    <row r="545" spans="2:6" ht="15.75" customHeight="1">
      <c r="B545" s="3"/>
      <c r="C545" s="3" t="s">
        <v>1028</v>
      </c>
      <c r="D545" s="3" t="s">
        <v>1029</v>
      </c>
      <c r="E545" s="3" t="s">
        <v>970</v>
      </c>
      <c r="F545" s="3" t="s">
        <v>971</v>
      </c>
    </row>
    <row r="546" spans="2:6" ht="15.75" customHeight="1">
      <c r="B546" s="3"/>
      <c r="C546" s="3" t="s">
        <v>1030</v>
      </c>
      <c r="D546" s="3" t="s">
        <v>1031</v>
      </c>
    </row>
    <row r="547" spans="2:6" ht="15.75" customHeight="1">
      <c r="B547" s="3"/>
      <c r="C547" s="3" t="s">
        <v>107</v>
      </c>
    </row>
    <row r="548" spans="2:6" ht="15.75" customHeight="1"/>
    <row r="549" spans="2:6" ht="15.75" customHeight="1">
      <c r="B549" s="3"/>
      <c r="C549" s="3" t="s">
        <v>110</v>
      </c>
    </row>
    <row r="550" spans="2:6" ht="15.75" customHeight="1"/>
    <row r="551" spans="2:6" ht="15.75" customHeight="1">
      <c r="B551" s="3"/>
      <c r="C551" s="3" t="s">
        <v>1032</v>
      </c>
    </row>
    <row r="552" spans="2:6" ht="15.75" customHeight="1">
      <c r="B552" s="3"/>
      <c r="C552" s="3" t="s">
        <v>995</v>
      </c>
    </row>
    <row r="553" spans="2:6" ht="15.75" customHeight="1"/>
    <row r="554" spans="2:6" ht="15.75" customHeight="1">
      <c r="B554" s="3"/>
      <c r="C554" s="3" t="s">
        <v>1018</v>
      </c>
    </row>
    <row r="555" spans="2:6" ht="15.75" customHeight="1"/>
    <row r="556" spans="2:6" ht="15.75" customHeight="1">
      <c r="B556" s="3"/>
      <c r="C556" s="3" t="s">
        <v>983</v>
      </c>
    </row>
    <row r="557" spans="2:6" ht="15.75" customHeight="1"/>
    <row r="558" spans="2:6" ht="15.75" customHeight="1">
      <c r="B558" s="3"/>
      <c r="C558" s="3" t="s">
        <v>1033</v>
      </c>
    </row>
    <row r="559" spans="2:6" ht="15.75" customHeight="1">
      <c r="B559" s="3"/>
      <c r="C559" s="3" t="s">
        <v>1034</v>
      </c>
    </row>
    <row r="560" spans="2:6" ht="15.75" customHeight="1">
      <c r="B560" s="3"/>
      <c r="C560" s="3" t="s">
        <v>50</v>
      </c>
    </row>
    <row r="561" spans="2:3" ht="15.75" customHeight="1"/>
    <row r="562" spans="2:3" ht="15.75" customHeight="1">
      <c r="B562" s="3"/>
      <c r="C562" s="3" t="s">
        <v>53</v>
      </c>
    </row>
    <row r="563" spans="2:3" ht="15.75" customHeight="1"/>
    <row r="564" spans="2:3" ht="15.75" customHeight="1">
      <c r="B564" s="3"/>
      <c r="C564" s="3" t="s">
        <v>57</v>
      </c>
    </row>
    <row r="565" spans="2:3" ht="15.75" customHeight="1"/>
    <row r="566" spans="2:3" ht="15.75" customHeight="1">
      <c r="B566" s="3"/>
      <c r="C566" s="3" t="s">
        <v>1032</v>
      </c>
    </row>
    <row r="567" spans="2:3" ht="15.75" customHeight="1">
      <c r="B567" s="3"/>
      <c r="C567" s="3" t="s">
        <v>1033</v>
      </c>
    </row>
    <row r="568" spans="2:3" ht="15.75" customHeight="1"/>
    <row r="569" spans="2:3" ht="15.75" customHeight="1">
      <c r="B569" s="3"/>
      <c r="C569" s="3" t="s">
        <v>1035</v>
      </c>
    </row>
    <row r="570" spans="2:3" ht="15.75" customHeight="1"/>
    <row r="571" spans="2:3" ht="15.75" customHeight="1">
      <c r="B571" s="3"/>
      <c r="C571" s="3" t="s">
        <v>840</v>
      </c>
    </row>
    <row r="572" spans="2:3" ht="15.75" customHeight="1">
      <c r="B572" s="3"/>
      <c r="C572" s="3" t="s">
        <v>21</v>
      </c>
    </row>
    <row r="573" spans="2:3" ht="15.75" customHeight="1"/>
    <row r="574" spans="2:3" ht="15.75" customHeight="1">
      <c r="B574" s="3"/>
      <c r="C574" s="3" t="s">
        <v>23</v>
      </c>
    </row>
    <row r="575" spans="2:3" ht="15.75" customHeight="1"/>
    <row r="576" spans="2:3" ht="15.75" customHeight="1">
      <c r="B576" s="3"/>
      <c r="C576" s="3" t="s">
        <v>22</v>
      </c>
    </row>
    <row r="577" spans="2:3" ht="15.75" customHeight="1"/>
    <row r="578" spans="2:3" ht="15.75" customHeight="1">
      <c r="B578" s="3"/>
      <c r="C578" s="3" t="s">
        <v>110</v>
      </c>
    </row>
    <row r="579" spans="2:3" ht="15.75" customHeight="1">
      <c r="B579" s="3"/>
      <c r="C579" s="3" t="s">
        <v>1036</v>
      </c>
    </row>
    <row r="580" spans="2:3" ht="15.75" customHeight="1">
      <c r="B580" s="3"/>
      <c r="C580" s="3" t="s">
        <v>1002</v>
      </c>
    </row>
    <row r="581" spans="2:3" ht="15.75" customHeight="1">
      <c r="B581" s="3"/>
      <c r="C581" s="3" t="s">
        <v>61</v>
      </c>
    </row>
    <row r="582" spans="2:3" ht="15.75" customHeight="1"/>
    <row r="583" spans="2:3" ht="15.75" customHeight="1">
      <c r="B583" s="3"/>
      <c r="C583" s="3" t="s">
        <v>782</v>
      </c>
    </row>
    <row r="584" spans="2:3" ht="15.75" customHeight="1"/>
    <row r="585" spans="2:3" ht="15.75" customHeight="1">
      <c r="B585" s="3"/>
      <c r="C585" s="3" t="s">
        <v>63</v>
      </c>
    </row>
    <row r="586" spans="2:3" ht="15.75" customHeight="1"/>
    <row r="587" spans="2:3" ht="15.75" customHeight="1">
      <c r="B587" s="3"/>
      <c r="C587" s="3" t="s">
        <v>1035</v>
      </c>
    </row>
    <row r="588" spans="2:3" ht="15.75" customHeight="1">
      <c r="B588" s="3"/>
      <c r="C588" s="3" t="s">
        <v>1017</v>
      </c>
    </row>
    <row r="589" spans="2:3" ht="15.75" customHeight="1">
      <c r="B589" s="3"/>
      <c r="C589" s="3" t="s">
        <v>53</v>
      </c>
    </row>
    <row r="590" spans="2:3" ht="15.75" customHeight="1"/>
    <row r="591" spans="2:3" ht="15.75" customHeight="1">
      <c r="B591" s="3"/>
      <c r="C591" s="3" t="s">
        <v>47</v>
      </c>
    </row>
    <row r="592" spans="2:3" ht="15.75" customHeight="1"/>
    <row r="593" spans="2:3" ht="15.75" customHeight="1">
      <c r="B593" s="3"/>
      <c r="C593" s="3" t="s">
        <v>1033</v>
      </c>
    </row>
    <row r="594" spans="2:3" ht="15.75" customHeight="1"/>
    <row r="595" spans="2:3" ht="15.75" customHeight="1">
      <c r="B595" s="3"/>
      <c r="C595" s="3" t="s">
        <v>1037</v>
      </c>
    </row>
    <row r="596" spans="2:3" ht="15.75" customHeight="1"/>
    <row r="597" spans="2:3" ht="15.75" customHeight="1">
      <c r="B597" s="3"/>
      <c r="C597" s="3" t="s">
        <v>991</v>
      </c>
    </row>
    <row r="598" spans="2:3" ht="15.75" customHeight="1"/>
    <row r="599" spans="2:3" ht="15.75" customHeight="1">
      <c r="B599" s="3"/>
      <c r="C599" s="3" t="s">
        <v>1018</v>
      </c>
    </row>
    <row r="600" spans="2:3" ht="15.75" customHeight="1">
      <c r="B600" s="3"/>
      <c r="C600" s="3" t="s">
        <v>1038</v>
      </c>
    </row>
    <row r="601" spans="2:3" ht="15.75" customHeight="1"/>
    <row r="602" spans="2:3" ht="15.75" customHeight="1">
      <c r="B602" s="3"/>
      <c r="C602" s="3" t="s">
        <v>53</v>
      </c>
    </row>
    <row r="603" spans="2:3" ht="15.75" customHeight="1"/>
    <row r="604" spans="2:3" ht="15.75" customHeight="1">
      <c r="B604" s="3"/>
      <c r="C604" s="3" t="s">
        <v>974</v>
      </c>
    </row>
    <row r="605" spans="2:3" ht="15.75" customHeight="1"/>
    <row r="606" spans="2:3" ht="15.75" customHeight="1">
      <c r="B606" s="3"/>
      <c r="C606" s="3" t="s">
        <v>1032</v>
      </c>
    </row>
    <row r="607" spans="2:3" ht="15.75" customHeight="1"/>
    <row r="608" spans="2:3" ht="15.75" customHeight="1">
      <c r="B608" s="3"/>
      <c r="C608" s="3" t="s">
        <v>1007</v>
      </c>
    </row>
    <row r="609" spans="2:4" ht="15.75" customHeight="1"/>
    <row r="610" spans="2:4" ht="15.75" customHeight="1">
      <c r="B610" s="3"/>
      <c r="C610" s="3" t="s">
        <v>1037</v>
      </c>
    </row>
    <row r="611" spans="2:4" ht="15.75" customHeight="1">
      <c r="B611" s="3"/>
      <c r="C611" s="3" t="s">
        <v>1039</v>
      </c>
      <c r="D611" s="3" t="s">
        <v>1040</v>
      </c>
    </row>
    <row r="612" spans="2:4" ht="15.75" customHeight="1">
      <c r="B612" s="3"/>
      <c r="C612" s="3" t="s">
        <v>107</v>
      </c>
    </row>
    <row r="613" spans="2:4" ht="15.75" customHeight="1"/>
    <row r="614" spans="2:4" ht="15.75" customHeight="1">
      <c r="B614" s="3"/>
      <c r="C614" s="3" t="s">
        <v>110</v>
      </c>
    </row>
    <row r="615" spans="2:4" ht="15.75" customHeight="1"/>
    <row r="616" spans="2:4" ht="15.75" customHeight="1">
      <c r="B616" s="3"/>
      <c r="C616" s="3" t="s">
        <v>983</v>
      </c>
    </row>
    <row r="617" spans="2:4" ht="15.75" customHeight="1">
      <c r="B617" s="3"/>
      <c r="C617" s="3" t="s">
        <v>1038</v>
      </c>
    </row>
    <row r="618" spans="2:4" ht="15.75" customHeight="1"/>
    <row r="619" spans="2:4" ht="15.75" customHeight="1">
      <c r="B619" s="3"/>
      <c r="C619" s="3" t="s">
        <v>50</v>
      </c>
    </row>
    <row r="620" spans="2:4" ht="15.75" customHeight="1"/>
    <row r="621" spans="2:4" ht="15.75" customHeight="1">
      <c r="B621" s="3"/>
      <c r="C621" s="3" t="s">
        <v>47</v>
      </c>
    </row>
    <row r="622" spans="2:4" ht="15.75" customHeight="1"/>
    <row r="623" spans="2:4" ht="15.75" customHeight="1">
      <c r="B623" s="3"/>
      <c r="C623" s="3" t="s">
        <v>1032</v>
      </c>
    </row>
    <row r="624" spans="2:4" ht="15.75" customHeight="1"/>
    <row r="625" spans="2:5" ht="15.75" customHeight="1">
      <c r="B625" s="3"/>
      <c r="C625" s="3" t="s">
        <v>974</v>
      </c>
    </row>
    <row r="626" spans="2:5" ht="15.75" customHeight="1"/>
    <row r="627" spans="2:5" ht="15.75" customHeight="1">
      <c r="B627" s="3"/>
      <c r="C627" s="3" t="s">
        <v>1007</v>
      </c>
    </row>
    <row r="628" spans="2:5" ht="15.75" customHeight="1"/>
    <row r="629" spans="2:5" ht="15.75" customHeight="1">
      <c r="B629" s="3"/>
      <c r="C629" s="3" t="s">
        <v>1035</v>
      </c>
    </row>
    <row r="630" spans="2:5" ht="15.75" customHeight="1"/>
    <row r="631" spans="2:5" ht="15.75" customHeight="1">
      <c r="B631" s="3"/>
      <c r="C631" s="3" t="s">
        <v>126</v>
      </c>
    </row>
    <row r="632" spans="2:5" ht="15.75" customHeight="1"/>
    <row r="633" spans="2:5" ht="15.75" customHeight="1">
      <c r="B633" s="3"/>
      <c r="C633" s="3" t="s">
        <v>1031</v>
      </c>
      <c r="E633" s="3" t="s">
        <v>1030</v>
      </c>
    </row>
    <row r="634" spans="2:5" ht="15.75" customHeight="1">
      <c r="B634" s="3"/>
      <c r="C634" s="3" t="s">
        <v>1040</v>
      </c>
      <c r="E634" s="3" t="s">
        <v>1039</v>
      </c>
    </row>
    <row r="635" spans="2:5" ht="15.75" customHeight="1">
      <c r="B635" s="3"/>
      <c r="C635" s="3" t="s">
        <v>1041</v>
      </c>
    </row>
    <row r="636" spans="2:5" ht="15.75" customHeight="1">
      <c r="B636" s="3"/>
      <c r="C636" s="3" t="s">
        <v>1042</v>
      </c>
    </row>
    <row r="637" spans="2:5" ht="15.75" customHeight="1">
      <c r="B637" s="3"/>
      <c r="C637" s="3" t="s">
        <v>974</v>
      </c>
    </row>
    <row r="638" spans="2:5" ht="15.75" customHeight="1">
      <c r="B638" s="3"/>
      <c r="C638" s="3" t="s">
        <v>26</v>
      </c>
    </row>
    <row r="639" spans="2:5" ht="15.75" customHeight="1"/>
    <row r="640" spans="2:5" ht="15.75" customHeight="1">
      <c r="B640" s="3"/>
      <c r="C640" s="3" t="s">
        <v>782</v>
      </c>
    </row>
    <row r="641" spans="2:3" ht="15.75" customHeight="1"/>
    <row r="642" spans="2:3" ht="15.75" customHeight="1">
      <c r="B642" s="3"/>
      <c r="C642" s="3" t="s">
        <v>983</v>
      </c>
    </row>
    <row r="643" spans="2:3" ht="15.75" customHeight="1"/>
    <row r="644" spans="2:3" ht="15.75" customHeight="1">
      <c r="B644" s="3"/>
      <c r="C644" s="3" t="s">
        <v>1018</v>
      </c>
    </row>
    <row r="645" spans="2:3" ht="15.75" customHeight="1">
      <c r="B645" s="3"/>
      <c r="C645" s="3" t="s">
        <v>1007</v>
      </c>
    </row>
    <row r="646" spans="2:3" ht="15.75" customHeight="1">
      <c r="B646" s="3"/>
      <c r="C646" s="3" t="s">
        <v>49</v>
      </c>
    </row>
    <row r="647" spans="2:3" ht="15.75" customHeight="1"/>
    <row r="648" spans="2:3" ht="15.75" customHeight="1">
      <c r="B648" s="3"/>
      <c r="C648" s="3" t="s">
        <v>1018</v>
      </c>
    </row>
    <row r="649" spans="2:3" ht="15.75" customHeight="1"/>
    <row r="650" spans="2:3" ht="15.75" customHeight="1">
      <c r="B650" s="3"/>
      <c r="C650" s="3" t="s">
        <v>983</v>
      </c>
    </row>
    <row r="651" spans="2:3" ht="15.75" customHeight="1"/>
    <row r="652" spans="2:3" ht="15.75" customHeight="1">
      <c r="B652" s="3"/>
      <c r="C652" s="3" t="s">
        <v>1037</v>
      </c>
    </row>
    <row r="653" spans="2:3" ht="15.75" customHeight="1">
      <c r="B653" s="3"/>
      <c r="C653" s="3" t="s">
        <v>1043</v>
      </c>
    </row>
    <row r="654" spans="2:3" ht="15.75" customHeight="1">
      <c r="B654" s="3"/>
      <c r="C654" s="3" t="s">
        <v>1023</v>
      </c>
    </row>
    <row r="655" spans="2:3" ht="15.75" customHeight="1">
      <c r="B655" s="3"/>
      <c r="C655" s="3" t="s">
        <v>126</v>
      </c>
    </row>
    <row r="656" spans="2:3" ht="15.75" customHeight="1"/>
    <row r="657" spans="2:3" ht="15.75" customHeight="1">
      <c r="B657" s="3"/>
      <c r="C657" s="3" t="s">
        <v>1044</v>
      </c>
    </row>
    <row r="658" spans="2:3" ht="15.75" customHeight="1"/>
    <row r="659" spans="2:3" ht="15.75" customHeight="1">
      <c r="B659" s="3"/>
      <c r="C659" s="3" t="s">
        <v>1027</v>
      </c>
    </row>
    <row r="660" spans="2:3" ht="15.75" customHeight="1"/>
    <row r="661" spans="2:3" ht="15.75" customHeight="1">
      <c r="B661" s="3"/>
      <c r="C661" s="3" t="s">
        <v>1000</v>
      </c>
    </row>
    <row r="662" spans="2:3" ht="15.75" customHeight="1">
      <c r="B662" s="3"/>
      <c r="C662" s="3" t="s">
        <v>991</v>
      </c>
    </row>
    <row r="663" spans="2:3" ht="15.75" customHeight="1"/>
    <row r="664" spans="2:3" ht="15.75" customHeight="1">
      <c r="B664" s="3"/>
      <c r="C664" s="3" t="s">
        <v>1014</v>
      </c>
    </row>
    <row r="665" spans="2:3" ht="15.75" customHeight="1"/>
    <row r="666" spans="2:3" ht="15.75" customHeight="1">
      <c r="B666" s="3"/>
      <c r="C666" s="3" t="s">
        <v>1010</v>
      </c>
    </row>
    <row r="667" spans="2:3" ht="15.75" customHeight="1"/>
    <row r="668" spans="2:3" ht="15.75" customHeight="1">
      <c r="B668" s="3"/>
      <c r="C668" s="3" t="s">
        <v>1045</v>
      </c>
    </row>
    <row r="669" spans="2:3" ht="15.75" customHeight="1"/>
    <row r="670" spans="2:3" ht="15.75" customHeight="1">
      <c r="B670" s="3"/>
      <c r="C670" s="3" t="s">
        <v>818</v>
      </c>
    </row>
    <row r="671" spans="2:3" ht="15.75" customHeight="1">
      <c r="B671" s="3"/>
      <c r="C671" s="3" t="s">
        <v>126</v>
      </c>
    </row>
    <row r="672" spans="2:3" ht="15.75" customHeight="1"/>
    <row r="673" spans="2:3" ht="15.75" customHeight="1">
      <c r="B673" s="3"/>
      <c r="C673" s="3" t="s">
        <v>1014</v>
      </c>
    </row>
    <row r="674" spans="2:3" ht="15.75" customHeight="1"/>
    <row r="675" spans="2:3" ht="15.75" customHeight="1">
      <c r="B675" s="3"/>
      <c r="C675" s="3" t="s">
        <v>1012</v>
      </c>
    </row>
    <row r="676" spans="2:3" ht="15.75" customHeight="1"/>
    <row r="677" spans="2:3" ht="15.75" customHeight="1">
      <c r="B677" s="3"/>
      <c r="C677" s="3" t="s">
        <v>1045</v>
      </c>
    </row>
    <row r="678" spans="2:3" ht="15.75" customHeight="1"/>
    <row r="679" spans="2:3" ht="15.75" customHeight="1">
      <c r="B679" s="3"/>
      <c r="C679" s="3" t="s">
        <v>1001</v>
      </c>
    </row>
    <row r="680" spans="2:3" ht="15.75" customHeight="1">
      <c r="B680" s="3"/>
      <c r="C680" s="3" t="s">
        <v>126</v>
      </c>
    </row>
    <row r="681" spans="2:3" ht="15.75" customHeight="1"/>
    <row r="682" spans="2:3" ht="15.75" customHeight="1">
      <c r="B682" s="3"/>
      <c r="C682" s="3" t="s">
        <v>1014</v>
      </c>
    </row>
    <row r="683" spans="2:3" ht="15.75" customHeight="1"/>
    <row r="684" spans="2:3" ht="15.75" customHeight="1">
      <c r="B684" s="3"/>
      <c r="C684" s="3" t="s">
        <v>1046</v>
      </c>
    </row>
    <row r="685" spans="2:3" ht="15.75" customHeight="1"/>
    <row r="686" spans="2:3" ht="15.75" customHeight="1">
      <c r="B686" s="3"/>
      <c r="C686" s="3" t="s">
        <v>1045</v>
      </c>
    </row>
    <row r="687" spans="2:3" ht="15.75" customHeight="1"/>
    <row r="688" spans="2:3" ht="15.75" customHeight="1">
      <c r="B688" s="3"/>
      <c r="C688" s="3" t="s">
        <v>820</v>
      </c>
    </row>
    <row r="689" spans="2:3" ht="15.75" customHeight="1">
      <c r="B689" s="3"/>
      <c r="C689" s="3" t="s">
        <v>991</v>
      </c>
    </row>
    <row r="690" spans="2:3" ht="15.75" customHeight="1"/>
    <row r="691" spans="2:3" ht="15.75" customHeight="1">
      <c r="B691" s="3"/>
      <c r="C691" s="3" t="s">
        <v>1014</v>
      </c>
    </row>
    <row r="692" spans="2:3" ht="15.75" customHeight="1"/>
    <row r="693" spans="2:3" ht="15.75" customHeight="1">
      <c r="B693" s="3"/>
      <c r="C693" s="3" t="s">
        <v>1012</v>
      </c>
    </row>
    <row r="694" spans="2:3" ht="15.75" customHeight="1"/>
    <row r="695" spans="2:3" ht="15.75" customHeight="1">
      <c r="B695" s="3"/>
      <c r="C695" s="3" t="s">
        <v>1045</v>
      </c>
    </row>
    <row r="696" spans="2:3" ht="15.75" customHeight="1"/>
    <row r="697" spans="2:3" ht="15.75" customHeight="1">
      <c r="B697" s="3"/>
      <c r="C697" s="3" t="s">
        <v>1024</v>
      </c>
    </row>
    <row r="698" spans="2:3" ht="15.75" customHeight="1">
      <c r="B698" s="3"/>
      <c r="C698" s="3" t="s">
        <v>991</v>
      </c>
    </row>
    <row r="699" spans="2:3" ht="15.75" customHeight="1"/>
    <row r="700" spans="2:3" ht="15.75" customHeight="1">
      <c r="B700" s="3"/>
      <c r="C700" s="3" t="s">
        <v>1044</v>
      </c>
    </row>
    <row r="701" spans="2:3" ht="15.75" customHeight="1"/>
    <row r="702" spans="2:3" ht="15.75" customHeight="1">
      <c r="B702" s="3"/>
      <c r="C702" s="3" t="s">
        <v>1027</v>
      </c>
    </row>
    <row r="703" spans="2:3" ht="15.75" customHeight="1"/>
    <row r="704" spans="2:3" ht="15.75" customHeight="1">
      <c r="B704" s="3"/>
      <c r="C704" s="3" t="s">
        <v>1047</v>
      </c>
    </row>
    <row r="705" spans="2:3" ht="15.75" customHeight="1">
      <c r="B705" s="3"/>
      <c r="C705" s="3" t="s">
        <v>1048</v>
      </c>
    </row>
    <row r="706" spans="2:3" ht="15.75" customHeight="1">
      <c r="B706" s="3"/>
      <c r="C706" s="3" t="s">
        <v>1049</v>
      </c>
    </row>
    <row r="707" spans="2:3" ht="15.75" customHeight="1">
      <c r="B707" s="3"/>
      <c r="C707" s="3" t="s">
        <v>1050</v>
      </c>
    </row>
    <row r="708" spans="2:3" ht="15.75" customHeight="1">
      <c r="B708" s="3"/>
      <c r="C708" s="3" t="s">
        <v>1051</v>
      </c>
    </row>
    <row r="709" spans="2:3" ht="15.75" customHeight="1">
      <c r="B709" s="3"/>
      <c r="C709" s="3" t="s">
        <v>1052</v>
      </c>
    </row>
    <row r="710" spans="2:3" ht="15.75" customHeight="1"/>
    <row r="711" spans="2:3" ht="15.75" customHeight="1"/>
    <row r="712" spans="2:3" ht="15.75" customHeight="1">
      <c r="B712" s="3"/>
      <c r="C712" s="3" t="s">
        <v>1053</v>
      </c>
    </row>
    <row r="713" spans="2:3" ht="15.75" customHeight="1"/>
    <row r="714" spans="2:3" ht="15.75" customHeight="1">
      <c r="B714" s="3"/>
      <c r="C714" s="3" t="s">
        <v>966</v>
      </c>
    </row>
    <row r="715" spans="2:3" ht="15.75" customHeight="1">
      <c r="B715" s="3"/>
      <c r="C715" s="3" t="s">
        <v>1054</v>
      </c>
    </row>
    <row r="716" spans="2:3" ht="15.75" customHeight="1">
      <c r="B716" s="3"/>
      <c r="C716" s="3" t="s">
        <v>1055</v>
      </c>
    </row>
    <row r="717" spans="2:3" ht="15.75" customHeight="1">
      <c r="B717" s="3"/>
      <c r="C717" s="3" t="s">
        <v>1054</v>
      </c>
    </row>
    <row r="718" spans="2:3" ht="15.75" customHeight="1">
      <c r="B718" s="3"/>
      <c r="C718" s="3" t="s">
        <v>955</v>
      </c>
    </row>
    <row r="719" spans="2:3" ht="15.75" customHeight="1">
      <c r="B719" s="3"/>
      <c r="C719" s="3" t="s">
        <v>1054</v>
      </c>
    </row>
    <row r="720" spans="2:3" ht="15.75" customHeight="1">
      <c r="B720" s="3"/>
      <c r="C720" s="3" t="s">
        <v>1056</v>
      </c>
    </row>
    <row r="721" spans="2:3" ht="15.75" customHeight="1">
      <c r="B721" s="3"/>
      <c r="C721" s="3" t="s">
        <v>1057</v>
      </c>
    </row>
    <row r="722" spans="2:3" ht="15.75" customHeight="1">
      <c r="B722" s="3"/>
      <c r="C722" s="3" t="s">
        <v>1058</v>
      </c>
    </row>
    <row r="723" spans="2:3" ht="15.75" customHeight="1">
      <c r="B723" s="3"/>
      <c r="C723" s="3" t="s">
        <v>1059</v>
      </c>
    </row>
    <row r="724" spans="2:3" ht="15.75" customHeight="1">
      <c r="B724" s="3"/>
      <c r="C724" s="3" t="s">
        <v>1060</v>
      </c>
    </row>
    <row r="725" spans="2:3" ht="15.75" customHeight="1">
      <c r="B725" s="3"/>
      <c r="C725" s="3" t="s">
        <v>1061</v>
      </c>
    </row>
    <row r="726" spans="2:3" ht="15.75" customHeight="1">
      <c r="B726" s="3"/>
      <c r="C726" s="3" t="s">
        <v>1062</v>
      </c>
    </row>
    <row r="727" spans="2:3" ht="15.75" customHeight="1"/>
    <row r="728" spans="2:3" ht="15.75" customHeight="1"/>
    <row r="729" spans="2:3" ht="15.75" customHeight="1"/>
    <row r="730" spans="2:3" ht="15.75" customHeight="1"/>
    <row r="731" spans="2:3" ht="15.75" customHeight="1"/>
    <row r="732" spans="2:3" ht="15.75" customHeight="1"/>
    <row r="733" spans="2:3" ht="15.75" customHeight="1"/>
    <row r="734" spans="2:3" ht="15.75" customHeight="1"/>
    <row r="735" spans="2:3" ht="15.75" customHeight="1"/>
    <row r="736" spans="2:3"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8740157499999996" bottom="0.78740157499999996" header="0.3" footer="0.3"/>
  <legacyDrawing r:id="rId1"/>
  <extLst>
    <ext xmlns:x14="http://schemas.microsoft.com/office/spreadsheetml/2009/9/main" uri="{CCE6A557-97BC-4b89-ADB6-D9C93CAAB3DF}">
      <x14:dataValidations xmlns:xm="http://schemas.microsoft.com/office/excel/2006/main" count="1">
        <x14:dataValidation type="list" allowBlank="1" xr:uid="{00000000-0002-0000-0D00-000000000000}">
          <x14:formula1>
            <xm:f>Static!$R$4:$R$17</xm:f>
          </x14:formula1>
          <xm:sqref>D5</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N1000"/>
  <sheetViews>
    <sheetView workbookViewId="0"/>
  </sheetViews>
  <sheetFormatPr defaultColWidth="15.109375" defaultRowHeight="15" customHeight="1"/>
  <cols>
    <col min="1" max="1" width="3.6640625" customWidth="1"/>
    <col min="2" max="2" width="40.109375" customWidth="1"/>
    <col min="3" max="3" width="3.6640625" customWidth="1"/>
    <col min="4" max="8" width="12.6640625" customWidth="1"/>
    <col min="9" max="9" width="13.33203125" customWidth="1"/>
    <col min="10" max="26" width="12.6640625" customWidth="1"/>
  </cols>
  <sheetData>
    <row r="1" spans="1:14" ht="15.75" customHeight="1">
      <c r="B1" s="156" t="str">
        <f>HYPERLINK("http://www.resources-game.ch/exchange/kurseliste.csv","http://www.resources-game.ch/exchange/kurseliste.csv")</f>
        <v>http://www.resources-game.ch/exchange/kurseliste.csv</v>
      </c>
      <c r="J1" s="3"/>
    </row>
    <row r="2" spans="1:14" ht="15.75" customHeight="1">
      <c r="B2" s="34" t="s">
        <v>1063</v>
      </c>
      <c r="D2" s="22" t="s">
        <v>1064</v>
      </c>
      <c r="I2">
        <v>1449773401</v>
      </c>
      <c r="J2" s="3"/>
      <c r="N2" s="157"/>
    </row>
    <row r="3" spans="1:14" ht="15.75" customHeight="1">
      <c r="A3" s="34"/>
      <c r="B3" s="158" t="str">
        <f ca="1">IFERROR(__xludf.DUMMYFUNCTION("IMPORTDATA(""http://www.resources-game.ch/exchange/kurseliste.csv"")"),"#REF!")</f>
        <v>#REF!</v>
      </c>
      <c r="C3" s="34"/>
      <c r="D3" s="1" t="str">
        <f ca="1">IFERROR(__xludf.DUMMYFUNCTION("ARRAYFORMULA(split(B3,"";"",true))"),"#REF!")</f>
        <v>#REF!</v>
      </c>
      <c r="E3" s="1" t="s">
        <v>1065</v>
      </c>
      <c r="F3" s="1" t="s">
        <v>1066</v>
      </c>
      <c r="G3" s="1" t="s">
        <v>1067</v>
      </c>
      <c r="H3" s="1" t="s">
        <v>1068</v>
      </c>
      <c r="I3" s="1" t="s">
        <v>1069</v>
      </c>
      <c r="J3" s="1" t="s">
        <v>1070</v>
      </c>
      <c r="K3" s="1" t="s">
        <v>1071</v>
      </c>
      <c r="L3" s="1" t="s">
        <v>892</v>
      </c>
      <c r="N3" s="159"/>
    </row>
    <row r="4" spans="1:14" ht="15.75" customHeight="1">
      <c r="B4" s="3"/>
      <c r="D4">
        <f ca="1">IFERROR(__xludf.DUMMYFUNCTION("IMPORTXML(""http://www.resources-game.ch/exchange/kurseliste.xml?0.3506839721332067"",""//RESOURCES_RATES/ITEM"")"),57)</f>
        <v>57</v>
      </c>
      <c r="E4" t="str">
        <f ca="1">IFERROR(__xludf.DUMMYFUNCTION("""COMPUTED_VALUE"""),"Alte Reifen")</f>
        <v>Alte Reifen</v>
      </c>
      <c r="F4" t="str">
        <f ca="1">IFERROR(__xludf.DUMMYFUNCTION("""COMPUTED_VALUE"""),"Old tires")</f>
        <v>Old tires</v>
      </c>
      <c r="G4" s="12">
        <f ca="1">IFERROR(__xludf.DUMMYFUNCTION("""COMPUTED_VALUE"""),19901)</f>
        <v>19901</v>
      </c>
      <c r="H4" s="12">
        <f ca="1">IFERROR(__xludf.DUMMYFUNCTION("""COMPUTED_VALUE"""),21328)</f>
        <v>21328</v>
      </c>
      <c r="I4" s="3">
        <f ca="1">IFERROR(__xludf.DUMMYFUNCTION("""COMPUTED_VALUE"""),1772048761)</f>
        <v>1772048761</v>
      </c>
      <c r="J4" s="12">
        <f t="shared" ref="J4:J61" ca="1" si="0">IF(H4&lt;=G4,G4,H4)</f>
        <v>21328</v>
      </c>
      <c r="K4" s="160">
        <f t="shared" ref="K4:K61" ca="1" si="1">H4/G4</f>
        <v>1.0717049394502789</v>
      </c>
      <c r="L4" t="str">
        <f t="shared" ref="L4:L35" ca="1" si="2">VLOOKUP($D4,TblResourcesType,4,FALSE)</f>
        <v>Loot</v>
      </c>
      <c r="N4" s="3"/>
    </row>
    <row r="5" spans="1:14" ht="15.75" customHeight="1">
      <c r="B5" s="3" t="s">
        <v>1072</v>
      </c>
      <c r="D5">
        <f ca="1">IFERROR(__xludf.DUMMYFUNCTION("""COMPUTED_VALUE"""),115)</f>
        <v>115</v>
      </c>
      <c r="E5" t="str">
        <f ca="1">IFERROR(__xludf.DUMMYFUNCTION("""COMPUTED_VALUE"""),"Altglas")</f>
        <v>Altglas</v>
      </c>
      <c r="F5" t="str">
        <f ca="1">IFERROR(__xludf.DUMMYFUNCTION("""COMPUTED_VALUE"""),"Waste glass")</f>
        <v>Waste glass</v>
      </c>
      <c r="G5" s="12">
        <f ca="1">IFERROR(__xludf.DUMMYFUNCTION("""COMPUTED_VALUE"""),31943)</f>
        <v>31943</v>
      </c>
      <c r="H5" s="12">
        <f ca="1">IFERROR(__xludf.DUMMYFUNCTION("""COMPUTED_VALUE"""),39592)</f>
        <v>39592</v>
      </c>
      <c r="I5" s="3">
        <f ca="1">IFERROR(__xludf.DUMMYFUNCTION("""COMPUTED_VALUE"""),1772048761)</f>
        <v>1772048761</v>
      </c>
      <c r="J5" s="12">
        <f t="shared" ca="1" si="0"/>
        <v>39592</v>
      </c>
      <c r="K5" s="160">
        <f t="shared" ca="1" si="1"/>
        <v>1.2394577841780672</v>
      </c>
      <c r="L5" t="str">
        <f t="shared" ca="1" si="2"/>
        <v>Loot</v>
      </c>
      <c r="N5" s="3"/>
    </row>
    <row r="6" spans="1:14" ht="15.75" customHeight="1">
      <c r="B6" s="3" t="s">
        <v>1073</v>
      </c>
      <c r="D6">
        <f ca="1">IFERROR(__xludf.DUMMYFUNCTION("""COMPUTED_VALUE"""),70)</f>
        <v>70</v>
      </c>
      <c r="E6" t="str">
        <f ca="1">IFERROR(__xludf.DUMMYFUNCTION("""COMPUTED_VALUE"""),"Altmetall")</f>
        <v>Altmetall</v>
      </c>
      <c r="F6" t="str">
        <f ca="1">IFERROR(__xludf.DUMMYFUNCTION("""COMPUTED_VALUE"""),"Scrap metal")</f>
        <v>Scrap metal</v>
      </c>
      <c r="G6" s="12">
        <f ca="1">IFERROR(__xludf.DUMMYFUNCTION("""COMPUTED_VALUE"""),24634)</f>
        <v>24634</v>
      </c>
      <c r="H6" s="12">
        <f ca="1">IFERROR(__xludf.DUMMYFUNCTION("""COMPUTED_VALUE"""),29022)</f>
        <v>29022</v>
      </c>
      <c r="I6" s="3">
        <f ca="1">IFERROR(__xludf.DUMMYFUNCTION("""COMPUTED_VALUE"""),1772048761)</f>
        <v>1772048761</v>
      </c>
      <c r="J6" s="12">
        <f t="shared" ca="1" si="0"/>
        <v>29022</v>
      </c>
      <c r="K6" s="160">
        <f t="shared" ca="1" si="1"/>
        <v>1.1781277908581635</v>
      </c>
      <c r="L6" t="str">
        <f t="shared" ca="1" si="2"/>
        <v>Loot</v>
      </c>
      <c r="N6" s="3"/>
    </row>
    <row r="7" spans="1:14" ht="15.75" customHeight="1">
      <c r="B7" s="3" t="s">
        <v>1074</v>
      </c>
      <c r="D7">
        <f ca="1">IFERROR(__xludf.DUMMYFUNCTION("""COMPUTED_VALUE"""),74)</f>
        <v>74</v>
      </c>
      <c r="E7" t="str">
        <f ca="1">IFERROR(__xludf.DUMMYFUNCTION("""COMPUTED_VALUE"""),"AltÃ¶l")</f>
        <v>AltÃ¶l</v>
      </c>
      <c r="F7" t="str">
        <f ca="1">IFERROR(__xludf.DUMMYFUNCTION("""COMPUTED_VALUE"""),"Used oil")</f>
        <v>Used oil</v>
      </c>
      <c r="G7" s="12">
        <f ca="1">IFERROR(__xludf.DUMMYFUNCTION("""COMPUTED_VALUE"""),10385)</f>
        <v>10385</v>
      </c>
      <c r="H7" s="12">
        <f ca="1">IFERROR(__xludf.DUMMYFUNCTION("""COMPUTED_VALUE"""),12875)</f>
        <v>12875</v>
      </c>
      <c r="I7" s="3">
        <f ca="1">IFERROR(__xludf.DUMMYFUNCTION("""COMPUTED_VALUE"""),1772048761)</f>
        <v>1772048761</v>
      </c>
      <c r="J7" s="12">
        <f t="shared" ca="1" si="0"/>
        <v>12875</v>
      </c>
      <c r="K7" s="160">
        <f t="shared" ca="1" si="1"/>
        <v>1.2397688974482426</v>
      </c>
      <c r="L7" t="str">
        <f t="shared" ca="1" si="2"/>
        <v>Loot</v>
      </c>
    </row>
    <row r="8" spans="1:14" ht="15.75" customHeight="1">
      <c r="B8" s="3" t="s">
        <v>1075</v>
      </c>
      <c r="D8">
        <f ca="1">IFERROR(__xludf.DUMMYFUNCTION("""COMPUTED_VALUE"""),32)</f>
        <v>32</v>
      </c>
      <c r="E8" t="str">
        <f ca="1">IFERROR(__xludf.DUMMYFUNCTION("""COMPUTED_VALUE"""),"Aluminium")</f>
        <v>Aluminium</v>
      </c>
      <c r="F8" t="str">
        <f ca="1">IFERROR(__xludf.DUMMYFUNCTION("""COMPUTED_VALUE"""),"Aluminium")</f>
        <v>Aluminium</v>
      </c>
      <c r="G8" s="12">
        <f ca="1">IFERROR(__xludf.DUMMYFUNCTION("""COMPUTED_VALUE"""),91689)</f>
        <v>91689</v>
      </c>
      <c r="H8" s="12">
        <f ca="1">IFERROR(__xludf.DUMMYFUNCTION("""COMPUTED_VALUE"""),96403)</f>
        <v>96403</v>
      </c>
      <c r="I8" s="3">
        <f ca="1">IFERROR(__xludf.DUMMYFUNCTION("""COMPUTED_VALUE"""),1772048761)</f>
        <v>1772048761</v>
      </c>
      <c r="J8" s="12">
        <f t="shared" ca="1" si="0"/>
        <v>96403</v>
      </c>
      <c r="K8" s="160">
        <f t="shared" ca="1" si="1"/>
        <v>1.0514129284865141</v>
      </c>
      <c r="L8" t="str">
        <f t="shared" ca="1" si="2"/>
        <v>Product</v>
      </c>
      <c r="N8" s="3"/>
    </row>
    <row r="9" spans="1:14" ht="15.75" customHeight="1">
      <c r="B9" s="3" t="s">
        <v>1076</v>
      </c>
      <c r="D9">
        <f ca="1">IFERROR(__xludf.DUMMYFUNCTION("""COMPUTED_VALUE"""),93)</f>
        <v>93</v>
      </c>
      <c r="E9" t="str">
        <f ca="1">IFERROR(__xludf.DUMMYFUNCTION("""COMPUTED_VALUE"""),"Batterien")</f>
        <v>Batterien</v>
      </c>
      <c r="F9" t="str">
        <f ca="1">IFERROR(__xludf.DUMMYFUNCTION("""COMPUTED_VALUE"""),"Batteries")</f>
        <v>Batteries</v>
      </c>
      <c r="G9" s="12">
        <f ca="1">IFERROR(__xludf.DUMMYFUNCTION("""COMPUTED_VALUE"""),206593)</f>
        <v>206593</v>
      </c>
      <c r="H9" s="12">
        <f ca="1">IFERROR(__xludf.DUMMYFUNCTION("""COMPUTED_VALUE"""),206593)</f>
        <v>206593</v>
      </c>
      <c r="I9" s="3">
        <f ca="1">IFERROR(__xludf.DUMMYFUNCTION("""COMPUTED_VALUE"""),1772048761)</f>
        <v>1772048761</v>
      </c>
      <c r="J9" s="12">
        <f t="shared" ca="1" si="0"/>
        <v>206593</v>
      </c>
      <c r="K9" s="160">
        <f t="shared" ca="1" si="1"/>
        <v>1</v>
      </c>
      <c r="L9" t="str">
        <f t="shared" ca="1" si="2"/>
        <v>Product</v>
      </c>
      <c r="N9" s="3"/>
    </row>
    <row r="10" spans="1:14" ht="15.75" customHeight="1">
      <c r="B10" s="3" t="s">
        <v>1077</v>
      </c>
      <c r="D10">
        <f ca="1">IFERROR(__xludf.DUMMYFUNCTION("""COMPUTED_VALUE"""),12)</f>
        <v>12</v>
      </c>
      <c r="E10" t="str">
        <f ca="1">IFERROR(__xludf.DUMMYFUNCTION("""COMPUTED_VALUE"""),"Bauxit")</f>
        <v>Bauxit</v>
      </c>
      <c r="F10" t="str">
        <f ca="1">IFERROR(__xludf.DUMMYFUNCTION("""COMPUTED_VALUE"""),"Bauxite")</f>
        <v>Bauxite</v>
      </c>
      <c r="G10" s="12">
        <f ca="1">IFERROR(__xludf.DUMMYFUNCTION("""COMPUTED_VALUE"""),2051)</f>
        <v>2051</v>
      </c>
      <c r="H10" s="12">
        <f ca="1">IFERROR(__xludf.DUMMYFUNCTION("""COMPUTED_VALUE"""),2050)</f>
        <v>2050</v>
      </c>
      <c r="I10" s="3">
        <f ca="1">IFERROR(__xludf.DUMMYFUNCTION("""COMPUTED_VALUE"""),1772048761)</f>
        <v>1772048761</v>
      </c>
      <c r="J10" s="12">
        <f t="shared" ca="1" si="0"/>
        <v>2051</v>
      </c>
      <c r="K10" s="160">
        <f t="shared" ca="1" si="1"/>
        <v>0.99951243295953196</v>
      </c>
      <c r="L10" t="str">
        <f t="shared" ca="1" si="2"/>
        <v>Resource</v>
      </c>
    </row>
    <row r="11" spans="1:14" ht="15.75" customHeight="1">
      <c r="B11" s="3" t="s">
        <v>1078</v>
      </c>
      <c r="D11">
        <f ca="1">IFERROR(__xludf.DUMMYFUNCTION("""COMPUTED_VALUE"""),7)</f>
        <v>7</v>
      </c>
      <c r="E11" t="str">
        <f ca="1">IFERROR(__xludf.DUMMYFUNCTION("""COMPUTED_VALUE"""),"Beton")</f>
        <v>Beton</v>
      </c>
      <c r="F11" t="str">
        <f ca="1">IFERROR(__xludf.DUMMYFUNCTION("""COMPUTED_VALUE"""),"Concrete")</f>
        <v>Concrete</v>
      </c>
      <c r="G11" s="12">
        <f ca="1">IFERROR(__xludf.DUMMYFUNCTION("""COMPUTED_VALUE"""),4581)</f>
        <v>4581</v>
      </c>
      <c r="H11" s="12">
        <f ca="1">IFERROR(__xludf.DUMMYFUNCTION("""COMPUTED_VALUE"""),5176)</f>
        <v>5176</v>
      </c>
      <c r="I11" s="3">
        <f ca="1">IFERROR(__xludf.DUMMYFUNCTION("""COMPUTED_VALUE"""),1772048761)</f>
        <v>1772048761</v>
      </c>
      <c r="J11" s="12">
        <f t="shared" ca="1" si="0"/>
        <v>5176</v>
      </c>
      <c r="K11" s="160">
        <f t="shared" ca="1" si="1"/>
        <v>1.1298843047369569</v>
      </c>
      <c r="L11" t="str">
        <f t="shared" ca="1" si="2"/>
        <v>Product</v>
      </c>
    </row>
    <row r="12" spans="1:14" ht="15.75" customHeight="1">
      <c r="B12" s="3" t="s">
        <v>1079</v>
      </c>
      <c r="D12">
        <f ca="1">IFERROR(__xludf.DUMMYFUNCTION("""COMPUTED_VALUE"""),120)</f>
        <v>120</v>
      </c>
      <c r="E12" t="str">
        <f ca="1">IFERROR(__xludf.DUMMYFUNCTION("""COMPUTED_VALUE"""),"Drohnenwrack")</f>
        <v>Drohnenwrack</v>
      </c>
      <c r="F12" t="str">
        <f ca="1">IFERROR(__xludf.DUMMYFUNCTION("""COMPUTED_VALUE"""),"Drone wreckage")</f>
        <v>Drone wreckage</v>
      </c>
      <c r="G12" s="12">
        <f ca="1">IFERROR(__xludf.DUMMYFUNCTION("""COMPUTED_VALUE"""),9721217)</f>
        <v>9721217</v>
      </c>
      <c r="H12" s="12">
        <f ca="1">IFERROR(__xludf.DUMMYFUNCTION("""COMPUTED_VALUE"""),11294549)</f>
        <v>11294549</v>
      </c>
      <c r="I12" s="3">
        <f ca="1">IFERROR(__xludf.DUMMYFUNCTION("""COMPUTED_VALUE"""),1772048761)</f>
        <v>1772048761</v>
      </c>
      <c r="J12" s="12">
        <f t="shared" ca="1" si="0"/>
        <v>11294549</v>
      </c>
      <c r="K12" s="160">
        <f t="shared" ca="1" si="1"/>
        <v>1.1618451681512716</v>
      </c>
      <c r="L12" t="str">
        <f t="shared" ca="1" si="2"/>
        <v>Loot</v>
      </c>
    </row>
    <row r="13" spans="1:14" ht="15.75" customHeight="1">
      <c r="B13" s="3" t="s">
        <v>1080</v>
      </c>
      <c r="D13">
        <f ca="1">IFERROR(__xludf.DUMMYFUNCTION("""COMPUTED_VALUE"""),22)</f>
        <v>22</v>
      </c>
      <c r="E13" t="str">
        <f ca="1">IFERROR(__xludf.DUMMYFUNCTION("""COMPUTED_VALUE"""),"DÃ¼ngemittel")</f>
        <v>DÃ¼ngemittel</v>
      </c>
      <c r="F13" t="str">
        <f ca="1">IFERROR(__xludf.DUMMYFUNCTION("""COMPUTED_VALUE"""),"Fertilizer")</f>
        <v>Fertilizer</v>
      </c>
      <c r="G13" s="12">
        <f ca="1">IFERROR(__xludf.DUMMYFUNCTION("""COMPUTED_VALUE"""),2171)</f>
        <v>2171</v>
      </c>
      <c r="H13" s="12">
        <f ca="1">IFERROR(__xludf.DUMMYFUNCTION("""COMPUTED_VALUE"""),0)</f>
        <v>0</v>
      </c>
      <c r="I13" s="3">
        <f ca="1">IFERROR(__xludf.DUMMYFUNCTION("""COMPUTED_VALUE"""),1772048761)</f>
        <v>1772048761</v>
      </c>
      <c r="J13" s="12">
        <f t="shared" ca="1" si="0"/>
        <v>2171</v>
      </c>
      <c r="K13" s="160">
        <f t="shared" ca="1" si="1"/>
        <v>0</v>
      </c>
      <c r="L13" t="str">
        <f t="shared" ca="1" si="2"/>
        <v>Product</v>
      </c>
    </row>
    <row r="14" spans="1:14" ht="15.75" customHeight="1">
      <c r="B14" s="3" t="s">
        <v>1081</v>
      </c>
      <c r="D14">
        <f ca="1">IFERROR(__xludf.DUMMYFUNCTION("""COMPUTED_VALUE"""),13)</f>
        <v>13</v>
      </c>
      <c r="E14" t="str">
        <f ca="1">IFERROR(__xludf.DUMMYFUNCTION("""COMPUTED_VALUE"""),"Eisenerz")</f>
        <v>Eisenerz</v>
      </c>
      <c r="F14" t="str">
        <f ca="1">IFERROR(__xludf.DUMMYFUNCTION("""COMPUTED_VALUE"""),"Iron ore")</f>
        <v>Iron ore</v>
      </c>
      <c r="G14" s="12">
        <f ca="1">IFERROR(__xludf.DUMMYFUNCTION("""COMPUTED_VALUE"""),1230)</f>
        <v>1230</v>
      </c>
      <c r="H14" s="12">
        <f ca="1">IFERROR(__xludf.DUMMYFUNCTION("""COMPUTED_VALUE"""),1376)</f>
        <v>1376</v>
      </c>
      <c r="I14" s="3">
        <f ca="1">IFERROR(__xludf.DUMMYFUNCTION("""COMPUTED_VALUE"""),1772048761)</f>
        <v>1772048761</v>
      </c>
      <c r="J14" s="12">
        <f t="shared" ca="1" si="0"/>
        <v>1376</v>
      </c>
      <c r="K14" s="160">
        <f t="shared" ca="1" si="1"/>
        <v>1.1186991869918699</v>
      </c>
      <c r="L14" t="str">
        <f t="shared" ca="1" si="2"/>
        <v>Resource</v>
      </c>
    </row>
    <row r="15" spans="1:14" ht="15.75" customHeight="1">
      <c r="B15" s="3" t="s">
        <v>1082</v>
      </c>
      <c r="D15">
        <f ca="1">IFERROR(__xludf.DUMMYFUNCTION("""COMPUTED_VALUE"""),66)</f>
        <v>66</v>
      </c>
      <c r="E15" t="str">
        <f ca="1">IFERROR(__xludf.DUMMYFUNCTION("""COMPUTED_VALUE"""),"Elektronik")</f>
        <v>Elektronik</v>
      </c>
      <c r="F15" t="str">
        <f ca="1">IFERROR(__xludf.DUMMYFUNCTION("""COMPUTED_VALUE"""),"Electronics")</f>
        <v>Electronics</v>
      </c>
      <c r="G15" s="12">
        <f ca="1">IFERROR(__xludf.DUMMYFUNCTION("""COMPUTED_VALUE"""),63617)</f>
        <v>63617</v>
      </c>
      <c r="H15" s="12">
        <f ca="1">IFERROR(__xludf.DUMMYFUNCTION("""COMPUTED_VALUE"""),63618)</f>
        <v>63618</v>
      </c>
      <c r="I15" s="3">
        <f ca="1">IFERROR(__xludf.DUMMYFUNCTION("""COMPUTED_VALUE"""),1772048761)</f>
        <v>1772048761</v>
      </c>
      <c r="J15" s="12">
        <f t="shared" ca="1" si="0"/>
        <v>63618</v>
      </c>
      <c r="K15" s="160">
        <f t="shared" ca="1" si="1"/>
        <v>1.0000157190688024</v>
      </c>
      <c r="L15" t="str">
        <f t="shared" ca="1" si="2"/>
        <v>Product</v>
      </c>
    </row>
    <row r="16" spans="1:14" ht="15.75" customHeight="1">
      <c r="B16" s="3" t="s">
        <v>1083</v>
      </c>
      <c r="D16">
        <f ca="1">IFERROR(__xludf.DUMMYFUNCTION("""COMPUTED_VALUE"""),78)</f>
        <v>78</v>
      </c>
      <c r="E16" t="str">
        <f ca="1">IFERROR(__xludf.DUMMYFUNCTION("""COMPUTED_VALUE"""),"Elektronikschrott")</f>
        <v>Elektronikschrott</v>
      </c>
      <c r="F16" t="str">
        <f ca="1">IFERROR(__xludf.DUMMYFUNCTION("""COMPUTED_VALUE"""),"Electronic scrap")</f>
        <v>Electronic scrap</v>
      </c>
      <c r="G16" s="12">
        <f ca="1">IFERROR(__xludf.DUMMYFUNCTION("""COMPUTED_VALUE"""),160672)</f>
        <v>160672</v>
      </c>
      <c r="H16" s="12">
        <f ca="1">IFERROR(__xludf.DUMMYFUNCTION("""COMPUTED_VALUE"""),191283)</f>
        <v>191283</v>
      </c>
      <c r="I16" s="3">
        <f ca="1">IFERROR(__xludf.DUMMYFUNCTION("""COMPUTED_VALUE"""),1772048761)</f>
        <v>1772048761</v>
      </c>
      <c r="J16" s="12">
        <f t="shared" ca="1" si="0"/>
        <v>191283</v>
      </c>
      <c r="K16" s="160">
        <f t="shared" ca="1" si="1"/>
        <v>1.1905185719976101</v>
      </c>
      <c r="L16" t="str">
        <f t="shared" ca="1" si="2"/>
        <v>Loot</v>
      </c>
    </row>
    <row r="17" spans="2:14" ht="15.75" customHeight="1">
      <c r="B17" s="3" t="s">
        <v>1084</v>
      </c>
      <c r="D17">
        <f ca="1">IFERROR(__xludf.DUMMYFUNCTION("""COMPUTED_VALUE"""),99)</f>
        <v>99</v>
      </c>
      <c r="E17" t="str">
        <f ca="1">IFERROR(__xludf.DUMMYFUNCTION("""COMPUTED_VALUE"""),"Elitetruppe")</f>
        <v>Elitetruppe</v>
      </c>
      <c r="F17" t="str">
        <f ca="1">IFERROR(__xludf.DUMMYFUNCTION("""COMPUTED_VALUE"""),"Elite force")</f>
        <v>Elite force</v>
      </c>
      <c r="G17" s="12">
        <f ca="1">IFERROR(__xludf.DUMMYFUNCTION("""COMPUTED_VALUE"""),27675086)</f>
        <v>27675086</v>
      </c>
      <c r="H17" s="12">
        <f ca="1">IFERROR(__xludf.DUMMYFUNCTION("""COMPUTED_VALUE"""),32970000)</f>
        <v>32970000</v>
      </c>
      <c r="I17" s="3">
        <f ca="1">IFERROR(__xludf.DUMMYFUNCTION("""COMPUTED_VALUE"""),1772048761)</f>
        <v>1772048761</v>
      </c>
      <c r="J17" s="12">
        <f t="shared" ca="1" si="0"/>
        <v>32970000</v>
      </c>
      <c r="K17" s="160">
        <f t="shared" ca="1" si="1"/>
        <v>1.1913242112418367</v>
      </c>
      <c r="L17" t="str">
        <f t="shared" ca="1" si="2"/>
        <v>Unit</v>
      </c>
    </row>
    <row r="18" spans="2:14" ht="15.75" customHeight="1">
      <c r="B18" s="3" t="s">
        <v>1085</v>
      </c>
      <c r="D18">
        <f ca="1">IFERROR(__xludf.DUMMYFUNCTION("""COMPUTED_VALUE"""),38)</f>
        <v>38</v>
      </c>
      <c r="E18" t="str">
        <f ca="1">IFERROR(__xludf.DUMMYFUNCTION("""COMPUTED_VALUE"""),"Foss. Brennstoffe")</f>
        <v>Foss. Brennstoffe</v>
      </c>
      <c r="F18" t="str">
        <f ca="1">IFERROR(__xludf.DUMMYFUNCTION("""COMPUTED_VALUE"""),"Fossil fuel")</f>
        <v>Fossil fuel</v>
      </c>
      <c r="G18" s="12">
        <f ca="1">IFERROR(__xludf.DUMMYFUNCTION("""COMPUTED_VALUE"""),28087)</f>
        <v>28087</v>
      </c>
      <c r="H18" s="12">
        <f ca="1">IFERROR(__xludf.DUMMYFUNCTION("""COMPUTED_VALUE"""),32133)</f>
        <v>32133</v>
      </c>
      <c r="I18" s="3">
        <f ca="1">IFERROR(__xludf.DUMMYFUNCTION("""COMPUTED_VALUE"""),1772048761)</f>
        <v>1772048761</v>
      </c>
      <c r="J18" s="12">
        <f t="shared" ca="1" si="0"/>
        <v>32133</v>
      </c>
      <c r="K18" s="160">
        <f t="shared" ca="1" si="1"/>
        <v>1.1440524085876027</v>
      </c>
      <c r="L18" t="str">
        <f t="shared" ca="1" si="2"/>
        <v>Product</v>
      </c>
    </row>
    <row r="19" spans="2:14" ht="15.75" customHeight="1">
      <c r="B19" s="3" t="s">
        <v>1086</v>
      </c>
      <c r="D19">
        <f ca="1">IFERROR(__xludf.DUMMYFUNCTION("""COMPUTED_VALUE"""),41)</f>
        <v>41</v>
      </c>
      <c r="E19" t="str">
        <f ca="1">IFERROR(__xludf.DUMMYFUNCTION("""COMPUTED_VALUE"""),"Fossilien")</f>
        <v>Fossilien</v>
      </c>
      <c r="F19" t="str">
        <f ca="1">IFERROR(__xludf.DUMMYFUNCTION("""COMPUTED_VALUE"""),"Fossils")</f>
        <v>Fossils</v>
      </c>
      <c r="G19" s="12">
        <f ca="1">IFERROR(__xludf.DUMMYFUNCTION("""COMPUTED_VALUE"""),11000)</f>
        <v>11000</v>
      </c>
      <c r="H19" s="12">
        <f ca="1">IFERROR(__xludf.DUMMYFUNCTION("""COMPUTED_VALUE"""),14400)</f>
        <v>14400</v>
      </c>
      <c r="I19" s="3">
        <f ca="1">IFERROR(__xludf.DUMMYFUNCTION("""COMPUTED_VALUE"""),1772048761)</f>
        <v>1772048761</v>
      </c>
      <c r="J19" s="12">
        <f t="shared" ca="1" si="0"/>
        <v>14400</v>
      </c>
      <c r="K19" s="160">
        <f t="shared" ca="1" si="1"/>
        <v>1.3090909090909091</v>
      </c>
      <c r="L19" t="str">
        <f t="shared" ca="1" si="2"/>
        <v>Loot</v>
      </c>
    </row>
    <row r="20" spans="2:14" ht="15.75" customHeight="1">
      <c r="B20" s="3" t="s">
        <v>1087</v>
      </c>
      <c r="D20">
        <f ca="1">IFERROR(__xludf.DUMMYFUNCTION("""COMPUTED_VALUE"""),103)</f>
        <v>103</v>
      </c>
      <c r="E20" t="str">
        <f ca="1">IFERROR(__xludf.DUMMYFUNCTION("""COMPUTED_VALUE"""),"Gangster")</f>
        <v>Gangster</v>
      </c>
      <c r="F20" t="str">
        <f ca="1">IFERROR(__xludf.DUMMYFUNCTION("""COMPUTED_VALUE"""),"Gangster")</f>
        <v>Gangster</v>
      </c>
      <c r="G20" s="12">
        <f ca="1">IFERROR(__xludf.DUMMYFUNCTION("""COMPUTED_VALUE"""),10983222)</f>
        <v>10983222</v>
      </c>
      <c r="H20" s="12">
        <f ca="1">IFERROR(__xludf.DUMMYFUNCTION("""COMPUTED_VALUE"""),15150000)</f>
        <v>15150000</v>
      </c>
      <c r="I20" s="3">
        <f ca="1">IFERROR(__xludf.DUMMYFUNCTION("""COMPUTED_VALUE"""),1772048761)</f>
        <v>1772048761</v>
      </c>
      <c r="J20" s="12">
        <f t="shared" ca="1" si="0"/>
        <v>15150000</v>
      </c>
      <c r="K20" s="160">
        <f t="shared" ca="1" si="1"/>
        <v>1.3793766528619744</v>
      </c>
      <c r="L20" t="str">
        <f t="shared" ca="1" si="2"/>
        <v>Unit</v>
      </c>
    </row>
    <row r="21" spans="2:14" ht="15.75" customHeight="1">
      <c r="B21" s="3" t="s">
        <v>1088</v>
      </c>
      <c r="D21">
        <f ca="1">IFERROR(__xludf.DUMMYFUNCTION("""COMPUTED_VALUE"""),160)</f>
        <v>160</v>
      </c>
      <c r="E21" t="str">
        <f ca="1">IFERROR(__xludf.DUMMYFUNCTION("""COMPUTED_VALUE"""),"Gastarbeiter")</f>
        <v>Gastarbeiter</v>
      </c>
      <c r="F21" t="str">
        <f ca="1">IFERROR(__xludf.DUMMYFUNCTION("""COMPUTED_VALUE"""),"Guest workers")</f>
        <v>Guest workers</v>
      </c>
      <c r="G21" s="12">
        <f ca="1">IFERROR(__xludf.DUMMYFUNCTION("""COMPUTED_VALUE"""),27628618957)</f>
        <v>27628618957</v>
      </c>
      <c r="H21" s="12">
        <f ca="1">IFERROR(__xludf.DUMMYFUNCTION("""COMPUTED_VALUE"""),34343434343)</f>
        <v>34343434343</v>
      </c>
      <c r="I21" s="3">
        <f ca="1">IFERROR(__xludf.DUMMYFUNCTION("""COMPUTED_VALUE"""),1772048761)</f>
        <v>1772048761</v>
      </c>
      <c r="J21" s="12">
        <f t="shared" ca="1" si="0"/>
        <v>34343434343</v>
      </c>
      <c r="K21" s="160">
        <f t="shared" ca="1" si="1"/>
        <v>1.2430384014651854</v>
      </c>
      <c r="L21" t="e">
        <f t="shared" ca="1" si="2"/>
        <v>#N/A</v>
      </c>
    </row>
    <row r="22" spans="2:14" ht="15.75" customHeight="1">
      <c r="B22" s="3" t="s">
        <v>1089</v>
      </c>
      <c r="D22">
        <f ca="1">IFERROR(__xludf.DUMMYFUNCTION("""COMPUTED_VALUE"""),60)</f>
        <v>60</v>
      </c>
      <c r="E22" t="str">
        <f ca="1">IFERROR(__xludf.DUMMYFUNCTION("""COMPUTED_VALUE"""),"Glas")</f>
        <v>Glas</v>
      </c>
      <c r="F22" t="str">
        <f ca="1">IFERROR(__xludf.DUMMYFUNCTION("""COMPUTED_VALUE"""),"Glass")</f>
        <v>Glass</v>
      </c>
      <c r="G22" s="12">
        <f ca="1">IFERROR(__xludf.DUMMYFUNCTION("""COMPUTED_VALUE"""),43145)</f>
        <v>43145</v>
      </c>
      <c r="H22" s="12">
        <f ca="1">IFERROR(__xludf.DUMMYFUNCTION("""COMPUTED_VALUE"""),50209)</f>
        <v>50209</v>
      </c>
      <c r="I22" s="3">
        <f ca="1">IFERROR(__xludf.DUMMYFUNCTION("""COMPUTED_VALUE"""),1772048761)</f>
        <v>1772048761</v>
      </c>
      <c r="J22" s="12">
        <f t="shared" ca="1" si="0"/>
        <v>50209</v>
      </c>
      <c r="K22" s="160">
        <f t="shared" ca="1" si="1"/>
        <v>1.1637269672036157</v>
      </c>
      <c r="L22" t="str">
        <f t="shared" ca="1" si="2"/>
        <v>Product</v>
      </c>
    </row>
    <row r="23" spans="2:14" ht="15.75" customHeight="1">
      <c r="B23" s="3" t="s">
        <v>1090</v>
      </c>
      <c r="D23">
        <f ca="1">IFERROR(__xludf.DUMMYFUNCTION("""COMPUTED_VALUE"""),79)</f>
        <v>79</v>
      </c>
      <c r="E23" t="str">
        <f ca="1">IFERROR(__xludf.DUMMYFUNCTION("""COMPUTED_VALUE"""),"Gold")</f>
        <v>Gold</v>
      </c>
      <c r="F23" t="str">
        <f ca="1">IFERROR(__xludf.DUMMYFUNCTION("""COMPUTED_VALUE"""),"Gold")</f>
        <v>Gold</v>
      </c>
      <c r="G23" s="12">
        <f ca="1">IFERROR(__xludf.DUMMYFUNCTION("""COMPUTED_VALUE"""),62446)</f>
        <v>62446</v>
      </c>
      <c r="H23" s="12">
        <f ca="1">IFERROR(__xludf.DUMMYFUNCTION("""COMPUTED_VALUE"""),62362)</f>
        <v>62362</v>
      </c>
      <c r="I23" s="3">
        <f ca="1">IFERROR(__xludf.DUMMYFUNCTION("""COMPUTED_VALUE"""),1772048761)</f>
        <v>1772048761</v>
      </c>
      <c r="J23" s="12">
        <f t="shared" ca="1" si="0"/>
        <v>62446</v>
      </c>
      <c r="K23" s="160">
        <f t="shared" ca="1" si="1"/>
        <v>0.99865483777984176</v>
      </c>
      <c r="L23" t="str">
        <f t="shared" ca="1" si="2"/>
        <v>Product</v>
      </c>
    </row>
    <row r="24" spans="2:14" ht="15.75" customHeight="1">
      <c r="B24" s="3" t="s">
        <v>1091</v>
      </c>
      <c r="D24">
        <f ca="1">IFERROR(__xludf.DUMMYFUNCTION("""COMPUTED_VALUE"""),14)</f>
        <v>14</v>
      </c>
      <c r="E24" t="str">
        <f ca="1">IFERROR(__xludf.DUMMYFUNCTION("""COMPUTED_VALUE"""),"Golderz")</f>
        <v>Golderz</v>
      </c>
      <c r="F24" t="str">
        <f ca="1">IFERROR(__xludf.DUMMYFUNCTION("""COMPUTED_VALUE"""),"Gold ore")</f>
        <v>Gold ore</v>
      </c>
      <c r="G24" s="12">
        <f ca="1">IFERROR(__xludf.DUMMYFUNCTION("""COMPUTED_VALUE"""),952)</f>
        <v>952</v>
      </c>
      <c r="H24" s="12">
        <f ca="1">IFERROR(__xludf.DUMMYFUNCTION("""COMPUTED_VALUE"""),0)</f>
        <v>0</v>
      </c>
      <c r="I24" s="3">
        <f ca="1">IFERROR(__xludf.DUMMYFUNCTION("""COMPUTED_VALUE"""),1772048761)</f>
        <v>1772048761</v>
      </c>
      <c r="J24" s="12">
        <f t="shared" ca="1" si="0"/>
        <v>952</v>
      </c>
      <c r="K24" s="160">
        <f t="shared" ca="1" si="1"/>
        <v>0</v>
      </c>
      <c r="L24" t="str">
        <f t="shared" ca="1" si="2"/>
        <v>Resource</v>
      </c>
    </row>
    <row r="25" spans="2:14" ht="15.75" customHeight="1">
      <c r="B25" s="3" t="s">
        <v>1092</v>
      </c>
      <c r="D25">
        <f ca="1">IFERROR(__xludf.DUMMYFUNCTION("""COMPUTED_VALUE"""),49)</f>
        <v>49</v>
      </c>
      <c r="E25" t="str">
        <f ca="1">IFERROR(__xludf.DUMMYFUNCTION("""COMPUTED_VALUE"""),"Ilmenit")</f>
        <v>Ilmenit</v>
      </c>
      <c r="F25" t="str">
        <f ca="1">IFERROR(__xludf.DUMMYFUNCTION("""COMPUTED_VALUE"""),"Ilmenite")</f>
        <v>Ilmenite</v>
      </c>
      <c r="G25" s="12">
        <f ca="1">IFERROR(__xludf.DUMMYFUNCTION("""COMPUTED_VALUE"""),300)</f>
        <v>300</v>
      </c>
      <c r="H25" s="12">
        <f ca="1">IFERROR(__xludf.DUMMYFUNCTION("""COMPUTED_VALUE"""),0)</f>
        <v>0</v>
      </c>
      <c r="I25" s="3">
        <f ca="1">IFERROR(__xludf.DUMMYFUNCTION("""COMPUTED_VALUE"""),1772048761)</f>
        <v>1772048761</v>
      </c>
      <c r="J25" s="12">
        <f t="shared" ca="1" si="0"/>
        <v>300</v>
      </c>
      <c r="K25" s="160">
        <f t="shared" ca="1" si="1"/>
        <v>0</v>
      </c>
      <c r="L25" t="str">
        <f t="shared" ca="1" si="2"/>
        <v>Resource</v>
      </c>
    </row>
    <row r="26" spans="2:14" ht="15.75" customHeight="1">
      <c r="B26" s="3" t="s">
        <v>1093</v>
      </c>
      <c r="D26">
        <f ca="1">IFERROR(__xludf.DUMMYFUNCTION("""COMPUTED_VALUE"""),28)</f>
        <v>28</v>
      </c>
      <c r="E26" t="str">
        <f ca="1">IFERROR(__xludf.DUMMYFUNCTION("""COMPUTED_VALUE"""),"Insektizide")</f>
        <v>Insektizide</v>
      </c>
      <c r="F26" t="str">
        <f ca="1">IFERROR(__xludf.DUMMYFUNCTION("""COMPUTED_VALUE"""),"Insecticides")</f>
        <v>Insecticides</v>
      </c>
      <c r="G26" s="12">
        <f ca="1">IFERROR(__xludf.DUMMYFUNCTION("""COMPUTED_VALUE"""),4319)</f>
        <v>4319</v>
      </c>
      <c r="H26" s="12">
        <f ca="1">IFERROR(__xludf.DUMMYFUNCTION("""COMPUTED_VALUE"""),4362)</f>
        <v>4362</v>
      </c>
      <c r="I26" s="3">
        <f ca="1">IFERROR(__xludf.DUMMYFUNCTION("""COMPUTED_VALUE"""),1772048761)</f>
        <v>1772048761</v>
      </c>
      <c r="J26" s="12">
        <f t="shared" ca="1" si="0"/>
        <v>4362</v>
      </c>
      <c r="K26" s="160">
        <f t="shared" ca="1" si="1"/>
        <v>1.0099560083352628</v>
      </c>
      <c r="L26" t="str">
        <f t="shared" ca="1" si="2"/>
        <v>Product</v>
      </c>
    </row>
    <row r="27" spans="2:14" ht="15.75" customHeight="1">
      <c r="B27" s="3" t="s">
        <v>1094</v>
      </c>
      <c r="D27">
        <f ca="1">IFERROR(__xludf.DUMMYFUNCTION("""COMPUTED_VALUE"""),20)</f>
        <v>20</v>
      </c>
      <c r="E27" t="str">
        <f ca="1">IFERROR(__xludf.DUMMYFUNCTION("""COMPUTED_VALUE"""),"Kalkstein")</f>
        <v>Kalkstein</v>
      </c>
      <c r="F27" t="str">
        <f ca="1">IFERROR(__xludf.DUMMYFUNCTION("""COMPUTED_VALUE"""),"Limestone")</f>
        <v>Limestone</v>
      </c>
      <c r="G27" s="12">
        <f ca="1">IFERROR(__xludf.DUMMYFUNCTION("""COMPUTED_VALUE"""),502)</f>
        <v>502</v>
      </c>
      <c r="H27" s="12">
        <f ca="1">IFERROR(__xludf.DUMMYFUNCTION("""COMPUTED_VALUE"""),512)</f>
        <v>512</v>
      </c>
      <c r="I27" s="3">
        <f ca="1">IFERROR(__xludf.DUMMYFUNCTION("""COMPUTED_VALUE"""),1772048761)</f>
        <v>1772048761</v>
      </c>
      <c r="J27" s="12">
        <f t="shared" ca="1" si="0"/>
        <v>512</v>
      </c>
      <c r="K27" s="160">
        <f t="shared" ca="1" si="1"/>
        <v>1.0199203187250996</v>
      </c>
      <c r="L27" t="str">
        <f t="shared" ca="1" si="2"/>
        <v>Resource</v>
      </c>
      <c r="N27" s="3"/>
    </row>
    <row r="28" spans="2:14" ht="15.75" customHeight="1">
      <c r="B28" s="3" t="s">
        <v>1095</v>
      </c>
      <c r="D28">
        <f ca="1">IFERROR(__xludf.DUMMYFUNCTION("""COMPUTED_VALUE"""),102)</f>
        <v>102</v>
      </c>
      <c r="E28" t="str">
        <f ca="1">IFERROR(__xludf.DUMMYFUNCTION("""COMPUTED_VALUE"""),"Kampfhunde")</f>
        <v>Kampfhunde</v>
      </c>
      <c r="F28" t="str">
        <f ca="1">IFERROR(__xludf.DUMMYFUNCTION("""COMPUTED_VALUE"""),"Attack dogs")</f>
        <v>Attack dogs</v>
      </c>
      <c r="G28" s="12">
        <f ca="1">IFERROR(__xludf.DUMMYFUNCTION("""COMPUTED_VALUE"""),970115)</f>
        <v>970115</v>
      </c>
      <c r="H28" s="12">
        <f ca="1">IFERROR(__xludf.DUMMYFUNCTION("""COMPUTED_VALUE"""),1246196)</f>
        <v>1246196</v>
      </c>
      <c r="I28" s="3">
        <f ca="1">IFERROR(__xludf.DUMMYFUNCTION("""COMPUTED_VALUE"""),1772048761)</f>
        <v>1772048761</v>
      </c>
      <c r="J28" s="12">
        <f t="shared" ca="1" si="0"/>
        <v>1246196</v>
      </c>
      <c r="K28" s="160">
        <f t="shared" ca="1" si="1"/>
        <v>1.2845858480695587</v>
      </c>
      <c r="L28" t="str">
        <f t="shared" ca="1" si="2"/>
        <v>Unit</v>
      </c>
    </row>
    <row r="29" spans="2:14" ht="15.75" customHeight="1">
      <c r="B29" s="3" t="s">
        <v>1096</v>
      </c>
      <c r="D29">
        <f ca="1">IFERROR(__xludf.DUMMYFUNCTION("""COMPUTED_VALUE"""),3)</f>
        <v>3</v>
      </c>
      <c r="E29" t="str">
        <f ca="1">IFERROR(__xludf.DUMMYFUNCTION("""COMPUTED_VALUE"""),"Kies")</f>
        <v>Kies</v>
      </c>
      <c r="F29" t="str">
        <f ca="1">IFERROR(__xludf.DUMMYFUNCTION("""COMPUTED_VALUE"""),"Gravel")</f>
        <v>Gravel</v>
      </c>
      <c r="G29" s="12">
        <f ca="1">IFERROR(__xludf.DUMMYFUNCTION("""COMPUTED_VALUE"""),476)</f>
        <v>476</v>
      </c>
      <c r="H29" s="12">
        <f ca="1">IFERROR(__xludf.DUMMYFUNCTION("""COMPUTED_VALUE"""),480)</f>
        <v>480</v>
      </c>
      <c r="I29" s="3">
        <f ca="1">IFERROR(__xludf.DUMMYFUNCTION("""COMPUTED_VALUE"""),1772048761)</f>
        <v>1772048761</v>
      </c>
      <c r="J29" s="12">
        <f t="shared" ca="1" si="0"/>
        <v>480</v>
      </c>
      <c r="K29" s="160">
        <f t="shared" ca="1" si="1"/>
        <v>1.0084033613445378</v>
      </c>
      <c r="L29" t="str">
        <f t="shared" ca="1" si="2"/>
        <v>Resource</v>
      </c>
    </row>
    <row r="30" spans="2:14" ht="15.75" customHeight="1">
      <c r="B30" s="3" t="s">
        <v>1097</v>
      </c>
      <c r="D30">
        <f ca="1">IFERROR(__xludf.DUMMYFUNCTION("""COMPUTED_VALUE"""),8)</f>
        <v>8</v>
      </c>
      <c r="E30" t="str">
        <f ca="1">IFERROR(__xludf.DUMMYFUNCTION("""COMPUTED_VALUE"""),"Kohle")</f>
        <v>Kohle</v>
      </c>
      <c r="F30" t="str">
        <f ca="1">IFERROR(__xludf.DUMMYFUNCTION("""COMPUTED_VALUE"""),"Coal")</f>
        <v>Coal</v>
      </c>
      <c r="G30" s="12">
        <f ca="1">IFERROR(__xludf.DUMMYFUNCTION("""COMPUTED_VALUE"""),2430)</f>
        <v>2430</v>
      </c>
      <c r="H30" s="12">
        <f ca="1">IFERROR(__xludf.DUMMYFUNCTION("""COMPUTED_VALUE"""),2416)</f>
        <v>2416</v>
      </c>
      <c r="I30" s="3">
        <f ca="1">IFERROR(__xludf.DUMMYFUNCTION("""COMPUTED_VALUE"""),1772048761)</f>
        <v>1772048761</v>
      </c>
      <c r="J30" s="12">
        <f t="shared" ca="1" si="0"/>
        <v>2430</v>
      </c>
      <c r="K30" s="160">
        <f t="shared" ca="1" si="1"/>
        <v>0.99423868312757202</v>
      </c>
      <c r="L30" t="str">
        <f t="shared" ca="1" si="2"/>
        <v>Resource</v>
      </c>
    </row>
    <row r="31" spans="2:14" ht="15.75" customHeight="1">
      <c r="B31" s="3" t="s">
        <v>1098</v>
      </c>
      <c r="D31">
        <f ca="1">IFERROR(__xludf.DUMMYFUNCTION("""COMPUTED_VALUE"""),58)</f>
        <v>58</v>
      </c>
      <c r="E31" t="str">
        <f ca="1">IFERROR(__xludf.DUMMYFUNCTION("""COMPUTED_VALUE"""),"Kunststoffe")</f>
        <v>Kunststoffe</v>
      </c>
      <c r="F31" t="str">
        <f ca="1">IFERROR(__xludf.DUMMYFUNCTION("""COMPUTED_VALUE"""),"Plastics")</f>
        <v>Plastics</v>
      </c>
      <c r="G31" s="12">
        <f ca="1">IFERROR(__xludf.DUMMYFUNCTION("""COMPUTED_VALUE"""),4256)</f>
        <v>4256</v>
      </c>
      <c r="H31" s="12">
        <f ca="1">IFERROR(__xludf.DUMMYFUNCTION("""COMPUTED_VALUE"""),4802)</f>
        <v>4802</v>
      </c>
      <c r="I31" s="3">
        <f ca="1">IFERROR(__xludf.DUMMYFUNCTION("""COMPUTED_VALUE"""),1772048761)</f>
        <v>1772048761</v>
      </c>
      <c r="J31" s="12">
        <f t="shared" ca="1" si="0"/>
        <v>4802</v>
      </c>
      <c r="K31" s="160">
        <f t="shared" ca="1" si="1"/>
        <v>1.1282894736842106</v>
      </c>
      <c r="L31" t="str">
        <f t="shared" ca="1" si="2"/>
        <v>Product</v>
      </c>
    </row>
    <row r="32" spans="2:14" ht="15.75" customHeight="1">
      <c r="B32" s="3" t="s">
        <v>1099</v>
      </c>
      <c r="D32">
        <f ca="1">IFERROR(__xludf.DUMMYFUNCTION("""COMPUTED_VALUE"""),77)</f>
        <v>77</v>
      </c>
      <c r="E32" t="str">
        <f ca="1">IFERROR(__xludf.DUMMYFUNCTION("""COMPUTED_VALUE"""),"Kunststoffschrott")</f>
        <v>Kunststoffschrott</v>
      </c>
      <c r="F32" t="str">
        <f ca="1">IFERROR(__xludf.DUMMYFUNCTION("""COMPUTED_VALUE"""),"Plastic scrap")</f>
        <v>Plastic scrap</v>
      </c>
      <c r="G32" s="12">
        <f ca="1">IFERROR(__xludf.DUMMYFUNCTION("""COMPUTED_VALUE"""),9749)</f>
        <v>9749</v>
      </c>
      <c r="H32" s="12">
        <f ca="1">IFERROR(__xludf.DUMMYFUNCTION("""COMPUTED_VALUE"""),10621)</f>
        <v>10621</v>
      </c>
      <c r="I32" s="3">
        <f ca="1">IFERROR(__xludf.DUMMYFUNCTION("""COMPUTED_VALUE"""),1772048761)</f>
        <v>1772048761</v>
      </c>
      <c r="J32" s="12">
        <f t="shared" ca="1" si="0"/>
        <v>10621</v>
      </c>
      <c r="K32" s="160">
        <f t="shared" ca="1" si="1"/>
        <v>1.0894450712893631</v>
      </c>
      <c r="L32" t="str">
        <f t="shared" ca="1" si="2"/>
        <v>Loot</v>
      </c>
    </row>
    <row r="33" spans="2:12" ht="15.75" customHeight="1">
      <c r="B33" s="3" t="s">
        <v>1100</v>
      </c>
      <c r="D33">
        <f ca="1">IFERROR(__xludf.DUMMYFUNCTION("""COMPUTED_VALUE"""),36)</f>
        <v>36</v>
      </c>
      <c r="E33" t="str">
        <f ca="1">IFERROR(__xludf.DUMMYFUNCTION("""COMPUTED_VALUE"""),"Kupfer")</f>
        <v>Kupfer</v>
      </c>
      <c r="F33" t="str">
        <f ca="1">IFERROR(__xludf.DUMMYFUNCTION("""COMPUTED_VALUE"""),"Copper")</f>
        <v>Copper</v>
      </c>
      <c r="G33" s="12">
        <f ca="1">IFERROR(__xludf.DUMMYFUNCTION("""COMPUTED_VALUE"""),86467)</f>
        <v>86467</v>
      </c>
      <c r="H33" s="12">
        <f ca="1">IFERROR(__xludf.DUMMYFUNCTION("""COMPUTED_VALUE"""),87335)</f>
        <v>87335</v>
      </c>
      <c r="I33" s="3">
        <f ca="1">IFERROR(__xludf.DUMMYFUNCTION("""COMPUTED_VALUE"""),1772048761)</f>
        <v>1772048761</v>
      </c>
      <c r="J33" s="12">
        <f t="shared" ca="1" si="0"/>
        <v>87335</v>
      </c>
      <c r="K33" s="160">
        <f t="shared" ca="1" si="1"/>
        <v>1.0100385118021904</v>
      </c>
      <c r="L33" t="str">
        <f t="shared" ca="1" si="2"/>
        <v>Product</v>
      </c>
    </row>
    <row r="34" spans="2:12" ht="15.75" customHeight="1">
      <c r="B34" s="3" t="s">
        <v>1101</v>
      </c>
      <c r="D34">
        <f ca="1">IFERROR(__xludf.DUMMYFUNCTION("""COMPUTED_VALUE"""),26)</f>
        <v>26</v>
      </c>
      <c r="E34" t="str">
        <f ca="1">IFERROR(__xludf.DUMMYFUNCTION("""COMPUTED_VALUE"""),"Kupferkies")</f>
        <v>Kupferkies</v>
      </c>
      <c r="F34" t="str">
        <f ca="1">IFERROR(__xludf.DUMMYFUNCTION("""COMPUTED_VALUE"""),"Chalcopyrite")</f>
        <v>Chalcopyrite</v>
      </c>
      <c r="G34" s="12">
        <f ca="1">IFERROR(__xludf.DUMMYFUNCTION("""COMPUTED_VALUE"""),1357)</f>
        <v>1357</v>
      </c>
      <c r="H34" s="12">
        <f ca="1">IFERROR(__xludf.DUMMYFUNCTION("""COMPUTED_VALUE"""),0)</f>
        <v>0</v>
      </c>
      <c r="I34" s="3">
        <f ca="1">IFERROR(__xludf.DUMMYFUNCTION("""COMPUTED_VALUE"""),1772048761)</f>
        <v>1772048761</v>
      </c>
      <c r="J34" s="12">
        <f t="shared" ca="1" si="0"/>
        <v>1357</v>
      </c>
      <c r="K34" s="160">
        <f t="shared" ca="1" si="1"/>
        <v>0</v>
      </c>
      <c r="L34" t="str">
        <f t="shared" ca="1" si="2"/>
        <v>Resource</v>
      </c>
    </row>
    <row r="35" spans="2:12" ht="15.75" customHeight="1">
      <c r="B35" s="3" t="s">
        <v>1102</v>
      </c>
      <c r="D35">
        <f ca="1">IFERROR(__xludf.DUMMYFUNCTION("""COMPUTED_VALUE"""),55)</f>
        <v>55</v>
      </c>
      <c r="E35" t="str">
        <f ca="1">IFERROR(__xludf.DUMMYFUNCTION("""COMPUTED_VALUE"""),"KupfermÃ¼nzen")</f>
        <v>KupfermÃ¼nzen</v>
      </c>
      <c r="F35" t="str">
        <f ca="1">IFERROR(__xludf.DUMMYFUNCTION("""COMPUTED_VALUE"""),"Copper coins")</f>
        <v>Copper coins</v>
      </c>
      <c r="G35" s="12">
        <f ca="1">IFERROR(__xludf.DUMMYFUNCTION("""COMPUTED_VALUE"""),20227)</f>
        <v>20227</v>
      </c>
      <c r="H35" s="12">
        <f ca="1">IFERROR(__xludf.DUMMYFUNCTION("""COMPUTED_VALUE"""),25250)</f>
        <v>25250</v>
      </c>
      <c r="I35" s="3">
        <f ca="1">IFERROR(__xludf.DUMMYFUNCTION("""COMPUTED_VALUE"""),1772048761)</f>
        <v>1772048761</v>
      </c>
      <c r="J35" s="12">
        <f t="shared" ca="1" si="0"/>
        <v>25250</v>
      </c>
      <c r="K35" s="160">
        <f t="shared" ca="1" si="1"/>
        <v>1.2483314381766946</v>
      </c>
      <c r="L35" t="str">
        <f t="shared" ca="1" si="2"/>
        <v>Loot</v>
      </c>
    </row>
    <row r="36" spans="2:12" ht="15.75" customHeight="1">
      <c r="B36" s="3" t="s">
        <v>1103</v>
      </c>
      <c r="D36">
        <f ca="1">IFERROR(__xludf.DUMMYFUNCTION("""COMPUTED_VALUE"""),124)</f>
        <v>124</v>
      </c>
      <c r="E36" t="str">
        <f ca="1">IFERROR(__xludf.DUMMYFUNCTION("""COMPUTED_VALUE"""),"Lastwagen")</f>
        <v>Lastwagen</v>
      </c>
      <c r="F36" t="str">
        <f ca="1">IFERROR(__xludf.DUMMYFUNCTION("""COMPUTED_VALUE"""),"Trucks")</f>
        <v>Trucks</v>
      </c>
      <c r="G36" s="12">
        <f ca="1">IFERROR(__xludf.DUMMYFUNCTION("""COMPUTED_VALUE"""),293227)</f>
        <v>293227</v>
      </c>
      <c r="H36" s="12">
        <f ca="1">IFERROR(__xludf.DUMMYFUNCTION("""COMPUTED_VALUE"""),299273)</f>
        <v>299273</v>
      </c>
      <c r="I36" s="3">
        <f ca="1">IFERROR(__xludf.DUMMYFUNCTION("""COMPUTED_VALUE"""),1772048761)</f>
        <v>1772048761</v>
      </c>
      <c r="J36" s="12">
        <f t="shared" ca="1" si="0"/>
        <v>299273</v>
      </c>
      <c r="K36" s="160">
        <f t="shared" ca="1" si="1"/>
        <v>1.020618837965126</v>
      </c>
      <c r="L36" t="e">
        <f t="shared" ref="L36:L61" ca="1" si="3">VLOOKUP($D36,TblResourcesType,4,FALSE)</f>
        <v>#N/A</v>
      </c>
    </row>
    <row r="37" spans="2:12" ht="15.75" customHeight="1">
      <c r="B37" s="3" t="s">
        <v>1104</v>
      </c>
      <c r="D37">
        <f ca="1">IFERROR(__xludf.DUMMYFUNCTION("""COMPUTED_VALUE"""),2)</f>
        <v>2</v>
      </c>
      <c r="E37" t="str">
        <f ca="1">IFERROR(__xludf.DUMMYFUNCTION("""COMPUTED_VALUE"""),"Lehm")</f>
        <v>Lehm</v>
      </c>
      <c r="F37" t="str">
        <f ca="1">IFERROR(__xludf.DUMMYFUNCTION("""COMPUTED_VALUE"""),"Clay")</f>
        <v>Clay</v>
      </c>
      <c r="G37" s="12">
        <f ca="1">IFERROR(__xludf.DUMMYFUNCTION("""COMPUTED_VALUE"""),350)</f>
        <v>350</v>
      </c>
      <c r="H37" s="12">
        <f ca="1">IFERROR(__xludf.DUMMYFUNCTION("""COMPUTED_VALUE"""),0)</f>
        <v>0</v>
      </c>
      <c r="I37" s="3">
        <f ca="1">IFERROR(__xludf.DUMMYFUNCTION("""COMPUTED_VALUE"""),1772048761)</f>
        <v>1772048761</v>
      </c>
      <c r="J37" s="12">
        <f t="shared" ca="1" si="0"/>
        <v>350</v>
      </c>
      <c r="K37" s="160">
        <f t="shared" ca="1" si="1"/>
        <v>0</v>
      </c>
      <c r="L37" t="str">
        <f t="shared" ca="1" si="3"/>
        <v>Resource</v>
      </c>
    </row>
    <row r="38" spans="2:12" ht="15.75" customHeight="1">
      <c r="B38" s="3" t="s">
        <v>1105</v>
      </c>
      <c r="D38">
        <f ca="1">IFERROR(__xludf.DUMMYFUNCTION("""COMPUTED_VALUE"""),92)</f>
        <v>92</v>
      </c>
      <c r="E38" t="str">
        <f ca="1">IFERROR(__xludf.DUMMYFUNCTION("""COMPUTED_VALUE"""),"Lithium")</f>
        <v>Lithium</v>
      </c>
      <c r="F38" t="str">
        <f ca="1">IFERROR(__xludf.DUMMYFUNCTION("""COMPUTED_VALUE"""),"Lithium")</f>
        <v>Lithium</v>
      </c>
      <c r="G38" s="12">
        <f ca="1">IFERROR(__xludf.DUMMYFUNCTION("""COMPUTED_VALUE"""),27997)</f>
        <v>27997</v>
      </c>
      <c r="H38" s="12">
        <f ca="1">IFERROR(__xludf.DUMMYFUNCTION("""COMPUTED_VALUE"""),30490)</f>
        <v>30490</v>
      </c>
      <c r="I38" s="3">
        <f ca="1">IFERROR(__xludf.DUMMYFUNCTION("""COMPUTED_VALUE"""),1772048761)</f>
        <v>1772048761</v>
      </c>
      <c r="J38" s="12">
        <f t="shared" ca="1" si="0"/>
        <v>30490</v>
      </c>
      <c r="K38" s="160">
        <f t="shared" ca="1" si="1"/>
        <v>1.0890452548487337</v>
      </c>
      <c r="L38" t="str">
        <f t="shared" ca="1" si="3"/>
        <v>Product</v>
      </c>
    </row>
    <row r="39" spans="2:12" ht="15.75" customHeight="1">
      <c r="B39" s="3" t="s">
        <v>1106</v>
      </c>
      <c r="D39">
        <f ca="1">IFERROR(__xludf.DUMMYFUNCTION("""COMPUTED_VALUE"""),90)</f>
        <v>90</v>
      </c>
      <c r="E39" t="str">
        <f ca="1">IFERROR(__xludf.DUMMYFUNCTION("""COMPUTED_VALUE"""),"Lithiumerz")</f>
        <v>Lithiumerz</v>
      </c>
      <c r="F39" t="str">
        <f ca="1">IFERROR(__xludf.DUMMYFUNCTION("""COMPUTED_VALUE"""),"Lithium ore")</f>
        <v>Lithium ore</v>
      </c>
      <c r="G39" s="12">
        <f ca="1">IFERROR(__xludf.DUMMYFUNCTION("""COMPUTED_VALUE"""),457)</f>
        <v>457</v>
      </c>
      <c r="H39" s="12">
        <f ca="1">IFERROR(__xludf.DUMMYFUNCTION("""COMPUTED_VALUE"""),487)</f>
        <v>487</v>
      </c>
      <c r="I39" s="3">
        <f ca="1">IFERROR(__xludf.DUMMYFUNCTION("""COMPUTED_VALUE"""),1772048761)</f>
        <v>1772048761</v>
      </c>
      <c r="J39" s="12">
        <f t="shared" ca="1" si="0"/>
        <v>487</v>
      </c>
      <c r="K39" s="160">
        <f t="shared" ca="1" si="1"/>
        <v>1.0656455142231946</v>
      </c>
      <c r="L39" t="str">
        <f t="shared" ca="1" si="3"/>
        <v>Resource</v>
      </c>
    </row>
    <row r="40" spans="2:12" ht="15.75" customHeight="1">
      <c r="B40" s="3" t="s">
        <v>1107</v>
      </c>
      <c r="D40">
        <f ca="1">IFERROR(__xludf.DUMMYFUNCTION("""COMPUTED_VALUE"""),161)</f>
        <v>161</v>
      </c>
      <c r="E40" t="str">
        <f ca="1">IFERROR(__xludf.DUMMYFUNCTION("""COMPUTED_VALUE"""),"Lohnzuschuss")</f>
        <v>Lohnzuschuss</v>
      </c>
      <c r="F40" t="str">
        <f ca="1">IFERROR(__xludf.DUMMYFUNCTION("""COMPUTED_VALUE"""),"Wage subsidy")</f>
        <v>Wage subsidy</v>
      </c>
      <c r="G40" s="12">
        <f ca="1">IFERROR(__xludf.DUMMYFUNCTION("""COMPUTED_VALUE"""),76324968154)</f>
        <v>76324968154</v>
      </c>
      <c r="H40" s="12">
        <f ca="1">IFERROR(__xludf.DUMMYFUNCTION("""COMPUTED_VALUE"""),94491390093)</f>
        <v>94491390093</v>
      </c>
      <c r="I40" s="3">
        <f ca="1">IFERROR(__xludf.DUMMYFUNCTION("""COMPUTED_VALUE"""),1772048761)</f>
        <v>1772048761</v>
      </c>
      <c r="J40" s="12">
        <f t="shared" ca="1" si="0"/>
        <v>94491390093</v>
      </c>
      <c r="K40" s="160">
        <f t="shared" ca="1" si="1"/>
        <v>1.2380141437117382</v>
      </c>
      <c r="L40" t="e">
        <f t="shared" ca="1" si="3"/>
        <v>#N/A</v>
      </c>
    </row>
    <row r="41" spans="2:12" ht="15.75" customHeight="1">
      <c r="B41" s="3" t="s">
        <v>1108</v>
      </c>
      <c r="D41">
        <f ca="1">IFERROR(__xludf.DUMMYFUNCTION("""COMPUTED_VALUE"""),75)</f>
        <v>75</v>
      </c>
      <c r="E41" t="str">
        <f ca="1">IFERROR(__xludf.DUMMYFUNCTION("""COMPUTED_VALUE"""),"Medizintechnik")</f>
        <v>Medizintechnik</v>
      </c>
      <c r="F41" t="str">
        <f ca="1">IFERROR(__xludf.DUMMYFUNCTION("""COMPUTED_VALUE"""),"Medical technology")</f>
        <v>Medical technology</v>
      </c>
      <c r="G41" s="12">
        <f ca="1">IFERROR(__xludf.DUMMYFUNCTION("""COMPUTED_VALUE"""),179222)</f>
        <v>179222</v>
      </c>
      <c r="H41" s="12">
        <f ca="1">IFERROR(__xludf.DUMMYFUNCTION("""COMPUTED_VALUE"""),0)</f>
        <v>0</v>
      </c>
      <c r="I41" s="3">
        <f ca="1">IFERROR(__xludf.DUMMYFUNCTION("""COMPUTED_VALUE"""),1772048761)</f>
        <v>1772048761</v>
      </c>
      <c r="J41" s="12">
        <f t="shared" ca="1" si="0"/>
        <v>179222</v>
      </c>
      <c r="K41" s="160">
        <f t="shared" ca="1" si="1"/>
        <v>0</v>
      </c>
      <c r="L41" t="str">
        <f t="shared" ca="1" si="3"/>
        <v>Product</v>
      </c>
    </row>
    <row r="42" spans="2:12" ht="15.75" customHeight="1">
      <c r="B42" s="3" t="s">
        <v>1109</v>
      </c>
      <c r="D42">
        <f ca="1">IFERROR(__xludf.DUMMYFUNCTION("""COMPUTED_VALUE"""),158)</f>
        <v>158</v>
      </c>
      <c r="E42" t="str">
        <f ca="1">IFERROR(__xludf.DUMMYFUNCTION("""COMPUTED_VALUE"""),"Nachtschicht")</f>
        <v>Nachtschicht</v>
      </c>
      <c r="F42" t="str">
        <f ca="1">IFERROR(__xludf.DUMMYFUNCTION("""COMPUTED_VALUE"""),"Night shift")</f>
        <v>Night shift</v>
      </c>
      <c r="G42" s="12">
        <f ca="1">IFERROR(__xludf.DUMMYFUNCTION("""COMPUTED_VALUE"""),5850049567)</f>
        <v>5850049567</v>
      </c>
      <c r="H42" s="12">
        <f ca="1">IFERROR(__xludf.DUMMYFUNCTION("""COMPUTED_VALUE"""),7707969709)</f>
        <v>7707969709</v>
      </c>
      <c r="I42" s="3">
        <f ca="1">IFERROR(__xludf.DUMMYFUNCTION("""COMPUTED_VALUE"""),1772048761)</f>
        <v>1772048761</v>
      </c>
      <c r="J42" s="12">
        <f t="shared" ca="1" si="0"/>
        <v>7707969709</v>
      </c>
      <c r="K42" s="160">
        <f t="shared" ca="1" si="1"/>
        <v>1.3175904957251108</v>
      </c>
      <c r="L42" t="e">
        <f t="shared" ca="1" si="3"/>
        <v>#N/A</v>
      </c>
    </row>
    <row r="43" spans="2:12" ht="15.75" customHeight="1">
      <c r="B43" s="3" t="s">
        <v>1110</v>
      </c>
      <c r="D43">
        <f ca="1">IFERROR(__xludf.DUMMYFUNCTION("""COMPUTED_VALUE"""),104)</f>
        <v>104</v>
      </c>
      <c r="E43" t="str">
        <f ca="1">IFERROR(__xludf.DUMMYFUNCTION("""COMPUTED_VALUE"""),"Privatarmee")</f>
        <v>Privatarmee</v>
      </c>
      <c r="F43" t="str">
        <f ca="1">IFERROR(__xludf.DUMMYFUNCTION("""COMPUTED_VALUE"""),"Private army")</f>
        <v>Private army</v>
      </c>
      <c r="G43" s="12">
        <f ca="1">IFERROR(__xludf.DUMMYFUNCTION("""COMPUTED_VALUE"""),37703005)</f>
        <v>37703005</v>
      </c>
      <c r="H43" s="12">
        <f ca="1">IFERROR(__xludf.DUMMYFUNCTION("""COMPUTED_VALUE"""),47470000)</f>
        <v>47470000</v>
      </c>
      <c r="I43" s="3">
        <f ca="1">IFERROR(__xludf.DUMMYFUNCTION("""COMPUTED_VALUE"""),1772048761)</f>
        <v>1772048761</v>
      </c>
      <c r="J43" s="12">
        <f t="shared" ca="1" si="0"/>
        <v>47470000</v>
      </c>
      <c r="K43" s="160">
        <f t="shared" ca="1" si="1"/>
        <v>1.259050836929311</v>
      </c>
      <c r="L43" t="str">
        <f t="shared" ca="1" si="3"/>
        <v>Unit</v>
      </c>
    </row>
    <row r="44" spans="2:12" ht="15.75" customHeight="1">
      <c r="B44" s="3" t="s">
        <v>1111</v>
      </c>
      <c r="D44">
        <f ca="1">IFERROR(__xludf.DUMMYFUNCTION("""COMPUTED_VALUE"""),53)</f>
        <v>53</v>
      </c>
      <c r="E44" t="str">
        <f ca="1">IFERROR(__xludf.DUMMYFUNCTION("""COMPUTED_VALUE"""),"Quarzsand")</f>
        <v>Quarzsand</v>
      </c>
      <c r="F44" t="str">
        <f ca="1">IFERROR(__xludf.DUMMYFUNCTION("""COMPUTED_VALUE"""),"Quartz sand")</f>
        <v>Quartz sand</v>
      </c>
      <c r="G44" s="12">
        <f ca="1">IFERROR(__xludf.DUMMYFUNCTION("""COMPUTED_VALUE"""),357)</f>
        <v>357</v>
      </c>
      <c r="H44" s="12">
        <f ca="1">IFERROR(__xludf.DUMMYFUNCTION("""COMPUTED_VALUE"""),0)</f>
        <v>0</v>
      </c>
      <c r="I44" s="3">
        <f ca="1">IFERROR(__xludf.DUMMYFUNCTION("""COMPUTED_VALUE"""),1772048761)</f>
        <v>1772048761</v>
      </c>
      <c r="J44" s="12">
        <f t="shared" ca="1" si="0"/>
        <v>357</v>
      </c>
      <c r="K44" s="160">
        <f t="shared" ca="1" si="1"/>
        <v>0</v>
      </c>
      <c r="L44" t="str">
        <f t="shared" ca="1" si="3"/>
        <v>Resource</v>
      </c>
    </row>
    <row r="45" spans="2:12" ht="15.75" customHeight="1">
      <c r="B45" s="3" t="s">
        <v>1112</v>
      </c>
      <c r="D45">
        <f ca="1">IFERROR(__xludf.DUMMYFUNCTION("""COMPUTED_VALUE"""),42)</f>
        <v>42</v>
      </c>
      <c r="E45" t="str">
        <f ca="1">IFERROR(__xludf.DUMMYFUNCTION("""COMPUTED_VALUE"""),"Riesendiamant")</f>
        <v>Riesendiamant</v>
      </c>
      <c r="F45" t="str">
        <f ca="1">IFERROR(__xludf.DUMMYFUNCTION("""COMPUTED_VALUE"""),"Giant diamond")</f>
        <v>Giant diamond</v>
      </c>
      <c r="G45" s="12">
        <f ca="1">IFERROR(__xludf.DUMMYFUNCTION("""COMPUTED_VALUE"""),963513797)</f>
        <v>963513797</v>
      </c>
      <c r="H45" s="12">
        <f ca="1">IFERROR(__xludf.DUMMYFUNCTION("""COMPUTED_VALUE"""),0)</f>
        <v>0</v>
      </c>
      <c r="I45" s="3">
        <f ca="1">IFERROR(__xludf.DUMMYFUNCTION("""COMPUTED_VALUE"""),1772048761)</f>
        <v>1772048761</v>
      </c>
      <c r="J45" s="12">
        <f t="shared" ca="1" si="0"/>
        <v>963513797</v>
      </c>
      <c r="K45" s="160">
        <f t="shared" ca="1" si="1"/>
        <v>0</v>
      </c>
      <c r="L45" t="str">
        <f t="shared" ca="1" si="3"/>
        <v>Loot</v>
      </c>
    </row>
    <row r="46" spans="2:12" ht="15.75" customHeight="1">
      <c r="B46" s="3" t="s">
        <v>1113</v>
      </c>
      <c r="D46">
        <f ca="1">IFERROR(__xludf.DUMMYFUNCTION("""COMPUTED_VALUE"""),81)</f>
        <v>81</v>
      </c>
      <c r="E46" t="str">
        <f ca="1">IFERROR(__xludf.DUMMYFUNCTION("""COMPUTED_VALUE"""),"Rohdiamanten")</f>
        <v>Rohdiamanten</v>
      </c>
      <c r="F46" t="str">
        <f ca="1">IFERROR(__xludf.DUMMYFUNCTION("""COMPUTED_VALUE"""),"Rough diamonds")</f>
        <v>Rough diamonds</v>
      </c>
      <c r="G46" s="12">
        <f ca="1">IFERROR(__xludf.DUMMYFUNCTION("""COMPUTED_VALUE"""),2963)</f>
        <v>2963</v>
      </c>
      <c r="H46" s="12">
        <f ca="1">IFERROR(__xludf.DUMMYFUNCTION("""COMPUTED_VALUE"""),3423)</f>
        <v>3423</v>
      </c>
      <c r="I46" s="3">
        <f ca="1">IFERROR(__xludf.DUMMYFUNCTION("""COMPUTED_VALUE"""),1772048761)</f>
        <v>1772048761</v>
      </c>
      <c r="J46" s="12">
        <f t="shared" ca="1" si="0"/>
        <v>3423</v>
      </c>
      <c r="K46" s="160">
        <f t="shared" ca="1" si="1"/>
        <v>1.1552480593992576</v>
      </c>
      <c r="L46" t="str">
        <f t="shared" ca="1" si="3"/>
        <v>Resource</v>
      </c>
    </row>
    <row r="47" spans="2:12" ht="15.75" customHeight="1">
      <c r="B47" s="3" t="s">
        <v>1114</v>
      </c>
      <c r="D47">
        <f ca="1">IFERROR(__xludf.DUMMYFUNCTION("""COMPUTED_VALUE"""),10)</f>
        <v>10</v>
      </c>
      <c r="E47" t="str">
        <f ca="1">IFERROR(__xludf.DUMMYFUNCTION("""COMPUTED_VALUE"""),"RohÃ¶l")</f>
        <v>RohÃ¶l</v>
      </c>
      <c r="F47" t="str">
        <f ca="1">IFERROR(__xludf.DUMMYFUNCTION("""COMPUTED_VALUE"""),"Crude oil")</f>
        <v>Crude oil</v>
      </c>
      <c r="G47" s="12">
        <f ca="1">IFERROR(__xludf.DUMMYFUNCTION("""COMPUTED_VALUE"""),2520)</f>
        <v>2520</v>
      </c>
      <c r="H47" s="12">
        <f ca="1">IFERROR(__xludf.DUMMYFUNCTION("""COMPUTED_VALUE"""),2578)</f>
        <v>2578</v>
      </c>
      <c r="I47" s="3">
        <f ca="1">IFERROR(__xludf.DUMMYFUNCTION("""COMPUTED_VALUE"""),1772048761)</f>
        <v>1772048761</v>
      </c>
      <c r="J47" s="12">
        <f t="shared" ca="1" si="0"/>
        <v>2578</v>
      </c>
      <c r="K47" s="160">
        <f t="shared" ca="1" si="1"/>
        <v>1.0230158730158729</v>
      </c>
      <c r="L47" t="str">
        <f t="shared" ca="1" si="3"/>
        <v>Resource</v>
      </c>
    </row>
    <row r="48" spans="2:12" ht="15.75" customHeight="1">
      <c r="B48" s="3" t="s">
        <v>1115</v>
      </c>
      <c r="D48">
        <f ca="1">IFERROR(__xludf.DUMMYFUNCTION("""COMPUTED_VALUE"""),40)</f>
        <v>40</v>
      </c>
      <c r="E48" t="str">
        <f ca="1">IFERROR(__xludf.DUMMYFUNCTION("""COMPUTED_VALUE"""),"RÃ¶mische MÃ¼nzen")</f>
        <v>RÃ¶mische MÃ¼nzen</v>
      </c>
      <c r="F48" t="str">
        <f ca="1">IFERROR(__xludf.DUMMYFUNCTION("""COMPUTED_VALUE"""),"Roman coins")</f>
        <v>Roman coins</v>
      </c>
      <c r="G48" s="12">
        <f ca="1">IFERROR(__xludf.DUMMYFUNCTION("""COMPUTED_VALUE"""),56841)</f>
        <v>56841</v>
      </c>
      <c r="H48" s="12">
        <f ca="1">IFERROR(__xludf.DUMMYFUNCTION("""COMPUTED_VALUE"""),68397)</f>
        <v>68397</v>
      </c>
      <c r="I48" s="3">
        <f ca="1">IFERROR(__xludf.DUMMYFUNCTION("""COMPUTED_VALUE"""),1772048761)</f>
        <v>1772048761</v>
      </c>
      <c r="J48" s="12">
        <f t="shared" ca="1" si="0"/>
        <v>68397</v>
      </c>
      <c r="K48" s="160">
        <f t="shared" ca="1" si="1"/>
        <v>1.2033039531324221</v>
      </c>
      <c r="L48" t="str">
        <f t="shared" ca="1" si="3"/>
        <v>Loot</v>
      </c>
    </row>
    <row r="49" spans="2:14" ht="15.75" customHeight="1">
      <c r="B49" s="3" t="s">
        <v>1116</v>
      </c>
      <c r="D49">
        <f ca="1">IFERROR(__xludf.DUMMYFUNCTION("""COMPUTED_VALUE"""),117)</f>
        <v>117</v>
      </c>
      <c r="E49" t="str">
        <f ca="1">IFERROR(__xludf.DUMMYFUNCTION("""COMPUTED_VALUE"""),"Scandrohnen")</f>
        <v>Scandrohnen</v>
      </c>
      <c r="F49" t="str">
        <f ca="1">IFERROR(__xludf.DUMMYFUNCTION("""COMPUTED_VALUE"""),"Scan drones")</f>
        <v>Scan drones</v>
      </c>
      <c r="G49" s="12">
        <f ca="1">IFERROR(__xludf.DUMMYFUNCTION("""COMPUTED_VALUE"""),96557042)</f>
        <v>96557042</v>
      </c>
      <c r="H49" s="12">
        <f ca="1">IFERROR(__xludf.DUMMYFUNCTION("""COMPUTED_VALUE"""),0)</f>
        <v>0</v>
      </c>
      <c r="I49" s="3">
        <f ca="1">IFERROR(__xludf.DUMMYFUNCTION("""COMPUTED_VALUE"""),1772048761)</f>
        <v>1772048761</v>
      </c>
      <c r="J49" s="12">
        <f t="shared" ca="1" si="0"/>
        <v>96557042</v>
      </c>
      <c r="K49" s="160">
        <f t="shared" ca="1" si="1"/>
        <v>0</v>
      </c>
      <c r="L49" t="str">
        <f t="shared" ca="1" si="3"/>
        <v>Product</v>
      </c>
    </row>
    <row r="50" spans="2:14" ht="15.75" customHeight="1">
      <c r="B50" s="3" t="s">
        <v>1117</v>
      </c>
      <c r="D50">
        <f ca="1">IFERROR(__xludf.DUMMYFUNCTION("""COMPUTED_VALUE"""),84)</f>
        <v>84</v>
      </c>
      <c r="E50" t="str">
        <f ca="1">IFERROR(__xludf.DUMMYFUNCTION("""COMPUTED_VALUE"""),"Schmuck")</f>
        <v>Schmuck</v>
      </c>
      <c r="F50" t="str">
        <f ca="1">IFERROR(__xludf.DUMMYFUNCTION("""COMPUTED_VALUE"""),"Jewellery")</f>
        <v>Jewellery</v>
      </c>
      <c r="G50" s="12">
        <f ca="1">IFERROR(__xludf.DUMMYFUNCTION("""COMPUTED_VALUE"""),2073930)</f>
        <v>2073930</v>
      </c>
      <c r="H50" s="12">
        <f ca="1">IFERROR(__xludf.DUMMYFUNCTION("""COMPUTED_VALUE"""),0)</f>
        <v>0</v>
      </c>
      <c r="I50" s="3">
        <f ca="1">IFERROR(__xludf.DUMMYFUNCTION("""COMPUTED_VALUE"""),1772048761)</f>
        <v>1772048761</v>
      </c>
      <c r="J50" s="12">
        <f t="shared" ca="1" si="0"/>
        <v>2073930</v>
      </c>
      <c r="K50" s="160">
        <f t="shared" ca="1" si="1"/>
        <v>0</v>
      </c>
      <c r="L50" t="str">
        <f t="shared" ca="1" si="3"/>
        <v>Product</v>
      </c>
      <c r="N50" s="3"/>
    </row>
    <row r="51" spans="2:14" ht="15.75" customHeight="1">
      <c r="B51" s="3" t="s">
        <v>1118</v>
      </c>
      <c r="D51">
        <f ca="1">IFERROR(__xludf.DUMMYFUNCTION("""COMPUTED_VALUE"""),35)</f>
        <v>35</v>
      </c>
      <c r="E51" t="str">
        <f ca="1">IFERROR(__xludf.DUMMYFUNCTION("""COMPUTED_VALUE"""),"Silber")</f>
        <v>Silber</v>
      </c>
      <c r="F51" t="str">
        <f ca="1">IFERROR(__xludf.DUMMYFUNCTION("""COMPUTED_VALUE"""),"Silver")</f>
        <v>Silver</v>
      </c>
      <c r="G51" s="12">
        <f ca="1">IFERROR(__xludf.DUMMYFUNCTION("""COMPUTED_VALUE"""),1610)</f>
        <v>1610</v>
      </c>
      <c r="H51" s="12">
        <f ca="1">IFERROR(__xludf.DUMMYFUNCTION("""COMPUTED_VALUE"""),1626)</f>
        <v>1626</v>
      </c>
      <c r="I51" s="3">
        <f ca="1">IFERROR(__xludf.DUMMYFUNCTION("""COMPUTED_VALUE"""),1772048761)</f>
        <v>1772048761</v>
      </c>
      <c r="J51" s="12">
        <f t="shared" ca="1" si="0"/>
        <v>1626</v>
      </c>
      <c r="K51" s="160">
        <f t="shared" ca="1" si="1"/>
        <v>1.0099378881987577</v>
      </c>
      <c r="L51" t="str">
        <f t="shared" ca="1" si="3"/>
        <v>Product</v>
      </c>
    </row>
    <row r="52" spans="2:14" ht="15.75" customHeight="1">
      <c r="B52" s="3" t="s">
        <v>1119</v>
      </c>
      <c r="D52">
        <f ca="1">IFERROR(__xludf.DUMMYFUNCTION("""COMPUTED_VALUE"""),15)</f>
        <v>15</v>
      </c>
      <c r="E52" t="str">
        <f ca="1">IFERROR(__xludf.DUMMYFUNCTION("""COMPUTED_VALUE"""),"Silbererz")</f>
        <v>Silbererz</v>
      </c>
      <c r="F52" t="str">
        <f ca="1">IFERROR(__xludf.DUMMYFUNCTION("""COMPUTED_VALUE"""),"Silver ore")</f>
        <v>Silver ore</v>
      </c>
      <c r="G52" s="12">
        <f ca="1">IFERROR(__xludf.DUMMYFUNCTION("""COMPUTED_VALUE"""),1511)</f>
        <v>1511</v>
      </c>
      <c r="H52" s="12">
        <f ca="1">IFERROR(__xludf.DUMMYFUNCTION("""COMPUTED_VALUE"""),0)</f>
        <v>0</v>
      </c>
      <c r="I52" s="3">
        <f ca="1">IFERROR(__xludf.DUMMYFUNCTION("""COMPUTED_VALUE"""),1772048761)</f>
        <v>1772048761</v>
      </c>
      <c r="J52" s="12">
        <f t="shared" ca="1" si="0"/>
        <v>1511</v>
      </c>
      <c r="K52" s="160">
        <f t="shared" ca="1" si="1"/>
        <v>0</v>
      </c>
      <c r="L52" t="str">
        <f t="shared" ca="1" si="3"/>
        <v>Resource</v>
      </c>
    </row>
    <row r="53" spans="2:14" ht="15.75" customHeight="1">
      <c r="B53" s="3" t="s">
        <v>1120</v>
      </c>
      <c r="D53">
        <f ca="1">IFERROR(__xludf.DUMMYFUNCTION("""COMPUTED_VALUE"""),67)</f>
        <v>67</v>
      </c>
      <c r="E53" t="str">
        <f ca="1">IFERROR(__xludf.DUMMYFUNCTION("""COMPUTED_VALUE"""),"Silizium")</f>
        <v>Silizium</v>
      </c>
      <c r="F53" t="str">
        <f ca="1">IFERROR(__xludf.DUMMYFUNCTION("""COMPUTED_VALUE"""),"Silicon")</f>
        <v>Silicon</v>
      </c>
      <c r="G53" s="12">
        <f ca="1">IFERROR(__xludf.DUMMYFUNCTION("""COMPUTED_VALUE"""),119994)</f>
        <v>119994</v>
      </c>
      <c r="H53" s="12">
        <f ca="1">IFERROR(__xludf.DUMMYFUNCTION("""COMPUTED_VALUE"""),120957)</f>
        <v>120957</v>
      </c>
      <c r="I53" s="3">
        <f ca="1">IFERROR(__xludf.DUMMYFUNCTION("""COMPUTED_VALUE"""),1772048761)</f>
        <v>1772048761</v>
      </c>
      <c r="J53" s="12">
        <f t="shared" ca="1" si="0"/>
        <v>120957</v>
      </c>
      <c r="K53" s="160">
        <f t="shared" ca="1" si="1"/>
        <v>1.0080254012700636</v>
      </c>
      <c r="L53" t="str">
        <f t="shared" ca="1" si="3"/>
        <v>Product</v>
      </c>
    </row>
    <row r="54" spans="2:14" ht="15.75" customHeight="1">
      <c r="B54" s="3" t="s">
        <v>1121</v>
      </c>
      <c r="D54">
        <f ca="1">IFERROR(__xludf.DUMMYFUNCTION("""COMPUTED_VALUE"""),30)</f>
        <v>30</v>
      </c>
      <c r="E54" t="str">
        <f ca="1">IFERROR(__xludf.DUMMYFUNCTION("""COMPUTED_VALUE"""),"Stahl")</f>
        <v>Stahl</v>
      </c>
      <c r="F54" t="str">
        <f ca="1">IFERROR(__xludf.DUMMYFUNCTION("""COMPUTED_VALUE"""),"Steel")</f>
        <v>Steel</v>
      </c>
      <c r="G54" s="12">
        <f ca="1">IFERROR(__xludf.DUMMYFUNCTION("""COMPUTED_VALUE"""),43227)</f>
        <v>43227</v>
      </c>
      <c r="H54" s="12">
        <f ca="1">IFERROR(__xludf.DUMMYFUNCTION("""COMPUTED_VALUE"""),49420)</f>
        <v>49420</v>
      </c>
      <c r="I54" s="3">
        <f ca="1">IFERROR(__xludf.DUMMYFUNCTION("""COMPUTED_VALUE"""),1772048761)</f>
        <v>1772048761</v>
      </c>
      <c r="J54" s="12">
        <f t="shared" ca="1" si="0"/>
        <v>49420</v>
      </c>
      <c r="K54" s="160">
        <f t="shared" ca="1" si="1"/>
        <v>1.1432669396442039</v>
      </c>
      <c r="L54" t="str">
        <f t="shared" ca="1" si="3"/>
        <v>Product</v>
      </c>
    </row>
    <row r="55" spans="2:14" ht="15.75" customHeight="1">
      <c r="B55" s="3" t="s">
        <v>1122</v>
      </c>
      <c r="D55">
        <f ca="1">IFERROR(__xludf.DUMMYFUNCTION("""COMPUTED_VALUE"""),44)</f>
        <v>44</v>
      </c>
      <c r="E55" t="str">
        <f ca="1">IFERROR(__xludf.DUMMYFUNCTION("""COMPUTED_VALUE"""),"Tech-Upgrade 1")</f>
        <v>Tech-Upgrade 1</v>
      </c>
      <c r="F55" t="str">
        <f ca="1">IFERROR(__xludf.DUMMYFUNCTION("""COMPUTED_VALUE"""),"Tech upgrade 1")</f>
        <v>Tech upgrade 1</v>
      </c>
      <c r="G55" s="12">
        <f ca="1">IFERROR(__xludf.DUMMYFUNCTION("""COMPUTED_VALUE"""),79605885)</f>
        <v>79605885</v>
      </c>
      <c r="H55" s="12">
        <f ca="1">IFERROR(__xludf.DUMMYFUNCTION("""COMPUTED_VALUE"""),88588508)</f>
        <v>88588508</v>
      </c>
      <c r="I55" s="3">
        <f ca="1">IFERROR(__xludf.DUMMYFUNCTION("""COMPUTED_VALUE"""),1772048761)</f>
        <v>1772048761</v>
      </c>
      <c r="J55" s="12">
        <f t="shared" ca="1" si="0"/>
        <v>88588508</v>
      </c>
      <c r="K55" s="160">
        <f t="shared" ca="1" si="1"/>
        <v>1.1128386802056154</v>
      </c>
      <c r="L55" t="str">
        <f t="shared" ca="1" si="3"/>
        <v>Loot</v>
      </c>
    </row>
    <row r="56" spans="2:14" ht="15.75" customHeight="1">
      <c r="B56" s="3" t="s">
        <v>1123</v>
      </c>
      <c r="D56">
        <f ca="1">IFERROR(__xludf.DUMMYFUNCTION("""COMPUTED_VALUE"""),45)</f>
        <v>45</v>
      </c>
      <c r="E56" t="str">
        <f ca="1">IFERROR(__xludf.DUMMYFUNCTION("""COMPUTED_VALUE"""),"Tech-Upgrade 2")</f>
        <v>Tech-Upgrade 2</v>
      </c>
      <c r="F56" t="str">
        <f ca="1">IFERROR(__xludf.DUMMYFUNCTION("""COMPUTED_VALUE"""),"Tech upgrade 2")</f>
        <v>Tech upgrade 2</v>
      </c>
      <c r="G56" s="12">
        <f ca="1">IFERROR(__xludf.DUMMYFUNCTION("""COMPUTED_VALUE"""),225172527)</f>
        <v>225172527</v>
      </c>
      <c r="H56" s="12">
        <f ca="1">IFERROR(__xludf.DUMMYFUNCTION("""COMPUTED_VALUE"""),263741086)</f>
        <v>263741086</v>
      </c>
      <c r="I56" s="3">
        <f ca="1">IFERROR(__xludf.DUMMYFUNCTION("""COMPUTED_VALUE"""),1772048761)</f>
        <v>1772048761</v>
      </c>
      <c r="J56" s="12">
        <f t="shared" ca="1" si="0"/>
        <v>263741086</v>
      </c>
      <c r="K56" s="160">
        <f t="shared" ca="1" si="1"/>
        <v>1.1712844791229793</v>
      </c>
      <c r="L56" t="str">
        <f t="shared" ca="1" si="3"/>
        <v>Loot</v>
      </c>
    </row>
    <row r="57" spans="2:14" ht="15.75" customHeight="1">
      <c r="B57" s="3" t="s">
        <v>1124</v>
      </c>
      <c r="D57">
        <f ca="1">IFERROR(__xludf.DUMMYFUNCTION("""COMPUTED_VALUE"""),46)</f>
        <v>46</v>
      </c>
      <c r="E57" t="str">
        <f ca="1">IFERROR(__xludf.DUMMYFUNCTION("""COMPUTED_VALUE"""),"Tech-Upgrade 3")</f>
        <v>Tech-Upgrade 3</v>
      </c>
      <c r="F57" t="str">
        <f ca="1">IFERROR(__xludf.DUMMYFUNCTION("""COMPUTED_VALUE"""),"Tech upgrade 3")</f>
        <v>Tech upgrade 3</v>
      </c>
      <c r="G57" s="12">
        <f ca="1">IFERROR(__xludf.DUMMYFUNCTION("""COMPUTED_VALUE"""),250194937)</f>
        <v>250194937</v>
      </c>
      <c r="H57" s="12">
        <f ca="1">IFERROR(__xludf.DUMMYFUNCTION("""COMPUTED_VALUE"""),270969163)</f>
        <v>270969163</v>
      </c>
      <c r="I57" s="3">
        <f ca="1">IFERROR(__xludf.DUMMYFUNCTION("""COMPUTED_VALUE"""),1772048761)</f>
        <v>1772048761</v>
      </c>
      <c r="J57" s="12">
        <f t="shared" ca="1" si="0"/>
        <v>270969163</v>
      </c>
      <c r="K57" s="160">
        <f t="shared" ca="1" si="1"/>
        <v>1.0830321598394295</v>
      </c>
      <c r="L57" t="str">
        <f t="shared" ca="1" si="3"/>
        <v>Loot</v>
      </c>
    </row>
    <row r="58" spans="2:14" ht="15.75" customHeight="1">
      <c r="B58" s="3" t="s">
        <v>1125</v>
      </c>
      <c r="D58">
        <f ca="1">IFERROR(__xludf.DUMMYFUNCTION("""COMPUTED_VALUE"""),48)</f>
        <v>48</v>
      </c>
      <c r="E58" t="str">
        <f ca="1">IFERROR(__xludf.DUMMYFUNCTION("""COMPUTED_VALUE"""),"Tech-Upgrade 4")</f>
        <v>Tech-Upgrade 4</v>
      </c>
      <c r="F58" t="str">
        <f ca="1">IFERROR(__xludf.DUMMYFUNCTION("""COMPUTED_VALUE"""),"Tech upgrade 4")</f>
        <v>Tech upgrade 4</v>
      </c>
      <c r="G58" s="12">
        <f ca="1">IFERROR(__xludf.DUMMYFUNCTION("""COMPUTED_VALUE"""),102181133)</f>
        <v>102181133</v>
      </c>
      <c r="H58" s="12">
        <f ca="1">IFERROR(__xludf.DUMMYFUNCTION("""COMPUTED_VALUE"""),0)</f>
        <v>0</v>
      </c>
      <c r="I58" s="3">
        <f ca="1">IFERROR(__xludf.DUMMYFUNCTION("""COMPUTED_VALUE"""),1772048761)</f>
        <v>1772048761</v>
      </c>
      <c r="J58" s="12">
        <f t="shared" ca="1" si="0"/>
        <v>102181133</v>
      </c>
      <c r="K58" s="160">
        <f t="shared" ca="1" si="1"/>
        <v>0</v>
      </c>
      <c r="L58" t="str">
        <f t="shared" ca="1" si="3"/>
        <v>Loot</v>
      </c>
    </row>
    <row r="59" spans="2:14" ht="15.75" customHeight="1">
      <c r="B59" s="3" t="s">
        <v>1126</v>
      </c>
      <c r="D59">
        <f ca="1">IFERROR(__xludf.DUMMYFUNCTION("""COMPUTED_VALUE"""),51)</f>
        <v>51</v>
      </c>
      <c r="E59" t="str">
        <f ca="1">IFERROR(__xludf.DUMMYFUNCTION("""COMPUTED_VALUE"""),"Titan")</f>
        <v>Titan</v>
      </c>
      <c r="F59" t="str">
        <f ca="1">IFERROR(__xludf.DUMMYFUNCTION("""COMPUTED_VALUE"""),"Titanium")</f>
        <v>Titanium</v>
      </c>
      <c r="G59" s="12">
        <f ca="1">IFERROR(__xludf.DUMMYFUNCTION("""COMPUTED_VALUE"""),36003)</f>
        <v>36003</v>
      </c>
      <c r="H59" s="12">
        <f ca="1">IFERROR(__xludf.DUMMYFUNCTION("""COMPUTED_VALUE"""),36461)</f>
        <v>36461</v>
      </c>
      <c r="I59" s="3">
        <f ca="1">IFERROR(__xludf.DUMMYFUNCTION("""COMPUTED_VALUE"""),1772048761)</f>
        <v>1772048761</v>
      </c>
      <c r="J59" s="12">
        <f t="shared" ca="1" si="0"/>
        <v>36461</v>
      </c>
      <c r="K59" s="160">
        <f t="shared" ca="1" si="1"/>
        <v>1.0127211621253784</v>
      </c>
      <c r="L59" t="str">
        <f t="shared" ca="1" si="3"/>
        <v>Product</v>
      </c>
    </row>
    <row r="60" spans="2:14" ht="15.75" customHeight="1">
      <c r="B60" s="161" t="s">
        <v>1127</v>
      </c>
      <c r="D60">
        <f ca="1">IFERROR(__xludf.DUMMYFUNCTION("""COMPUTED_VALUE"""),159)</f>
        <v>159</v>
      </c>
      <c r="E60" t="str">
        <f ca="1">IFERROR(__xludf.DUMMYFUNCTION("""COMPUTED_VALUE"""),"Ãberstunden")</f>
        <v>Ãberstunden</v>
      </c>
      <c r="F60" t="str">
        <f ca="1">IFERROR(__xludf.DUMMYFUNCTION("""COMPUTED_VALUE"""),"Overtime")</f>
        <v>Overtime</v>
      </c>
      <c r="G60" s="12">
        <f ca="1">IFERROR(__xludf.DUMMYFUNCTION("""COMPUTED_VALUE"""),8478221749)</f>
        <v>8478221749</v>
      </c>
      <c r="H60" s="12">
        <f ca="1">IFERROR(__xludf.DUMMYFUNCTION("""COMPUTED_VALUE"""),9186360063)</f>
        <v>9186360063</v>
      </c>
      <c r="I60" s="3">
        <f ca="1">IFERROR(__xludf.DUMMYFUNCTION("""COMPUTED_VALUE"""),1772048761)</f>
        <v>1772048761</v>
      </c>
      <c r="J60" s="12">
        <f t="shared" ca="1" si="0"/>
        <v>9186360063</v>
      </c>
      <c r="K60" s="160">
        <f t="shared" ca="1" si="1"/>
        <v>1.083524391666628</v>
      </c>
      <c r="L60" t="e">
        <f t="shared" ca="1" si="3"/>
        <v>#N/A</v>
      </c>
    </row>
    <row r="61" spans="2:14" ht="15.75" customHeight="1">
      <c r="B61" t="s">
        <v>1128</v>
      </c>
      <c r="D61">
        <f ca="1">IFERROR(__xludf.DUMMYFUNCTION("""COMPUTED_VALUE"""),96)</f>
        <v>96</v>
      </c>
      <c r="E61" t="str">
        <f ca="1">IFERROR(__xludf.DUMMYFUNCTION("""COMPUTED_VALUE"""),"Wachhunde")</f>
        <v>Wachhunde</v>
      </c>
      <c r="F61" t="str">
        <f ca="1">IFERROR(__xludf.DUMMYFUNCTION("""COMPUTED_VALUE"""),"Watch dogs")</f>
        <v>Watch dogs</v>
      </c>
      <c r="G61">
        <f ca="1">IFERROR(__xludf.DUMMYFUNCTION("""COMPUTED_VALUE"""),895493)</f>
        <v>895493</v>
      </c>
      <c r="H61">
        <f ca="1">IFERROR(__xludf.DUMMYFUNCTION("""COMPUTED_VALUE"""),1098880)</f>
        <v>1098880</v>
      </c>
      <c r="I61">
        <f ca="1">IFERROR(__xludf.DUMMYFUNCTION("""COMPUTED_VALUE"""),1772048761)</f>
        <v>1772048761</v>
      </c>
      <c r="J61" s="3">
        <f t="shared" ca="1" si="0"/>
        <v>1098880</v>
      </c>
      <c r="K61" s="160">
        <f t="shared" ca="1" si="1"/>
        <v>1.227122936751041</v>
      </c>
      <c r="L61" t="str">
        <f t="shared" ca="1" si="3"/>
        <v>Unit</v>
      </c>
    </row>
    <row r="62" spans="2:14" ht="15.75" customHeight="1">
      <c r="D62">
        <f ca="1">IFERROR(__xludf.DUMMYFUNCTION("""COMPUTED_VALUE"""),98)</f>
        <v>98</v>
      </c>
      <c r="E62" t="str">
        <f ca="1">IFERROR(__xludf.DUMMYFUNCTION("""COMPUTED_VALUE"""),"Wachpersonal")</f>
        <v>Wachpersonal</v>
      </c>
      <c r="F62" t="str">
        <f ca="1">IFERROR(__xludf.DUMMYFUNCTION("""COMPUTED_VALUE"""),"Security staff")</f>
        <v>Security staff</v>
      </c>
      <c r="G62">
        <f ca="1">IFERROR(__xludf.DUMMYFUNCTION("""COMPUTED_VALUE"""),8950122)</f>
        <v>8950122</v>
      </c>
      <c r="H62">
        <f ca="1">IFERROR(__xludf.DUMMYFUNCTION("""COMPUTED_VALUE"""),9770077)</f>
        <v>9770077</v>
      </c>
      <c r="I62">
        <f ca="1">IFERROR(__xludf.DUMMYFUNCTION("""COMPUTED_VALUE"""),1772048761)</f>
        <v>1772048761</v>
      </c>
      <c r="J62" s="3"/>
    </row>
    <row r="63" spans="2:14" ht="15.75" customHeight="1">
      <c r="D63">
        <f ca="1">IFERROR(__xludf.DUMMYFUNCTION("""COMPUTED_VALUE"""),87)</f>
        <v>87</v>
      </c>
      <c r="E63" t="str">
        <f ca="1">IFERROR(__xludf.DUMMYFUNCTION("""COMPUTED_VALUE"""),"Waffen")</f>
        <v>Waffen</v>
      </c>
      <c r="F63" t="str">
        <f ca="1">IFERROR(__xludf.DUMMYFUNCTION("""COMPUTED_VALUE"""),"Weapons")</f>
        <v>Weapons</v>
      </c>
      <c r="G63">
        <f ca="1">IFERROR(__xludf.DUMMYFUNCTION("""COMPUTED_VALUE"""),277972)</f>
        <v>277972</v>
      </c>
      <c r="H63">
        <f ca="1">IFERROR(__xludf.DUMMYFUNCTION("""COMPUTED_VALUE"""),0)</f>
        <v>0</v>
      </c>
      <c r="I63">
        <f ca="1">IFERROR(__xludf.DUMMYFUNCTION("""COMPUTED_VALUE"""),1772048761)</f>
        <v>1772048761</v>
      </c>
    </row>
    <row r="64" spans="2:14" ht="15.75" customHeight="1">
      <c r="D64">
        <f ca="1">IFERROR(__xludf.DUMMYFUNCTION("""COMPUTED_VALUE"""),43)</f>
        <v>43</v>
      </c>
      <c r="E64" t="str">
        <f ca="1">IFERROR(__xludf.DUMMYFUNCTION("""COMPUTED_VALUE"""),"Wartungskit")</f>
        <v>Wartungskit</v>
      </c>
      <c r="F64" t="str">
        <f ca="1">IFERROR(__xludf.DUMMYFUNCTION("""COMPUTED_VALUE"""),"Maintenance kit")</f>
        <v>Maintenance kit</v>
      </c>
      <c r="G64">
        <f ca="1">IFERROR(__xludf.DUMMYFUNCTION("""COMPUTED_VALUE"""),56801096)</f>
        <v>56801096</v>
      </c>
      <c r="H64">
        <f ca="1">IFERROR(__xludf.DUMMYFUNCTION("""COMPUTED_VALUE"""),65527144)</f>
        <v>65527144</v>
      </c>
      <c r="I64">
        <f ca="1">IFERROR(__xludf.DUMMYFUNCTION("""COMPUTED_VALUE"""),1772048761)</f>
        <v>1772048761</v>
      </c>
    </row>
    <row r="65" spans="4:9" ht="15.75" customHeight="1">
      <c r="D65">
        <f ca="1">IFERROR(__xludf.DUMMYFUNCTION("""COMPUTED_VALUE"""),24)</f>
        <v>24</v>
      </c>
      <c r="E65" t="str">
        <f ca="1">IFERROR(__xludf.DUMMYFUNCTION("""COMPUTED_VALUE"""),"Ziegel")</f>
        <v>Ziegel</v>
      </c>
      <c r="F65" t="str">
        <f ca="1">IFERROR(__xludf.DUMMYFUNCTION("""COMPUTED_VALUE"""),"Bricks")</f>
        <v>Bricks</v>
      </c>
      <c r="G65">
        <f ca="1">IFERROR(__xludf.DUMMYFUNCTION("""COMPUTED_VALUE"""),2789)</f>
        <v>2789</v>
      </c>
      <c r="H65">
        <f ca="1">IFERROR(__xludf.DUMMYFUNCTION("""COMPUTED_VALUE"""),3259)</f>
        <v>3259</v>
      </c>
      <c r="I65">
        <f ca="1">IFERROR(__xludf.DUMMYFUNCTION("""COMPUTED_VALUE"""),1772048761)</f>
        <v>1772048761</v>
      </c>
    </row>
    <row r="66" spans="4:9" ht="15.75" customHeight="1"/>
    <row r="67" spans="4:9" ht="15.75" customHeight="1"/>
    <row r="68" spans="4:9" ht="15.75" customHeight="1"/>
    <row r="69" spans="4:9" ht="15.75" customHeight="1"/>
    <row r="70" spans="4:9" ht="15.75" customHeight="1"/>
    <row r="71" spans="4:9" ht="15.75" customHeight="1"/>
    <row r="72" spans="4:9" ht="15.75" customHeight="1"/>
    <row r="73" spans="4:9" ht="15.75" customHeight="1"/>
    <row r="74" spans="4:9" ht="15.75" customHeight="1"/>
    <row r="75" spans="4:9" ht="15.75" customHeight="1"/>
    <row r="76" spans="4:9" ht="15.75" customHeight="1"/>
    <row r="77" spans="4:9" ht="15.75" customHeight="1"/>
    <row r="78" spans="4:9" ht="15.75" customHeight="1"/>
    <row r="79" spans="4:9" ht="15.75" customHeight="1"/>
    <row r="80" spans="4:9"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B1:S1000"/>
  <sheetViews>
    <sheetView workbookViewId="0"/>
  </sheetViews>
  <sheetFormatPr defaultColWidth="15.109375" defaultRowHeight="15" customHeight="1"/>
  <cols>
    <col min="1" max="1" width="4.88671875" customWidth="1"/>
    <col min="2" max="2" width="18.109375" customWidth="1"/>
    <col min="3" max="3" width="12.6640625" customWidth="1"/>
    <col min="4" max="4" width="16.109375" customWidth="1"/>
    <col min="5" max="6" width="2.44140625" customWidth="1"/>
    <col min="7" max="7" width="19.88671875" customWidth="1"/>
    <col min="8" max="9" width="14.109375" customWidth="1"/>
    <col min="10" max="11" width="2.77734375" customWidth="1"/>
    <col min="12" max="13" width="22.88671875" customWidth="1"/>
    <col min="14" max="26" width="12.6640625" customWidth="1"/>
  </cols>
  <sheetData>
    <row r="1" spans="2:19" ht="15.75" customHeight="1"/>
    <row r="2" spans="2:19" ht="15.75" customHeight="1">
      <c r="G2" s="34" t="s">
        <v>1129</v>
      </c>
      <c r="L2" s="34" t="s">
        <v>1130</v>
      </c>
    </row>
    <row r="3" spans="2:19" ht="15.75" customHeight="1">
      <c r="B3" s="1" t="s">
        <v>1131</v>
      </c>
      <c r="C3" s="1" t="s">
        <v>1132</v>
      </c>
      <c r="D3" s="162" t="s">
        <v>1133</v>
      </c>
      <c r="G3" s="1" t="s">
        <v>1131</v>
      </c>
      <c r="H3" s="1" t="s">
        <v>11</v>
      </c>
      <c r="I3" s="162" t="s">
        <v>1134</v>
      </c>
      <c r="L3" s="1" t="s">
        <v>1135</v>
      </c>
      <c r="M3" s="162" t="s">
        <v>1134</v>
      </c>
      <c r="R3" s="1" t="s">
        <v>1135</v>
      </c>
      <c r="S3" s="1" t="s">
        <v>892</v>
      </c>
    </row>
    <row r="4" spans="2:19" ht="15.75" customHeight="1">
      <c r="B4" s="3" t="s">
        <v>102</v>
      </c>
      <c r="C4" s="3" t="s">
        <v>44</v>
      </c>
      <c r="D4" s="12">
        <f t="shared" ref="D4:D25" si="0">VLOOKUP($B4,TblUserFactories,2,FALSE)*VLOOKUP($B4,TblFactoryBasics,4,FALSE)</f>
        <v>284800</v>
      </c>
      <c r="G4" s="3" t="str">
        <f>Static!H4</f>
        <v>Brick factory</v>
      </c>
      <c r="H4" s="3" t="str">
        <f>Static!I4</f>
        <v>Cash</v>
      </c>
      <c r="I4" s="12">
        <f>Static!J4*VLOOKUP(G4,TblUserFactories,2,FALSE)*VLOOKUP($G4,TblFactoryBasics,4,FALSE)/VLOOKUP(G4,TblFactoryBasics,3,FALSE)</f>
        <v>1424000</v>
      </c>
      <c r="L4" s="3" t="s">
        <v>44</v>
      </c>
      <c r="M4">
        <f t="shared" ref="M4:M25" si="1">SUMIF($H$4:$H$68,L4,$I$4:$I$68)</f>
        <v>0</v>
      </c>
      <c r="R4" t="s">
        <v>29</v>
      </c>
      <c r="S4" s="3" t="s">
        <v>11</v>
      </c>
    </row>
    <row r="5" spans="2:19" ht="15.75" customHeight="1">
      <c r="B5" s="3" t="s">
        <v>106</v>
      </c>
      <c r="C5" s="3" t="s">
        <v>45</v>
      </c>
      <c r="D5" s="12">
        <f t="shared" si="0"/>
        <v>327600</v>
      </c>
      <c r="G5" s="3" t="str">
        <f>Static!H5</f>
        <v>Brick factory</v>
      </c>
      <c r="H5" s="3" t="str">
        <f>Static!I5</f>
        <v>Clay</v>
      </c>
      <c r="I5" s="12">
        <f>Static!J5*VLOOKUP(G5,TblUserFactories,2,FALSE)*VLOOKUP($G5,TblFactoryBasics,4,FALSE)/VLOOKUP(G5,TblFactoryBasics,3,FALSE)</f>
        <v>427200</v>
      </c>
      <c r="L5" s="3" t="s">
        <v>45</v>
      </c>
      <c r="M5">
        <f t="shared" si="1"/>
        <v>0</v>
      </c>
      <c r="R5" t="s">
        <v>123</v>
      </c>
      <c r="S5" s="3" t="s">
        <v>11</v>
      </c>
    </row>
    <row r="6" spans="2:19" ht="15.75" customHeight="1">
      <c r="B6" s="3" t="s">
        <v>109</v>
      </c>
      <c r="C6" s="3" t="s">
        <v>46</v>
      </c>
      <c r="D6" s="12">
        <f t="shared" si="0"/>
        <v>77440</v>
      </c>
      <c r="G6" s="3" t="str">
        <f>Static!H6</f>
        <v>Concrete factory</v>
      </c>
      <c r="H6" s="3" t="str">
        <f>Static!I6</f>
        <v>Cash</v>
      </c>
      <c r="I6" s="12">
        <f>Static!J6*VLOOKUP(G6,TblUserFactories,2,FALSE)*VLOOKUP($G6,TblFactoryBasics,4,FALSE)/VLOOKUP(G6,TblFactoryBasics,3,FALSE)</f>
        <v>468000</v>
      </c>
      <c r="L6" s="3" t="s">
        <v>46</v>
      </c>
      <c r="M6">
        <f t="shared" si="1"/>
        <v>0</v>
      </c>
      <c r="R6" t="s">
        <v>122</v>
      </c>
      <c r="S6" s="3" t="s">
        <v>11</v>
      </c>
    </row>
    <row r="7" spans="2:19" ht="15.75" customHeight="1">
      <c r="B7" s="3" t="s">
        <v>113</v>
      </c>
      <c r="C7" s="3" t="s">
        <v>47</v>
      </c>
      <c r="D7" s="12">
        <f t="shared" si="0"/>
        <v>29250</v>
      </c>
      <c r="G7" s="3" t="str">
        <f>Static!H7</f>
        <v>Concrete factory</v>
      </c>
      <c r="H7" s="3" t="str">
        <f>Static!I7</f>
        <v>Gravel</v>
      </c>
      <c r="I7" s="12">
        <f>Static!J7*VLOOKUP(G7,TblUserFactories,2,FALSE)*VLOOKUP($G7,TblFactoryBasics,4,FALSE)/VLOOKUP(G7,TblFactoryBasics,3,FALSE)</f>
        <v>70200</v>
      </c>
      <c r="L7" s="3" t="s">
        <v>47</v>
      </c>
      <c r="M7">
        <f t="shared" si="1"/>
        <v>2100</v>
      </c>
      <c r="R7" t="s">
        <v>31</v>
      </c>
      <c r="S7" s="3" t="s">
        <v>11</v>
      </c>
    </row>
    <row r="8" spans="2:19" ht="15.75" customHeight="1">
      <c r="B8" s="3" t="s">
        <v>116</v>
      </c>
      <c r="C8" s="3" t="s">
        <v>48</v>
      </c>
      <c r="D8" s="12">
        <f t="shared" si="0"/>
        <v>40320</v>
      </c>
      <c r="G8" s="3" t="str">
        <f>Static!H8</f>
        <v>Concrete factory</v>
      </c>
      <c r="H8" s="3" t="str">
        <f>Static!I8</f>
        <v>Limestone</v>
      </c>
      <c r="I8" s="12">
        <f>Static!J8*VLOOKUP(G8,TblUserFactories,2,FALSE)*VLOOKUP($G8,TblFactoryBasics,4,FALSE)/VLOOKUP(G8,TblFactoryBasics,3,FALSE)</f>
        <v>46800</v>
      </c>
      <c r="L8" s="3" t="s">
        <v>48</v>
      </c>
      <c r="M8">
        <f t="shared" si="1"/>
        <v>30080</v>
      </c>
      <c r="R8" t="s">
        <v>22</v>
      </c>
      <c r="S8" s="3" t="s">
        <v>11</v>
      </c>
    </row>
    <row r="9" spans="2:19" ht="15.75" customHeight="1">
      <c r="B9" s="3" t="s">
        <v>120</v>
      </c>
      <c r="C9" s="3" t="s">
        <v>49</v>
      </c>
      <c r="D9" s="12">
        <f t="shared" si="0"/>
        <v>30080</v>
      </c>
      <c r="G9" s="3" t="str">
        <f>Static!H9</f>
        <v>Fertilizer factory</v>
      </c>
      <c r="H9" s="3" t="str">
        <f>Static!I9</f>
        <v>Cash</v>
      </c>
      <c r="I9" s="12">
        <f>Static!J9*VLOOKUP(G9,TblUserFactories,2,FALSE)*VLOOKUP($G9,TblFactoryBasics,4,FALSE)/VLOOKUP(G9,TblFactoryBasics,3,FALSE)</f>
        <v>633600</v>
      </c>
      <c r="L9" s="3" t="s">
        <v>49</v>
      </c>
      <c r="M9">
        <f t="shared" si="1"/>
        <v>0</v>
      </c>
      <c r="R9" t="s">
        <v>23</v>
      </c>
      <c r="S9" s="3" t="s">
        <v>11</v>
      </c>
    </row>
    <row r="10" spans="2:19" ht="15.75" customHeight="1">
      <c r="B10" s="3" t="s">
        <v>125</v>
      </c>
      <c r="C10" s="3" t="s">
        <v>50</v>
      </c>
      <c r="D10" s="12">
        <f t="shared" si="0"/>
        <v>11340</v>
      </c>
      <c r="G10" s="3" t="str">
        <f>Static!H10</f>
        <v>Fertilizer factory</v>
      </c>
      <c r="H10" s="3" t="str">
        <f>Static!I10</f>
        <v>Limestone</v>
      </c>
      <c r="I10" s="12">
        <f>Static!J10*VLOOKUP(G10,TblUserFactories,2,FALSE)*VLOOKUP($G10,TblFactoryBasics,4,FALSE)/VLOOKUP(G10,TblFactoryBasics,3,FALSE)</f>
        <v>56320</v>
      </c>
      <c r="L10" s="3" t="s">
        <v>50</v>
      </c>
      <c r="M10">
        <f t="shared" si="1"/>
        <v>10280</v>
      </c>
      <c r="R10" t="s">
        <v>24</v>
      </c>
      <c r="S10" s="3" t="s">
        <v>11</v>
      </c>
    </row>
    <row r="11" spans="2:19" ht="15.75" customHeight="1">
      <c r="B11" s="3" t="s">
        <v>129</v>
      </c>
      <c r="C11" s="3" t="s">
        <v>51</v>
      </c>
      <c r="D11" s="12">
        <f t="shared" si="0"/>
        <v>133000</v>
      </c>
      <c r="G11" s="3" t="str">
        <f>Static!H11</f>
        <v>Ironworks</v>
      </c>
      <c r="H11" s="3" t="str">
        <f>Static!I11</f>
        <v>Cash</v>
      </c>
      <c r="I11" s="12">
        <f>Static!J11*VLOOKUP(G11,TblUserFactories,2,FALSE)*VLOOKUP($G11,TblFactoryBasics,4,FALSE)/VLOOKUP(G11,TblFactoryBasics,3,FALSE)</f>
        <v>10237500</v>
      </c>
      <c r="L11" s="3" t="s">
        <v>51</v>
      </c>
      <c r="M11">
        <f t="shared" si="1"/>
        <v>0</v>
      </c>
      <c r="R11" t="s">
        <v>28</v>
      </c>
      <c r="S11" s="3" t="s">
        <v>11</v>
      </c>
    </row>
    <row r="12" spans="2:19" ht="15.75" customHeight="1">
      <c r="B12" s="3" t="s">
        <v>133</v>
      </c>
      <c r="C12" s="3" t="s">
        <v>52</v>
      </c>
      <c r="D12" s="12">
        <f t="shared" si="0"/>
        <v>14720</v>
      </c>
      <c r="G12" s="3" t="str">
        <f>Static!H12</f>
        <v>Ironworks</v>
      </c>
      <c r="H12" s="3" t="str">
        <f>Static!I12</f>
        <v>Coal</v>
      </c>
      <c r="I12" s="12">
        <f>Static!J12*VLOOKUP(G12,TblUserFactories,2,FALSE)*VLOOKUP($G12,TblFactoryBasics,4,FALSE)/VLOOKUP(G12,TblFactoryBasics,3,FALSE)</f>
        <v>292500</v>
      </c>
      <c r="L12" s="3" t="s">
        <v>52</v>
      </c>
      <c r="M12">
        <f t="shared" si="1"/>
        <v>10300</v>
      </c>
      <c r="R12" t="s">
        <v>21</v>
      </c>
      <c r="S12" s="3" t="s">
        <v>11</v>
      </c>
    </row>
    <row r="13" spans="2:19" ht="15.75" customHeight="1">
      <c r="B13" s="3" t="s">
        <v>137</v>
      </c>
      <c r="C13" s="3" t="s">
        <v>53</v>
      </c>
      <c r="D13" s="12">
        <f t="shared" si="0"/>
        <v>73800</v>
      </c>
      <c r="G13" s="3" t="str">
        <f>Static!H13</f>
        <v>Ironworks</v>
      </c>
      <c r="H13" s="3" t="str">
        <f>Static!I13</f>
        <v>Iron ore</v>
      </c>
      <c r="I13" s="12">
        <f>Static!J13*VLOOKUP(G13,TblUserFactories,2,FALSE)*VLOOKUP($G13,TblFactoryBasics,4,FALSE)/VLOOKUP(G13,TblFactoryBasics,3,FALSE)</f>
        <v>204750</v>
      </c>
      <c r="L13" s="3" t="s">
        <v>53</v>
      </c>
      <c r="M13">
        <f t="shared" si="1"/>
        <v>51760</v>
      </c>
      <c r="R13" t="s">
        <v>127</v>
      </c>
      <c r="S13" s="3" t="s">
        <v>11</v>
      </c>
    </row>
    <row r="14" spans="2:19" ht="15.75" customHeight="1">
      <c r="B14" s="3" t="s">
        <v>140</v>
      </c>
      <c r="C14" s="3" t="s">
        <v>54</v>
      </c>
      <c r="D14" s="12">
        <f t="shared" si="0"/>
        <v>27000</v>
      </c>
      <c r="G14" s="3" t="str">
        <f>Static!H14</f>
        <v>Oil refinery</v>
      </c>
      <c r="H14" s="3" t="str">
        <f>Static!I14</f>
        <v>Cash</v>
      </c>
      <c r="I14" s="12">
        <f>Static!J14*VLOOKUP(G14,TblUserFactories,2,FALSE)*VLOOKUP($G14,TblFactoryBasics,4,FALSE)/VLOOKUP(G14,TblFactoryBasics,3,FALSE)</f>
        <v>1512000</v>
      </c>
      <c r="L14" s="3" t="s">
        <v>54</v>
      </c>
      <c r="M14">
        <f t="shared" si="1"/>
        <v>20400</v>
      </c>
      <c r="R14" t="s">
        <v>131</v>
      </c>
      <c r="S14" s="3" t="s">
        <v>11</v>
      </c>
    </row>
    <row r="15" spans="2:19" ht="15.75" customHeight="1">
      <c r="B15" s="3" t="s">
        <v>143</v>
      </c>
      <c r="C15" s="3" t="s">
        <v>55</v>
      </c>
      <c r="D15" s="12">
        <f t="shared" si="0"/>
        <v>10200</v>
      </c>
      <c r="G15" s="3" t="str">
        <f>Static!H15</f>
        <v>Oil refinery</v>
      </c>
      <c r="H15" s="3" t="str">
        <f>Static!I15</f>
        <v>Crude Oil</v>
      </c>
      <c r="I15" s="12">
        <f>Static!J15*VLOOKUP(G15,TblUserFactories,2,FALSE)*VLOOKUP($G15,TblFactoryBasics,4,FALSE)/VLOOKUP(G15,TblFactoryBasics,3,FALSE)</f>
        <v>40320</v>
      </c>
      <c r="L15" s="3" t="s">
        <v>55</v>
      </c>
      <c r="M15">
        <f t="shared" si="1"/>
        <v>600</v>
      </c>
      <c r="R15" t="s">
        <v>111</v>
      </c>
      <c r="S15" s="3" t="s">
        <v>11</v>
      </c>
    </row>
    <row r="16" spans="2:19" ht="15.75" customHeight="1">
      <c r="B16" s="3" t="s">
        <v>146</v>
      </c>
      <c r="C16" s="3" t="s">
        <v>56</v>
      </c>
      <c r="D16" s="12">
        <f t="shared" si="0"/>
        <v>2500</v>
      </c>
      <c r="G16" s="3" t="str">
        <f>Static!H16</f>
        <v>Glazier's workshop</v>
      </c>
      <c r="H16" s="3" t="str">
        <f>Static!I16</f>
        <v>Cash</v>
      </c>
      <c r="I16" s="12">
        <f>Static!J16*VLOOKUP(G16,TblUserFactories,2,FALSE)*VLOOKUP($G16,TblFactoryBasics,4,FALSE)/VLOOKUP(G16,TblFactoryBasics,3,FALSE)</f>
        <v>11280000</v>
      </c>
      <c r="L16" s="3" t="s">
        <v>56</v>
      </c>
      <c r="M16">
        <f t="shared" si="1"/>
        <v>0</v>
      </c>
      <c r="R16" t="s">
        <v>118</v>
      </c>
      <c r="S16" s="3" t="s">
        <v>11</v>
      </c>
    </row>
    <row r="17" spans="2:19" ht="15.75" customHeight="1">
      <c r="B17" s="3" t="s">
        <v>149</v>
      </c>
      <c r="C17" s="3" t="s">
        <v>57</v>
      </c>
      <c r="D17" s="12">
        <f t="shared" si="0"/>
        <v>0</v>
      </c>
      <c r="G17" s="3" t="str">
        <f>Static!H17</f>
        <v>Glazier's workshop</v>
      </c>
      <c r="H17" s="3" t="str">
        <f>Static!I17</f>
        <v>Quartz sand</v>
      </c>
      <c r="I17" s="12">
        <f>Static!J17*VLOOKUP(G17,TblUserFactories,2,FALSE)*VLOOKUP($G17,TblFactoryBasics,4,FALSE)/VLOOKUP(G17,TblFactoryBasics,3,FALSE)</f>
        <v>22560</v>
      </c>
      <c r="L17" s="3" t="s">
        <v>57</v>
      </c>
      <c r="M17">
        <f t="shared" si="1"/>
        <v>2160</v>
      </c>
      <c r="R17" t="s">
        <v>135</v>
      </c>
      <c r="S17" s="3" t="s">
        <v>11</v>
      </c>
    </row>
    <row r="18" spans="2:19" ht="15.75" customHeight="1">
      <c r="B18" s="3" t="s">
        <v>152</v>
      </c>
      <c r="C18" s="3" t="s">
        <v>61</v>
      </c>
      <c r="D18" s="12">
        <f t="shared" si="0"/>
        <v>17280</v>
      </c>
      <c r="G18" s="3" t="str">
        <f>Static!H18</f>
        <v>Glazier's workshop</v>
      </c>
      <c r="H18" s="3" t="str">
        <f>Static!I18</f>
        <v>Fossil fuel</v>
      </c>
      <c r="I18" s="12">
        <f>Static!J18*VLOOKUP(G18,TblUserFactories,2,FALSE)*VLOOKUP($G18,TblFactoryBasics,4,FALSE)/VLOOKUP(G18,TblFactoryBasics,3,FALSE)</f>
        <v>30080</v>
      </c>
      <c r="L18" s="3" t="s">
        <v>61</v>
      </c>
      <c r="M18">
        <f t="shared" si="1"/>
        <v>2320</v>
      </c>
    </row>
    <row r="19" spans="2:19" ht="15.75" customHeight="1">
      <c r="B19" s="3" t="s">
        <v>154</v>
      </c>
      <c r="C19" s="3" t="s">
        <v>63</v>
      </c>
      <c r="D19" s="12">
        <f t="shared" si="0"/>
        <v>6720</v>
      </c>
      <c r="G19" s="3" t="str">
        <f>Static!H19</f>
        <v>Glazier's workshop</v>
      </c>
      <c r="H19" s="3" t="str">
        <f>Static!I19</f>
        <v>Limestone</v>
      </c>
      <c r="I19" s="12">
        <f>Static!J19*VLOOKUP(G19,TblUserFactories,2,FALSE)*VLOOKUP($G19,TblFactoryBasics,4,FALSE)/VLOOKUP(G19,TblFactoryBasics,3,FALSE)</f>
        <v>15040</v>
      </c>
      <c r="L19" s="3" t="s">
        <v>63</v>
      </c>
      <c r="M19">
        <f t="shared" si="1"/>
        <v>4640</v>
      </c>
    </row>
    <row r="20" spans="2:19" ht="15.75" customHeight="1">
      <c r="B20" s="3" t="s">
        <v>155</v>
      </c>
      <c r="C20" s="3" t="s">
        <v>64</v>
      </c>
      <c r="D20" s="12">
        <f t="shared" si="0"/>
        <v>11600</v>
      </c>
      <c r="G20" s="3" t="str">
        <f>Static!H20</f>
        <v>Copper refinery</v>
      </c>
      <c r="H20" s="3" t="str">
        <f>Static!I20</f>
        <v>Cash</v>
      </c>
      <c r="I20" s="12">
        <f>Static!J20*VLOOKUP(G20,TblUserFactories,2,FALSE)*VLOOKUP($G20,TblFactoryBasics,4,FALSE)/VLOOKUP(G20,TblFactoryBasics,3,FALSE)</f>
        <v>9450000</v>
      </c>
      <c r="L20" s="3" t="s">
        <v>64</v>
      </c>
      <c r="M20">
        <f t="shared" si="1"/>
        <v>0</v>
      </c>
    </row>
    <row r="21" spans="2:19" ht="15.75" customHeight="1">
      <c r="B21" s="3" t="s">
        <v>157</v>
      </c>
      <c r="C21" s="3" t="s">
        <v>65</v>
      </c>
      <c r="D21" s="12">
        <f t="shared" si="0"/>
        <v>36000</v>
      </c>
      <c r="G21" s="3" t="str">
        <f>Static!H21</f>
        <v>Copper refinery</v>
      </c>
      <c r="H21" s="3" t="str">
        <f>Static!I21</f>
        <v>Chalcopyrite</v>
      </c>
      <c r="I21" s="12">
        <f>Static!J21*VLOOKUP(G21,TblUserFactories,2,FALSE)*VLOOKUP($G21,TblFactoryBasics,4,FALSE)/VLOOKUP(G21,TblFactoryBasics,3,FALSE)</f>
        <v>34020</v>
      </c>
      <c r="L21" s="3" t="s">
        <v>65</v>
      </c>
      <c r="M21">
        <f t="shared" si="1"/>
        <v>3400</v>
      </c>
    </row>
    <row r="22" spans="2:19" ht="15.75" customHeight="1">
      <c r="B22" s="3" t="s">
        <v>162</v>
      </c>
      <c r="C22" s="3" t="s">
        <v>66</v>
      </c>
      <c r="D22" s="12">
        <f t="shared" si="0"/>
        <v>5040</v>
      </c>
      <c r="G22" s="3" t="str">
        <f>Static!H22</f>
        <v>Insecticide factory</v>
      </c>
      <c r="H22" s="3" t="str">
        <f>Static!I22</f>
        <v>Cash</v>
      </c>
      <c r="I22" s="12">
        <f>Static!J22*VLOOKUP(G22,TblUserFactories,2,FALSE)*VLOOKUP($G22,TblFactoryBasics,4,FALSE)/VLOOKUP(G22,TblFactoryBasics,3,FALSE)</f>
        <v>9120000</v>
      </c>
      <c r="L22" s="3" t="s">
        <v>66</v>
      </c>
      <c r="M22">
        <f t="shared" si="1"/>
        <v>2400</v>
      </c>
    </row>
    <row r="23" spans="2:19" ht="15.75" customHeight="1">
      <c r="B23" s="3" t="s">
        <v>163</v>
      </c>
      <c r="C23" s="3" t="s">
        <v>67</v>
      </c>
      <c r="D23" s="12">
        <f t="shared" si="0"/>
        <v>4800</v>
      </c>
      <c r="G23" s="3" t="str">
        <f>Static!H23</f>
        <v>Insecticide factory</v>
      </c>
      <c r="H23" s="3" t="str">
        <f>Static!I23</f>
        <v>Copper</v>
      </c>
      <c r="I23" s="12">
        <f>Static!J23*VLOOKUP(G23,TblUserFactories,2,FALSE)*VLOOKUP($G23,TblFactoryBasics,4,FALSE)/VLOOKUP(G23,TblFactoryBasics,3,FALSE)</f>
        <v>3800</v>
      </c>
      <c r="L23" s="3" t="s">
        <v>67</v>
      </c>
      <c r="M23">
        <f t="shared" si="1"/>
        <v>0</v>
      </c>
    </row>
    <row r="24" spans="2:19" ht="15.75" customHeight="1">
      <c r="B24" s="3" t="s">
        <v>165</v>
      </c>
      <c r="C24" s="3" t="s">
        <v>68</v>
      </c>
      <c r="D24" s="12">
        <f t="shared" si="0"/>
        <v>0</v>
      </c>
      <c r="G24" s="3" t="str">
        <f>Static!H24</f>
        <v>Insecticide factory</v>
      </c>
      <c r="H24" s="3" t="str">
        <f>Static!I24</f>
        <v>Limestone</v>
      </c>
      <c r="I24" s="12">
        <f>Static!J24*VLOOKUP(G24,TblUserFactories,2,FALSE)*VLOOKUP($G24,TblFactoryBasics,4,FALSE)/VLOOKUP(G24,TblFactoryBasics,3,FALSE)</f>
        <v>11400</v>
      </c>
      <c r="L24" s="3" t="s">
        <v>68</v>
      </c>
      <c r="M24">
        <f t="shared" si="1"/>
        <v>0</v>
      </c>
    </row>
    <row r="25" spans="2:19" ht="15.75" customHeight="1">
      <c r="B25" s="3" t="s">
        <v>167</v>
      </c>
      <c r="C25" s="3" t="s">
        <v>35</v>
      </c>
      <c r="D25" s="12">
        <f t="shared" si="0"/>
        <v>1000</v>
      </c>
      <c r="G25" s="3" t="str">
        <f>Static!H25</f>
        <v>Aluminium factory</v>
      </c>
      <c r="H25" s="3" t="str">
        <f>Static!I25</f>
        <v>Cash</v>
      </c>
      <c r="I25" s="12">
        <f>Static!J25*VLOOKUP(G25,TblUserFactories,2,FALSE)*VLOOKUP($G25,TblFactoryBasics,4,FALSE)/VLOOKUP(G25,TblFactoryBasics,3,FALSE)</f>
        <v>18400000</v>
      </c>
      <c r="L25" s="3" t="s">
        <v>35</v>
      </c>
      <c r="M25">
        <f t="shared" si="1"/>
        <v>0</v>
      </c>
    </row>
    <row r="26" spans="2:19" ht="15.75" customHeight="1">
      <c r="G26" s="3" t="str">
        <f>Static!H26</f>
        <v>Aluminium factory</v>
      </c>
      <c r="H26" s="3" t="str">
        <f>Static!I26</f>
        <v>Bauxite</v>
      </c>
      <c r="I26" s="12">
        <f>Static!J26*VLOOKUP(G26,TblUserFactories,2,FALSE)*VLOOKUP($G26,TblFactoryBasics,4,FALSE)/VLOOKUP(G26,TblFactoryBasics,3,FALSE)</f>
        <v>88320</v>
      </c>
    </row>
    <row r="27" spans="2:19" ht="15.75" customHeight="1">
      <c r="G27" s="3" t="str">
        <f>Static!H27</f>
        <v>Plastic factory</v>
      </c>
      <c r="H27" s="3" t="str">
        <f>Static!I27</f>
        <v>Cash</v>
      </c>
      <c r="I27" s="12">
        <f>Static!J27*VLOOKUP(G27,TblUserFactories,2,FALSE)*VLOOKUP($G27,TblFactoryBasics,4,FALSE)/VLOOKUP(G27,TblFactoryBasics,3,FALSE)</f>
        <v>2952000</v>
      </c>
    </row>
    <row r="28" spans="2:19" ht="15.75" customHeight="1">
      <c r="G28" s="3" t="str">
        <f>Static!H28</f>
        <v>Plastic factory</v>
      </c>
      <c r="H28" s="3" t="str">
        <f>Static!I28</f>
        <v>Crude Oil</v>
      </c>
      <c r="I28" s="12">
        <f>Static!J28*VLOOKUP(G28,TblUserFactories,2,FALSE)*VLOOKUP($G28,TblFactoryBasics,4,FALSE)/VLOOKUP(G28,TblFactoryBasics,3,FALSE)</f>
        <v>7380</v>
      </c>
    </row>
    <row r="29" spans="2:19" ht="15.75" customHeight="1">
      <c r="G29" s="3" t="str">
        <f>Static!H29</f>
        <v>Lithium refinery</v>
      </c>
      <c r="H29" s="3" t="str">
        <f>Static!I29</f>
        <v>Cash</v>
      </c>
      <c r="I29" s="12">
        <f>Static!J29*VLOOKUP(G29,TblUserFactories,2,FALSE)*VLOOKUP($G29,TblFactoryBasics,4,FALSE)/VLOOKUP(G29,TblFactoryBasics,3,FALSE)</f>
        <v>27000000</v>
      </c>
    </row>
    <row r="30" spans="2:19" ht="15.75" customHeight="1">
      <c r="G30" s="3" t="str">
        <f>Static!H30</f>
        <v>Lithium refinery</v>
      </c>
      <c r="H30" s="3" t="str">
        <f>Static!I30</f>
        <v>Lithium ore</v>
      </c>
      <c r="I30" s="12">
        <f>Static!J30*VLOOKUP(G30,TblUserFactories,2,FALSE)*VLOOKUP($G30,TblFactoryBasics,4,FALSE)/VLOOKUP(G30,TblFactoryBasics,3,FALSE)</f>
        <v>621000</v>
      </c>
    </row>
    <row r="31" spans="2:19" ht="15.75" customHeight="1">
      <c r="G31" s="3" t="str">
        <f>Static!H31</f>
        <v>Battery factory</v>
      </c>
      <c r="H31" s="3" t="str">
        <f>Static!I31</f>
        <v>Cash</v>
      </c>
      <c r="I31" s="12">
        <f>Static!J31*VLOOKUP(G31,TblUserFactories,2,FALSE)*VLOOKUP($G31,TblFactoryBasics,4,FALSE)/VLOOKUP(G31,TblFactoryBasics,3,FALSE)</f>
        <v>76500000</v>
      </c>
    </row>
    <row r="32" spans="2:19" ht="15.75" customHeight="1">
      <c r="G32" s="3" t="str">
        <f>Static!H32</f>
        <v>Battery factory</v>
      </c>
      <c r="H32" s="3" t="str">
        <f>Static!I32</f>
        <v>Lithium</v>
      </c>
      <c r="I32" s="12">
        <f>Static!J32*VLOOKUP(G32,TblUserFactories,2,FALSE)*VLOOKUP($G32,TblFactoryBasics,4,FALSE)/VLOOKUP(G32,TblFactoryBasics,3,FALSE)</f>
        <v>20400</v>
      </c>
    </row>
    <row r="33" spans="7:9" ht="15.75" customHeight="1">
      <c r="G33" s="3" t="str">
        <f>Static!H33</f>
        <v>Battery factory</v>
      </c>
      <c r="H33" s="3" t="str">
        <f>Static!I33</f>
        <v>Plastics</v>
      </c>
      <c r="I33" s="12">
        <f>Static!J33*VLOOKUP(G33,TblUserFactories,2,FALSE)*VLOOKUP($G33,TblFactoryBasics,4,FALSE)/VLOOKUP(G33,TblFactoryBasics,3,FALSE)</f>
        <v>40800</v>
      </c>
    </row>
    <row r="34" spans="7:9" ht="15.75" customHeight="1">
      <c r="G34" s="3" t="str">
        <f>Static!H34</f>
        <v>Battery factory</v>
      </c>
      <c r="H34" s="3" t="str">
        <f>Static!I34</f>
        <v>Aluminium</v>
      </c>
      <c r="I34" s="12">
        <f>Static!J34*VLOOKUP(G34,TblUserFactories,2,FALSE)*VLOOKUP($G34,TblFactoryBasics,4,FALSE)/VLOOKUP(G34,TblFactoryBasics,3,FALSE)</f>
        <v>10200</v>
      </c>
    </row>
    <row r="35" spans="7:9" ht="15.75" customHeight="1">
      <c r="G35" s="3" t="str">
        <f>Static!H35</f>
        <v>Arms factory</v>
      </c>
      <c r="H35" s="3" t="str">
        <f>Static!I35</f>
        <v>Cash</v>
      </c>
      <c r="I35" s="12">
        <f>Static!J35*VLOOKUP(G35,TblUserFactories,2,FALSE)*VLOOKUP($G35,TblFactoryBasics,4,FALSE)/VLOOKUP(G35,TblFactoryBasics,3,FALSE)</f>
        <v>25000000</v>
      </c>
    </row>
    <row r="36" spans="7:9" ht="15.75" customHeight="1">
      <c r="G36" s="3" t="str">
        <f>Static!H36</f>
        <v>Arms factory</v>
      </c>
      <c r="H36" s="3" t="str">
        <f>Static!I36</f>
        <v>Steel</v>
      </c>
      <c r="I36" s="12">
        <f>Static!J36*VLOOKUP(G36,TblUserFactories,2,FALSE)*VLOOKUP($G36,TblFactoryBasics,4,FALSE)/VLOOKUP(G36,TblFactoryBasics,3,FALSE)</f>
        <v>100</v>
      </c>
    </row>
    <row r="37" spans="7:9" ht="15.75" customHeight="1">
      <c r="G37" s="3" t="str">
        <f>Static!H37</f>
        <v>Arms factory</v>
      </c>
      <c r="H37" s="3" t="str">
        <f>Static!I37</f>
        <v>Aluminium</v>
      </c>
      <c r="I37" s="12">
        <f>Static!J37*VLOOKUP(G37,TblUserFactories,2,FALSE)*VLOOKUP($G37,TblFactoryBasics,4,FALSE)/VLOOKUP(G37,TblFactoryBasics,3,FALSE)</f>
        <v>100</v>
      </c>
    </row>
    <row r="38" spans="7:9" ht="15.75" customHeight="1">
      <c r="G38" s="3" t="str">
        <f>Static!H38</f>
        <v>Arms factory</v>
      </c>
      <c r="H38" s="3" t="str">
        <f>Static!I38</f>
        <v>Batteries</v>
      </c>
      <c r="I38" s="12">
        <f>Static!J38*VLOOKUP(G38,TblUserFactories,2,FALSE)*VLOOKUP($G38,TblFactoryBasics,4,FALSE)/VLOOKUP(G38,TblFactoryBasics,3,FALSE)</f>
        <v>100</v>
      </c>
    </row>
    <row r="39" spans="7:9" ht="15.75" customHeight="1">
      <c r="G39" s="3" t="str">
        <f>Static!H39</f>
        <v>Silicon refinery</v>
      </c>
      <c r="H39" s="3" t="str">
        <f>Static!I39</f>
        <v>Cash</v>
      </c>
      <c r="I39" s="12">
        <f>Static!J39*VLOOKUP(G39,TblUserFactories,2,FALSE)*VLOOKUP($G39,TblFactoryBasics,4,FALSE)/VLOOKUP(G39,TblFactoryBasics,3,FALSE)</f>
        <v>0</v>
      </c>
    </row>
    <row r="40" spans="7:9" ht="15.75" customHeight="1">
      <c r="G40" s="3" t="str">
        <f>Static!H40</f>
        <v>Silicon refinery</v>
      </c>
      <c r="H40" s="3" t="str">
        <f>Static!I40</f>
        <v>Quartz sand</v>
      </c>
      <c r="I40" s="12">
        <f>Static!J40*VLOOKUP(G40,TblUserFactories,2,FALSE)*VLOOKUP($G40,TblFactoryBasics,4,FALSE)/VLOOKUP(G40,TblFactoryBasics,3,FALSE)</f>
        <v>0</v>
      </c>
    </row>
    <row r="41" spans="7:9" ht="15.75" customHeight="1">
      <c r="G41" s="3" t="str">
        <f>Static!H41</f>
        <v>Silicon refinery</v>
      </c>
      <c r="H41" s="3" t="str">
        <f>Static!I41</f>
        <v>Clay</v>
      </c>
      <c r="I41" s="12">
        <f>Static!J41*VLOOKUP(G41,TblUserFactories,2,FALSE)*VLOOKUP($G41,TblFactoryBasics,4,FALSE)/VLOOKUP(G41,TblFactoryBasics,3,FALSE)</f>
        <v>0</v>
      </c>
    </row>
    <row r="42" spans="7:9" ht="15.75" customHeight="1">
      <c r="G42" s="3" t="str">
        <f>Static!H42</f>
        <v>Silicon refinery</v>
      </c>
      <c r="H42" s="3" t="str">
        <f>Static!I42</f>
        <v>Fossil fuel</v>
      </c>
      <c r="I42" s="12">
        <f>Static!J42*VLOOKUP(G42,TblUserFactories,2,FALSE)*VLOOKUP($G42,TblFactoryBasics,4,FALSE)/VLOOKUP(G42,TblFactoryBasics,3,FALSE)</f>
        <v>0</v>
      </c>
    </row>
    <row r="43" spans="7:9" ht="15.75" customHeight="1">
      <c r="G43" s="3" t="str">
        <f>Static!H43</f>
        <v>Electronics factory</v>
      </c>
      <c r="H43" s="3" t="str">
        <f>Static!I43</f>
        <v>Cash</v>
      </c>
      <c r="I43" s="12">
        <f>Static!J43*VLOOKUP(G43,TblUserFactories,2,FALSE)*VLOOKUP($G43,TblFactoryBasics,4,FALSE)/VLOOKUP(G43,TblFactoryBasics,3,FALSE)</f>
        <v>10800000</v>
      </c>
    </row>
    <row r="44" spans="7:9" ht="15.75" customHeight="1">
      <c r="G44" s="3" t="str">
        <f>Static!H44</f>
        <v>Electronics factory</v>
      </c>
      <c r="H44" s="3" t="str">
        <f>Static!I44</f>
        <v>Plastics</v>
      </c>
      <c r="I44" s="12">
        <f>Static!J44*VLOOKUP(G44,TblUserFactories,2,FALSE)*VLOOKUP($G44,TblFactoryBasics,4,FALSE)/VLOOKUP(G44,TblFactoryBasics,3,FALSE)</f>
        <v>8640</v>
      </c>
    </row>
    <row r="45" spans="7:9" ht="15.75" customHeight="1">
      <c r="G45" s="3" t="str">
        <f>Static!H45</f>
        <v>Electronics factory</v>
      </c>
      <c r="H45" s="3" t="str">
        <f>Static!I45</f>
        <v>Copper</v>
      </c>
      <c r="I45" s="12">
        <f>Static!J45*VLOOKUP(G45,TblUserFactories,2,FALSE)*VLOOKUP($G45,TblFactoryBasics,4,FALSE)/VLOOKUP(G45,TblFactoryBasics,3,FALSE)</f>
        <v>6480</v>
      </c>
    </row>
    <row r="46" spans="7:9" ht="15.75" customHeight="1">
      <c r="G46" s="3" t="str">
        <f>Static!H46</f>
        <v>Electronics factory</v>
      </c>
      <c r="H46" s="3" t="str">
        <f>Static!I46</f>
        <v>Silicon</v>
      </c>
      <c r="I46" s="12">
        <f>Static!J46*VLOOKUP(G46,TblUserFactories,2,FALSE)*VLOOKUP($G46,TblFactoryBasics,4,FALSE)/VLOOKUP(G46,TblFactoryBasics,3,FALSE)</f>
        <v>2160</v>
      </c>
    </row>
    <row r="47" spans="7:9" ht="15.75" customHeight="1">
      <c r="G47" s="3" t="str">
        <f>Static!H47</f>
        <v>Titanium refinery</v>
      </c>
      <c r="H47" s="3" t="str">
        <f>Static!I47</f>
        <v>Cash</v>
      </c>
      <c r="I47" s="12">
        <f>Static!J47*VLOOKUP(G47,TblUserFactories,2,FALSE)*VLOOKUP($G47,TblFactoryBasics,4,FALSE)/VLOOKUP(G47,TblFactoryBasics,3,FALSE)</f>
        <v>16800000</v>
      </c>
    </row>
    <row r="48" spans="7:9" ht="15.75" customHeight="1">
      <c r="G48" s="3" t="str">
        <f>Static!H48</f>
        <v>Titanium refinery</v>
      </c>
      <c r="H48" s="3" t="str">
        <f>Static!I48</f>
        <v>Ilmenite</v>
      </c>
      <c r="I48" s="12">
        <f>Static!J48*VLOOKUP(G48,TblUserFactories,2,FALSE)*VLOOKUP($G48,TblFactoryBasics,4,FALSE)/VLOOKUP(G48,TblFactoryBasics,3,FALSE)</f>
        <v>13440</v>
      </c>
    </row>
    <row r="49" spans="7:9" ht="15.75" customHeight="1">
      <c r="G49" s="3" t="str">
        <f>Static!H49</f>
        <v>Medical technology Inc.</v>
      </c>
      <c r="H49" s="3" t="str">
        <f>Static!I49</f>
        <v>Cash</v>
      </c>
      <c r="I49" s="12">
        <f>Static!J49*VLOOKUP(G49,TblUserFactories,2,FALSE)*VLOOKUP($G49,TblFactoryBasics,4,FALSE)/VLOOKUP(G49,TblFactoryBasics,3,FALSE)</f>
        <v>104400000</v>
      </c>
    </row>
    <row r="50" spans="7:9" ht="15.75" customHeight="1">
      <c r="G50" s="3" t="str">
        <f>Static!H50</f>
        <v>Medical technology Inc.</v>
      </c>
      <c r="H50" s="3" t="str">
        <f>Static!I50</f>
        <v>Titanium</v>
      </c>
      <c r="I50" s="12">
        <f>Static!J50*VLOOKUP(G50,TblUserFactories,2,FALSE)*VLOOKUP($G50,TblFactoryBasics,4,FALSE)/VLOOKUP(G50,TblFactoryBasics,3,FALSE)</f>
        <v>4640</v>
      </c>
    </row>
    <row r="51" spans="7:9" ht="15.75" customHeight="1">
      <c r="G51" s="3" t="str">
        <f>Static!H51</f>
        <v>Medical technology Inc.</v>
      </c>
      <c r="H51" s="3" t="str">
        <f>Static!I51</f>
        <v>Plastics</v>
      </c>
      <c r="I51" s="12">
        <f>Static!J51*VLOOKUP(G51,TblUserFactories,2,FALSE)*VLOOKUP($G51,TblFactoryBasics,4,FALSE)/VLOOKUP(G51,TblFactoryBasics,3,FALSE)</f>
        <v>2320</v>
      </c>
    </row>
    <row r="52" spans="7:9" ht="15.75" customHeight="1">
      <c r="G52" s="3" t="str">
        <f>Static!H52</f>
        <v>Medical technology Inc.</v>
      </c>
      <c r="H52" s="3" t="str">
        <f>Static!I52</f>
        <v>Electronics</v>
      </c>
      <c r="I52" s="12">
        <f>Static!J52*VLOOKUP(G52,TblUserFactories,2,FALSE)*VLOOKUP($G52,TblFactoryBasics,4,FALSE)/VLOOKUP(G52,TblFactoryBasics,3,FALSE)</f>
        <v>2320</v>
      </c>
    </row>
    <row r="53" spans="7:9" ht="15.75" customHeight="1">
      <c r="G53" s="3" t="str">
        <f>Static!H53</f>
        <v>Silver refinery</v>
      </c>
      <c r="H53" s="3" t="str">
        <f>Static!I53</f>
        <v>Cash</v>
      </c>
      <c r="I53" s="12">
        <f>Static!J53*VLOOKUP(G53,TblUserFactories,2,FALSE)*VLOOKUP($G53,TblFactoryBasics,4,FALSE)/VLOOKUP(G53,TblFactoryBasics,3,FALSE)</f>
        <v>7200000</v>
      </c>
    </row>
    <row r="54" spans="7:9" ht="15.75" customHeight="1">
      <c r="G54" s="3" t="str">
        <f>Static!H54</f>
        <v>Silver refinery</v>
      </c>
      <c r="H54" s="3" t="str">
        <f>Static!I54</f>
        <v>Silver ore</v>
      </c>
      <c r="I54" s="12">
        <f>Static!J54*VLOOKUP(G54,TblUserFactories,2,FALSE)*VLOOKUP($G54,TblFactoryBasics,4,FALSE)/VLOOKUP(G54,TblFactoryBasics,3,FALSE)</f>
        <v>5760</v>
      </c>
    </row>
    <row r="55" spans="7:9" ht="15.75" customHeight="1">
      <c r="G55" s="3" t="str">
        <f>Static!H55</f>
        <v>Gold refinery</v>
      </c>
      <c r="H55" s="3" t="str">
        <f>Static!I55</f>
        <v>Cash</v>
      </c>
      <c r="I55" s="12">
        <f>Static!J55*VLOOKUP(G55,TblUserFactories,2,FALSE)*VLOOKUP($G55,TblFactoryBasics,4,FALSE)/VLOOKUP(G55,TblFactoryBasics,3,FALSE)</f>
        <v>33600000</v>
      </c>
    </row>
    <row r="56" spans="7:9" ht="15.75" customHeight="1">
      <c r="G56" s="3" t="str">
        <f>Static!H56</f>
        <v>Gold refinery</v>
      </c>
      <c r="H56" s="3" t="str">
        <f>Static!I56</f>
        <v>Gold ore</v>
      </c>
      <c r="I56" s="12">
        <f>Static!J56*VLOOKUP(G56,TblUserFactories,2,FALSE)*VLOOKUP($G56,TblFactoryBasics,4,FALSE)/VLOOKUP(G56,TblFactoryBasics,3,FALSE)</f>
        <v>33600</v>
      </c>
    </row>
    <row r="57" spans="7:9" ht="15.75" customHeight="1">
      <c r="G57" s="3" t="str">
        <f>Static!H57</f>
        <v>Goldsmith</v>
      </c>
      <c r="H57" s="3" t="str">
        <f>Static!I57</f>
        <v>Cash</v>
      </c>
      <c r="I57" s="12">
        <f>Static!J57*VLOOKUP(G57,TblUserFactories,2,FALSE)*VLOOKUP($G57,TblFactoryBasics,4,FALSE)/VLOOKUP(G57,TblFactoryBasics,3,FALSE)</f>
        <v>120000000</v>
      </c>
    </row>
    <row r="58" spans="7:9" ht="15.75" customHeight="1">
      <c r="G58" s="3" t="str">
        <f>Static!H58</f>
        <v>Goldsmith</v>
      </c>
      <c r="H58" s="3" t="str">
        <f>Static!I58</f>
        <v>Rough diamonds</v>
      </c>
      <c r="I58" s="12">
        <f>Static!J58*VLOOKUP(G58,TblUserFactories,2,FALSE)*VLOOKUP($G58,TblFactoryBasics,4,FALSE)/VLOOKUP(G58,TblFactoryBasics,3,FALSE)</f>
        <v>2400000</v>
      </c>
    </row>
    <row r="59" spans="7:9" ht="15.75" customHeight="1">
      <c r="G59" s="3" t="str">
        <f>Static!H59</f>
        <v>Goldsmith</v>
      </c>
      <c r="H59" s="3" t="str">
        <f>Static!I59</f>
        <v>Gold</v>
      </c>
      <c r="I59" s="12">
        <f>Static!J59*VLOOKUP(G59,TblUserFactories,2,FALSE)*VLOOKUP($G59,TblFactoryBasics,4,FALSE)/VLOOKUP(G59,TblFactoryBasics,3,FALSE)</f>
        <v>2400</v>
      </c>
    </row>
    <row r="60" spans="7:9" ht="15.75" customHeight="1">
      <c r="G60" s="3" t="str">
        <f>Static!H60</f>
        <v>Goldsmith</v>
      </c>
      <c r="H60" s="3" t="str">
        <f>Static!I60</f>
        <v>Silver</v>
      </c>
      <c r="I60" s="12">
        <f>Static!J60*VLOOKUP(G60,TblUserFactories,2,FALSE)*VLOOKUP($G60,TblFactoryBasics,4,FALSE)/VLOOKUP(G60,TblFactoryBasics,3,FALSE)</f>
        <v>2400</v>
      </c>
    </row>
    <row r="61" spans="7:9" ht="15.75" customHeight="1">
      <c r="G61" s="3" t="str">
        <f>Static!H61</f>
        <v>Drone shipyard</v>
      </c>
      <c r="H61" s="3" t="str">
        <f>Static!I61</f>
        <v>Cash</v>
      </c>
      <c r="I61" s="12">
        <f>Static!J61*VLOOKUP(G61,TblUserFactories,2,FALSE)*VLOOKUP($G61,TblFactoryBasics,4,FALSE)/VLOOKUP(G61,TblFactoryBasics,3,FALSE)</f>
        <v>0</v>
      </c>
    </row>
    <row r="62" spans="7:9" ht="15.75" customHeight="1">
      <c r="G62" s="3" t="str">
        <f>Static!H62</f>
        <v>Drone shipyard</v>
      </c>
      <c r="H62" s="3" t="str">
        <f>Static!I62</f>
        <v>Electronics</v>
      </c>
      <c r="I62" s="12">
        <f>Static!J62*VLOOKUP(G62,TblUserFactories,2,FALSE)*VLOOKUP($G62,TblFactoryBasics,4,FALSE)/VLOOKUP(G62,TblFactoryBasics,3,FALSE)</f>
        <v>0</v>
      </c>
    </row>
    <row r="63" spans="7:9" ht="15.75" customHeight="1">
      <c r="G63" s="3" t="str">
        <f>Static!H63</f>
        <v>Drone shipyard</v>
      </c>
      <c r="H63" s="3" t="str">
        <f>Static!I63</f>
        <v>Titanium</v>
      </c>
      <c r="I63" s="12">
        <f>Static!J63*VLOOKUP(G63,TblUserFactories,2,FALSE)*VLOOKUP($G63,TblFactoryBasics,4,FALSE)/VLOOKUP(G63,TblFactoryBasics,3,FALSE)</f>
        <v>0</v>
      </c>
    </row>
    <row r="64" spans="7:9" ht="15.75" customHeight="1">
      <c r="G64" s="3" t="str">
        <f>Static!H64</f>
        <v>Drone shipyard</v>
      </c>
      <c r="H64" s="3" t="str">
        <f>Static!I64</f>
        <v>Batteries</v>
      </c>
      <c r="I64" s="12">
        <f>Static!J64*VLOOKUP(G64,TblUserFactories,2,FALSE)*VLOOKUP($G64,TblFactoryBasics,4,FALSE)/VLOOKUP(G64,TblFactoryBasics,3,FALSE)</f>
        <v>0</v>
      </c>
    </row>
    <row r="65" spans="7:9" ht="15.75" customHeight="1">
      <c r="G65" s="3" t="str">
        <f>Static!H65</f>
        <v>Truck plant</v>
      </c>
      <c r="H65" s="3" t="str">
        <f>Static!I65</f>
        <v>Cash</v>
      </c>
      <c r="I65" s="12">
        <f>Static!J65*VLOOKUP(G65,TblUserFactories,2,FALSE)*VLOOKUP($G65,TblFactoryBasics,4,FALSE)/VLOOKUP(G65,TblFactoryBasics,3,FALSE)</f>
        <v>50000000</v>
      </c>
    </row>
    <row r="66" spans="7:9" ht="15.75" customHeight="1">
      <c r="G66" s="3" t="str">
        <f>Static!H66</f>
        <v>Truck plant</v>
      </c>
      <c r="H66" s="3" t="str">
        <f>Static!I66</f>
        <v>Steel</v>
      </c>
      <c r="I66" s="12">
        <f>Static!J66*VLOOKUP(G66,TblUserFactories,2,FALSE)*VLOOKUP($G66,TblFactoryBasics,4,FALSE)/VLOOKUP(G66,TblFactoryBasics,3,FALSE)</f>
        <v>2000</v>
      </c>
    </row>
    <row r="67" spans="7:9" ht="15.75" customHeight="1">
      <c r="G67" s="3" t="str">
        <f>Static!H67</f>
        <v>Truck plant</v>
      </c>
      <c r="H67" s="3" t="str">
        <f>Static!I67</f>
        <v>Batteries</v>
      </c>
      <c r="I67" s="12">
        <f>Static!J67*VLOOKUP(G67,TblUserFactories,2,FALSE)*VLOOKUP($G67,TblFactoryBasics,4,FALSE)/VLOOKUP(G67,TblFactoryBasics,3,FALSE)</f>
        <v>500</v>
      </c>
    </row>
    <row r="68" spans="7:9" ht="15.75" customHeight="1">
      <c r="G68" s="3" t="str">
        <f>Static!H68</f>
        <v>Truck plant</v>
      </c>
      <c r="H68" s="3" t="str">
        <f>Static!I68</f>
        <v>Silver</v>
      </c>
      <c r="I68" s="12">
        <f>Static!J68*VLOOKUP(G68,TblUserFactories,2,FALSE)*VLOOKUP($G68,TblFactoryBasics,4,FALSE)/VLOOKUP(G68,TblFactoryBasics,3,FALSE)</f>
        <v>1000</v>
      </c>
    </row>
    <row r="69" spans="7:9" ht="15.75" customHeight="1"/>
    <row r="70" spans="7:9" ht="15.75" customHeight="1"/>
    <row r="71" spans="7:9" ht="15.75" customHeight="1"/>
    <row r="72" spans="7:9" ht="15.75" customHeight="1"/>
    <row r="73" spans="7:9" ht="15.75" customHeight="1"/>
    <row r="74" spans="7:9" ht="15.75" customHeight="1"/>
    <row r="75" spans="7:9" ht="15.75" customHeight="1"/>
    <row r="76" spans="7:9" ht="15.75" customHeight="1"/>
    <row r="77" spans="7:9" ht="15.75" customHeight="1"/>
    <row r="78" spans="7:9" ht="15.75" customHeight="1"/>
    <row r="79" spans="7:9" ht="15.75" customHeight="1"/>
    <row r="80" spans="7:9"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8740157499999996" bottom="0.78740157499999996"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0000"/>
    <outlinePr summaryBelow="0" summaryRight="0"/>
  </sheetPr>
  <dimension ref="B1:AQ1000"/>
  <sheetViews>
    <sheetView workbookViewId="0"/>
  </sheetViews>
  <sheetFormatPr defaultColWidth="15.109375" defaultRowHeight="15" customHeight="1"/>
  <cols>
    <col min="1" max="1" width="3.44140625" customWidth="1"/>
    <col min="2" max="2" width="18" customWidth="1"/>
    <col min="3" max="3" width="13.6640625" customWidth="1"/>
    <col min="4" max="4" width="7.33203125" customWidth="1"/>
    <col min="5" max="5" width="13.109375" customWidth="1"/>
    <col min="6" max="7" width="1.88671875" customWidth="1"/>
    <col min="8" max="8" width="17.21875" customWidth="1"/>
    <col min="9" max="10" width="12.6640625" customWidth="1"/>
    <col min="11" max="12" width="1.88671875" customWidth="1"/>
    <col min="13" max="14" width="15.21875" customWidth="1"/>
    <col min="15" max="15" width="13.88671875" customWidth="1"/>
    <col min="16" max="17" width="2.6640625" customWidth="1"/>
    <col min="18" max="18" width="18" customWidth="1"/>
    <col min="19" max="19" width="13.6640625" customWidth="1"/>
    <col min="20" max="20" width="9.77734375" customWidth="1"/>
    <col min="21" max="23" width="13.109375" customWidth="1"/>
    <col min="24" max="24" width="14.88671875" customWidth="1"/>
    <col min="25" max="25" width="14" customWidth="1"/>
    <col min="26" max="27" width="3.21875" customWidth="1"/>
    <col min="28" max="31" width="12.6640625" customWidth="1"/>
    <col min="32" max="32" width="2.77734375" customWidth="1"/>
    <col min="33" max="33" width="3" customWidth="1"/>
    <col min="34" max="34" width="14.109375" customWidth="1"/>
    <col min="35" max="35" width="12.6640625" customWidth="1"/>
    <col min="36" max="36" width="11.88671875" customWidth="1"/>
    <col min="37" max="37" width="9.88671875" customWidth="1"/>
    <col min="38" max="38" width="13.88671875" customWidth="1"/>
    <col min="39" max="39" width="9.88671875" customWidth="1"/>
    <col min="40" max="40" width="12.77734375" customWidth="1"/>
    <col min="41" max="41" width="11" customWidth="1"/>
    <col min="42" max="43" width="11.88671875" customWidth="1"/>
  </cols>
  <sheetData>
    <row r="1" spans="2:43" ht="15.75" customHeight="1"/>
    <row r="2" spans="2:43" ht="15.75" customHeight="1">
      <c r="B2" s="27" t="s">
        <v>1136</v>
      </c>
      <c r="H2" s="27" t="s">
        <v>1137</v>
      </c>
      <c r="M2" s="27" t="s">
        <v>1138</v>
      </c>
      <c r="R2" s="27" t="s">
        <v>1139</v>
      </c>
    </row>
    <row r="3" spans="2:43" ht="15.75" customHeight="1">
      <c r="B3" s="1" t="s">
        <v>1131</v>
      </c>
      <c r="C3" s="1" t="s">
        <v>1132</v>
      </c>
      <c r="D3" s="1" t="s">
        <v>1140</v>
      </c>
      <c r="E3" s="1" t="s">
        <v>1141</v>
      </c>
      <c r="F3" s="34"/>
      <c r="G3" s="34"/>
      <c r="H3" s="1" t="s">
        <v>1131</v>
      </c>
      <c r="I3" s="1" t="s">
        <v>11</v>
      </c>
      <c r="J3" s="1" t="s">
        <v>1142</v>
      </c>
      <c r="K3" s="34"/>
      <c r="L3" s="34"/>
      <c r="M3" s="1" t="s">
        <v>1131</v>
      </c>
      <c r="N3" s="1" t="s">
        <v>11</v>
      </c>
      <c r="O3" s="1" t="s">
        <v>1142</v>
      </c>
      <c r="R3" s="1" t="s">
        <v>86</v>
      </c>
      <c r="S3" s="1" t="s">
        <v>11</v>
      </c>
      <c r="T3" s="1" t="s">
        <v>1143</v>
      </c>
      <c r="U3" s="1" t="s">
        <v>1144</v>
      </c>
      <c r="V3" s="1" t="s">
        <v>1145</v>
      </c>
      <c r="W3" s="1" t="s">
        <v>1146</v>
      </c>
      <c r="X3" s="1" t="s">
        <v>1147</v>
      </c>
      <c r="Y3" s="1" t="s">
        <v>1148</v>
      </c>
      <c r="AB3" s="1" t="s">
        <v>1149</v>
      </c>
      <c r="AC3" s="1" t="s">
        <v>1150</v>
      </c>
      <c r="AD3" s="1" t="s">
        <v>1135</v>
      </c>
      <c r="AE3" s="1" t="s">
        <v>892</v>
      </c>
      <c r="AH3" s="1" t="s">
        <v>853</v>
      </c>
      <c r="AI3" s="1" t="s">
        <v>1151</v>
      </c>
      <c r="AJ3" s="1" t="s">
        <v>1152</v>
      </c>
      <c r="AK3" s="1" t="s">
        <v>1153</v>
      </c>
      <c r="AL3" s="1" t="s">
        <v>1154</v>
      </c>
      <c r="AM3" s="1" t="s">
        <v>1155</v>
      </c>
      <c r="AN3" s="1" t="s">
        <v>1156</v>
      </c>
      <c r="AO3" s="1" t="s">
        <v>1157</v>
      </c>
      <c r="AP3" s="3"/>
      <c r="AQ3" s="3"/>
    </row>
    <row r="4" spans="2:43" ht="15.75" customHeight="1">
      <c r="B4" s="3" t="s">
        <v>102</v>
      </c>
      <c r="C4" s="3" t="s">
        <v>44</v>
      </c>
      <c r="D4" s="3">
        <v>2</v>
      </c>
      <c r="E4" s="3">
        <v>800</v>
      </c>
      <c r="F4" s="3"/>
      <c r="G4" s="3"/>
      <c r="H4" s="3" t="s">
        <v>102</v>
      </c>
      <c r="I4" s="3" t="s">
        <v>749</v>
      </c>
      <c r="J4" s="3">
        <v>10</v>
      </c>
      <c r="K4" s="3"/>
      <c r="L4" s="3"/>
      <c r="M4" s="3" t="s">
        <v>102</v>
      </c>
      <c r="N4" s="3" t="s">
        <v>21</v>
      </c>
      <c r="O4" s="12">
        <v>200</v>
      </c>
      <c r="R4" s="3" t="s">
        <v>101</v>
      </c>
      <c r="S4" s="3" t="s">
        <v>21</v>
      </c>
      <c r="T4" s="3">
        <v>1</v>
      </c>
      <c r="U4" s="53">
        <v>1530</v>
      </c>
      <c r="V4" s="160">
        <v>0.95</v>
      </c>
      <c r="W4" s="12">
        <v>1000000</v>
      </c>
      <c r="X4" s="3">
        <v>0</v>
      </c>
      <c r="Y4" s="3">
        <v>0</v>
      </c>
      <c r="AB4">
        <v>57</v>
      </c>
      <c r="AC4" t="s">
        <v>1158</v>
      </c>
      <c r="AD4" t="s">
        <v>842</v>
      </c>
      <c r="AE4" s="3" t="s">
        <v>1028</v>
      </c>
      <c r="AF4" s="3"/>
      <c r="AG4" s="3"/>
      <c r="AH4" s="3" t="s">
        <v>104</v>
      </c>
      <c r="AI4" s="12">
        <v>10000000</v>
      </c>
      <c r="AJ4" s="3" t="s">
        <v>834</v>
      </c>
      <c r="AK4" s="12">
        <v>8000</v>
      </c>
      <c r="AL4" s="3" t="s">
        <v>839</v>
      </c>
      <c r="AM4" s="12">
        <v>1000</v>
      </c>
      <c r="AN4" s="3" t="s">
        <v>1002</v>
      </c>
      <c r="AO4" s="12">
        <v>2</v>
      </c>
      <c r="AP4" s="3"/>
      <c r="AQ4" s="3"/>
    </row>
    <row r="5" spans="2:43" ht="15.75" customHeight="1">
      <c r="B5" s="3" t="s">
        <v>106</v>
      </c>
      <c r="C5" s="3" t="s">
        <v>45</v>
      </c>
      <c r="D5" s="3">
        <v>14</v>
      </c>
      <c r="E5" s="3">
        <v>2100</v>
      </c>
      <c r="F5" s="3"/>
      <c r="G5" s="3"/>
      <c r="H5" s="3" t="s">
        <v>102</v>
      </c>
      <c r="I5" s="3" t="s">
        <v>21</v>
      </c>
      <c r="J5" s="3">
        <v>3</v>
      </c>
      <c r="K5" s="3"/>
      <c r="L5" s="3"/>
      <c r="M5" s="3" t="s">
        <v>102</v>
      </c>
      <c r="N5" s="3" t="s">
        <v>749</v>
      </c>
      <c r="O5" s="12">
        <v>500000</v>
      </c>
      <c r="R5" s="3" t="s">
        <v>148</v>
      </c>
      <c r="S5" s="3" t="s">
        <v>22</v>
      </c>
      <c r="T5" s="3">
        <v>2</v>
      </c>
      <c r="U5" s="53">
        <v>510</v>
      </c>
      <c r="V5" s="160">
        <v>0.96</v>
      </c>
      <c r="W5" s="12">
        <v>2500000</v>
      </c>
      <c r="X5" s="3">
        <v>0</v>
      </c>
      <c r="Y5" s="3">
        <v>0</v>
      </c>
      <c r="AB5">
        <v>115</v>
      </c>
      <c r="AC5" t="s">
        <v>1159</v>
      </c>
      <c r="AD5" t="s">
        <v>849</v>
      </c>
      <c r="AE5" s="3" t="s">
        <v>1028</v>
      </c>
      <c r="AF5" s="3"/>
      <c r="AG5" s="3"/>
      <c r="AH5" s="3" t="s">
        <v>107</v>
      </c>
      <c r="AI5" s="12">
        <v>2500000</v>
      </c>
      <c r="AJ5" s="3" t="s">
        <v>45</v>
      </c>
      <c r="AK5" s="12">
        <v>2000</v>
      </c>
      <c r="AL5" s="3" t="s">
        <v>833</v>
      </c>
      <c r="AM5" s="12">
        <v>500</v>
      </c>
      <c r="AN5" s="3" t="s">
        <v>845</v>
      </c>
      <c r="AO5" s="12">
        <v>1000</v>
      </c>
      <c r="AP5" s="3"/>
      <c r="AQ5" s="3"/>
    </row>
    <row r="6" spans="2:43" ht="15.75" customHeight="1">
      <c r="B6" s="3" t="s">
        <v>109</v>
      </c>
      <c r="C6" s="3" t="s">
        <v>46</v>
      </c>
      <c r="D6" s="3">
        <v>11</v>
      </c>
      <c r="E6" s="3">
        <f>12100/10</f>
        <v>1210</v>
      </c>
      <c r="F6" s="3"/>
      <c r="G6" s="3"/>
      <c r="H6" s="3" t="s">
        <v>106</v>
      </c>
      <c r="I6" s="3" t="s">
        <v>749</v>
      </c>
      <c r="J6" s="3">
        <v>20</v>
      </c>
      <c r="K6" s="3"/>
      <c r="L6" s="3"/>
      <c r="M6" s="3" t="s">
        <v>106</v>
      </c>
      <c r="N6" s="12" t="s">
        <v>1160</v>
      </c>
      <c r="O6" s="12">
        <v>1000</v>
      </c>
      <c r="R6" s="3" t="s">
        <v>115</v>
      </c>
      <c r="S6" s="3" t="s">
        <v>23</v>
      </c>
      <c r="T6" s="3">
        <v>3</v>
      </c>
      <c r="U6" s="53">
        <v>542</v>
      </c>
      <c r="V6" s="160">
        <v>0.95</v>
      </c>
      <c r="W6" s="12">
        <v>5000000</v>
      </c>
      <c r="X6" s="3">
        <v>0</v>
      </c>
      <c r="Y6" s="3">
        <v>0</v>
      </c>
      <c r="AB6">
        <v>70</v>
      </c>
      <c r="AC6" t="s">
        <v>1161</v>
      </c>
      <c r="AD6" t="s">
        <v>834</v>
      </c>
      <c r="AE6" s="3" t="s">
        <v>1028</v>
      </c>
      <c r="AF6" s="3"/>
      <c r="AG6" s="3"/>
      <c r="AH6" s="3" t="s">
        <v>110</v>
      </c>
      <c r="AI6" s="12">
        <v>100000000</v>
      </c>
      <c r="AJ6" s="3" t="s">
        <v>840</v>
      </c>
      <c r="AK6" s="12">
        <v>9500</v>
      </c>
      <c r="AL6" s="3" t="s">
        <v>833</v>
      </c>
      <c r="AM6" s="12">
        <v>9500</v>
      </c>
      <c r="AN6" s="3" t="s">
        <v>845</v>
      </c>
      <c r="AO6" s="12">
        <v>6500</v>
      </c>
      <c r="AP6" s="3"/>
      <c r="AQ6" s="3"/>
    </row>
    <row r="7" spans="2:43" ht="15.75" customHeight="1">
      <c r="B7" s="3" t="s">
        <v>113</v>
      </c>
      <c r="C7" s="3" t="s">
        <v>47</v>
      </c>
      <c r="D7" s="3">
        <v>1</v>
      </c>
      <c r="E7" s="3">
        <v>450</v>
      </c>
      <c r="H7" s="3" t="s">
        <v>106</v>
      </c>
      <c r="I7" s="3" t="s">
        <v>23</v>
      </c>
      <c r="J7" s="3">
        <v>3</v>
      </c>
      <c r="M7" s="3" t="s">
        <v>106</v>
      </c>
      <c r="N7" s="12" t="s">
        <v>1162</v>
      </c>
      <c r="O7" s="12">
        <v>1000</v>
      </c>
      <c r="R7" s="3" t="s">
        <v>105</v>
      </c>
      <c r="S7" s="3" t="s">
        <v>24</v>
      </c>
      <c r="T7" s="3">
        <v>4</v>
      </c>
      <c r="U7" s="53">
        <v>510</v>
      </c>
      <c r="V7" s="160">
        <v>0.52</v>
      </c>
      <c r="W7" s="12">
        <v>50000000</v>
      </c>
      <c r="X7" s="3">
        <v>0</v>
      </c>
      <c r="Y7" s="3">
        <v>0</v>
      </c>
      <c r="AB7">
        <v>74</v>
      </c>
      <c r="AC7" t="s">
        <v>1163</v>
      </c>
      <c r="AD7" t="s">
        <v>848</v>
      </c>
      <c r="AE7" s="3" t="s">
        <v>1028</v>
      </c>
      <c r="AF7" s="3"/>
      <c r="AG7" s="3"/>
      <c r="AH7" s="3" t="s">
        <v>114</v>
      </c>
      <c r="AI7" s="12">
        <v>10000000</v>
      </c>
      <c r="AJ7" s="3" t="s">
        <v>45</v>
      </c>
      <c r="AK7" s="12">
        <v>5000</v>
      </c>
      <c r="AL7" s="3" t="s">
        <v>44</v>
      </c>
      <c r="AM7" s="12">
        <v>10000</v>
      </c>
      <c r="AN7" s="3" t="s">
        <v>1017</v>
      </c>
      <c r="AO7" s="12">
        <v>500</v>
      </c>
      <c r="AP7" s="3"/>
      <c r="AQ7" s="3"/>
    </row>
    <row r="8" spans="2:43" ht="15.75" customHeight="1">
      <c r="B8" s="3" t="s">
        <v>116</v>
      </c>
      <c r="C8" s="3" t="s">
        <v>48</v>
      </c>
      <c r="D8" s="3">
        <v>4</v>
      </c>
      <c r="E8">
        <v>640</v>
      </c>
      <c r="H8" s="3" t="s">
        <v>106</v>
      </c>
      <c r="I8" s="3" t="s">
        <v>22</v>
      </c>
      <c r="J8" s="3">
        <v>2</v>
      </c>
      <c r="M8" s="3" t="s">
        <v>106</v>
      </c>
      <c r="N8" s="12" t="s">
        <v>1164</v>
      </c>
      <c r="O8" s="12">
        <v>500</v>
      </c>
      <c r="R8" s="3" t="s">
        <v>124</v>
      </c>
      <c r="S8" s="3" t="s">
        <v>25</v>
      </c>
      <c r="T8" s="3">
        <v>4</v>
      </c>
      <c r="U8" s="53">
        <v>382.5</v>
      </c>
      <c r="V8" s="160">
        <v>0.48</v>
      </c>
      <c r="W8" s="12">
        <v>10000000</v>
      </c>
      <c r="X8" s="3">
        <v>0</v>
      </c>
      <c r="Y8" s="3">
        <v>0</v>
      </c>
      <c r="AB8">
        <v>32</v>
      </c>
      <c r="AC8" t="s">
        <v>52</v>
      </c>
      <c r="AD8" t="s">
        <v>52</v>
      </c>
      <c r="AE8" s="3" t="s">
        <v>17</v>
      </c>
      <c r="AF8" s="3"/>
      <c r="AG8" s="3"/>
      <c r="AH8" s="3" t="s">
        <v>117</v>
      </c>
      <c r="AI8" s="12">
        <v>10000000</v>
      </c>
      <c r="AJ8" s="3" t="s">
        <v>849</v>
      </c>
      <c r="AK8" s="12">
        <v>10000</v>
      </c>
      <c r="AL8" s="3" t="s">
        <v>843</v>
      </c>
      <c r="AM8" s="12">
        <v>10000</v>
      </c>
      <c r="AN8" s="3" t="s">
        <v>1017</v>
      </c>
      <c r="AO8" s="12">
        <v>10000</v>
      </c>
      <c r="AP8" s="3"/>
      <c r="AQ8" s="3"/>
    </row>
    <row r="9" spans="2:43" ht="15.75" customHeight="1">
      <c r="B9" s="3" t="s">
        <v>120</v>
      </c>
      <c r="C9" s="3" t="s">
        <v>49</v>
      </c>
      <c r="D9" s="3">
        <v>8</v>
      </c>
      <c r="E9">
        <v>640</v>
      </c>
      <c r="H9" s="3" t="s">
        <v>109</v>
      </c>
      <c r="I9" s="3" t="s">
        <v>749</v>
      </c>
      <c r="J9" s="3">
        <v>90</v>
      </c>
      <c r="M9" s="3" t="s">
        <v>106</v>
      </c>
      <c r="N9" s="12" t="s">
        <v>1165</v>
      </c>
      <c r="O9" s="12">
        <v>2000000</v>
      </c>
      <c r="R9" s="3" t="s">
        <v>515</v>
      </c>
      <c r="S9" s="3" t="s">
        <v>26</v>
      </c>
      <c r="T9" s="3">
        <v>5</v>
      </c>
      <c r="U9" s="53">
        <v>306</v>
      </c>
      <c r="V9" s="160">
        <v>0.22</v>
      </c>
      <c r="W9" s="12">
        <v>100000000</v>
      </c>
      <c r="X9" s="3">
        <v>0</v>
      </c>
      <c r="Y9" s="3">
        <v>0</v>
      </c>
      <c r="AB9">
        <v>93</v>
      </c>
      <c r="AC9" t="s">
        <v>1166</v>
      </c>
      <c r="AD9" t="s">
        <v>55</v>
      </c>
      <c r="AE9" s="3" t="s">
        <v>17</v>
      </c>
      <c r="AF9" s="3"/>
      <c r="AG9" s="3"/>
      <c r="AH9" s="3" t="s">
        <v>121</v>
      </c>
      <c r="AI9" s="12">
        <v>75000000</v>
      </c>
      <c r="AJ9" s="3" t="s">
        <v>49</v>
      </c>
      <c r="AK9" s="12">
        <v>16000</v>
      </c>
      <c r="AL9" s="3" t="s">
        <v>52</v>
      </c>
      <c r="AM9" s="12">
        <v>8500</v>
      </c>
      <c r="AN9" s="3" t="s">
        <v>53</v>
      </c>
      <c r="AO9" s="12">
        <v>4500</v>
      </c>
      <c r="AP9" s="3"/>
      <c r="AQ9" s="3"/>
    </row>
    <row r="10" spans="2:43" ht="15.75" customHeight="1">
      <c r="B10" s="3" t="s">
        <v>125</v>
      </c>
      <c r="C10" s="3" t="s">
        <v>50</v>
      </c>
      <c r="D10" s="3">
        <v>3</v>
      </c>
      <c r="E10">
        <v>270</v>
      </c>
      <c r="H10" s="3" t="s">
        <v>109</v>
      </c>
      <c r="I10" s="3" t="s">
        <v>22</v>
      </c>
      <c r="J10" s="3">
        <v>8</v>
      </c>
      <c r="M10" s="3" t="s">
        <v>109</v>
      </c>
      <c r="N10" s="12" t="s">
        <v>1160</v>
      </c>
      <c r="O10" s="12">
        <v>2500</v>
      </c>
      <c r="R10" s="3" t="s">
        <v>132</v>
      </c>
      <c r="S10" s="3" t="s">
        <v>27</v>
      </c>
      <c r="T10" s="3">
        <v>7</v>
      </c>
      <c r="U10" s="53">
        <v>765</v>
      </c>
      <c r="V10" s="160">
        <v>0.35</v>
      </c>
      <c r="W10" s="12">
        <v>200000000</v>
      </c>
      <c r="X10" s="3">
        <v>0</v>
      </c>
      <c r="Y10" s="3">
        <v>0</v>
      </c>
      <c r="AB10">
        <v>12</v>
      </c>
      <c r="AC10" t="s">
        <v>1167</v>
      </c>
      <c r="AD10" t="s">
        <v>29</v>
      </c>
      <c r="AE10" s="3" t="s">
        <v>11</v>
      </c>
      <c r="AF10" s="3"/>
      <c r="AG10" s="3"/>
      <c r="AH10" s="3" t="s">
        <v>126</v>
      </c>
      <c r="AI10" s="12">
        <v>500000000</v>
      </c>
      <c r="AJ10" s="3" t="s">
        <v>44</v>
      </c>
      <c r="AK10" s="12">
        <v>200000</v>
      </c>
      <c r="AL10" s="3" t="s">
        <v>22</v>
      </c>
      <c r="AM10" s="12">
        <v>150000</v>
      </c>
      <c r="AN10" s="3" t="s">
        <v>834</v>
      </c>
      <c r="AO10" s="12">
        <v>150000</v>
      </c>
      <c r="AP10" s="3"/>
      <c r="AQ10" s="3"/>
    </row>
    <row r="11" spans="2:43" ht="15.75" customHeight="1">
      <c r="B11" s="3" t="s">
        <v>129</v>
      </c>
      <c r="C11" s="3" t="s">
        <v>51</v>
      </c>
      <c r="D11" s="3">
        <v>35</v>
      </c>
      <c r="E11">
        <v>3500</v>
      </c>
      <c r="H11" s="3" t="s">
        <v>113</v>
      </c>
      <c r="I11" s="3" t="s">
        <v>749</v>
      </c>
      <c r="J11" s="3">
        <v>350</v>
      </c>
      <c r="M11" s="3" t="s">
        <v>109</v>
      </c>
      <c r="N11" s="12" t="s">
        <v>1168</v>
      </c>
      <c r="O11" s="12">
        <v>5000</v>
      </c>
      <c r="R11" s="3" t="s">
        <v>108</v>
      </c>
      <c r="S11" s="3" t="s">
        <v>28</v>
      </c>
      <c r="T11" s="3">
        <v>9</v>
      </c>
      <c r="U11" s="53">
        <v>408</v>
      </c>
      <c r="V11" s="160">
        <v>0.39</v>
      </c>
      <c r="W11" s="12">
        <v>400000000</v>
      </c>
      <c r="X11" s="3">
        <v>0</v>
      </c>
      <c r="Y11" s="3">
        <v>0</v>
      </c>
      <c r="AB11">
        <v>7</v>
      </c>
      <c r="AC11" t="s">
        <v>1169</v>
      </c>
      <c r="AD11" t="s">
        <v>45</v>
      </c>
      <c r="AE11" s="3" t="s">
        <v>17</v>
      </c>
      <c r="AF11" s="3"/>
      <c r="AG11" s="3"/>
      <c r="AH11" s="3" t="s">
        <v>130</v>
      </c>
      <c r="AI11" s="12">
        <v>50000000</v>
      </c>
      <c r="AJ11" s="3" t="s">
        <v>44</v>
      </c>
      <c r="AK11" s="12">
        <v>80000</v>
      </c>
      <c r="AL11" s="3" t="s">
        <v>64</v>
      </c>
      <c r="AM11" s="12">
        <v>5000</v>
      </c>
      <c r="AN11" s="3" t="s">
        <v>65</v>
      </c>
      <c r="AO11" s="12">
        <v>50000</v>
      </c>
      <c r="AP11" s="3"/>
      <c r="AQ11" s="3"/>
    </row>
    <row r="12" spans="2:43" ht="15.75" customHeight="1">
      <c r="B12" s="3" t="s">
        <v>133</v>
      </c>
      <c r="C12" s="3" t="s">
        <v>52</v>
      </c>
      <c r="D12" s="3">
        <v>4</v>
      </c>
      <c r="E12">
        <v>320</v>
      </c>
      <c r="H12" s="3" t="s">
        <v>113</v>
      </c>
      <c r="I12" s="3" t="s">
        <v>24</v>
      </c>
      <c r="J12" s="3">
        <v>10</v>
      </c>
      <c r="M12" s="3" t="s">
        <v>109</v>
      </c>
      <c r="N12" s="12" t="s">
        <v>1164</v>
      </c>
      <c r="O12" s="12">
        <v>500</v>
      </c>
      <c r="R12" s="3" t="s">
        <v>139</v>
      </c>
      <c r="S12" s="3" t="s">
        <v>29</v>
      </c>
      <c r="T12" s="3">
        <v>11</v>
      </c>
      <c r="U12" s="53">
        <v>306</v>
      </c>
      <c r="V12" s="160">
        <v>0.43</v>
      </c>
      <c r="W12" s="12">
        <v>600000000</v>
      </c>
      <c r="X12" s="3">
        <v>0</v>
      </c>
      <c r="Y12" s="3">
        <v>0</v>
      </c>
      <c r="AB12">
        <v>120</v>
      </c>
      <c r="AC12" t="s">
        <v>1170</v>
      </c>
      <c r="AD12" t="s">
        <v>835</v>
      </c>
      <c r="AE12" s="3" t="s">
        <v>1028</v>
      </c>
      <c r="AF12" s="3"/>
      <c r="AG12" s="3"/>
      <c r="AH12" s="3" t="s">
        <v>134</v>
      </c>
      <c r="AI12" s="12">
        <v>2000000000</v>
      </c>
      <c r="AJ12" s="3" t="s">
        <v>842</v>
      </c>
      <c r="AK12" s="12">
        <v>30000</v>
      </c>
      <c r="AL12" s="3" t="s">
        <v>839</v>
      </c>
      <c r="AM12" s="12">
        <v>15000</v>
      </c>
      <c r="AN12" s="3" t="s">
        <v>835</v>
      </c>
      <c r="AO12" s="12">
        <v>5</v>
      </c>
      <c r="AP12" s="3"/>
      <c r="AQ12" s="3"/>
    </row>
    <row r="13" spans="2:43" ht="15.75" customHeight="1">
      <c r="B13" s="3" t="s">
        <v>137</v>
      </c>
      <c r="C13" s="3" t="s">
        <v>53</v>
      </c>
      <c r="D13" s="3">
        <v>10</v>
      </c>
      <c r="E13" s="3">
        <v>1800</v>
      </c>
      <c r="H13" s="3" t="s">
        <v>113</v>
      </c>
      <c r="I13" s="3" t="s">
        <v>123</v>
      </c>
      <c r="J13" s="3">
        <v>7</v>
      </c>
      <c r="M13" s="3" t="s">
        <v>109</v>
      </c>
      <c r="N13" s="12" t="s">
        <v>1165</v>
      </c>
      <c r="O13" s="12">
        <v>4000000</v>
      </c>
      <c r="R13" s="3" t="s">
        <v>128</v>
      </c>
      <c r="S13" s="3" t="s">
        <v>30</v>
      </c>
      <c r="T13" s="3">
        <v>15</v>
      </c>
      <c r="U13" s="53">
        <v>2040</v>
      </c>
      <c r="V13" s="160">
        <v>0.3</v>
      </c>
      <c r="W13" s="12">
        <v>800000000</v>
      </c>
      <c r="X13" s="3">
        <v>0</v>
      </c>
      <c r="Y13" s="3">
        <v>0</v>
      </c>
      <c r="AB13">
        <v>22</v>
      </c>
      <c r="AC13" t="s">
        <v>1171</v>
      </c>
      <c r="AD13" t="s">
        <v>46</v>
      </c>
      <c r="AE13" s="3" t="s">
        <v>17</v>
      </c>
      <c r="AF13" s="3"/>
      <c r="AG13" s="3"/>
      <c r="AH13" s="3" t="s">
        <v>138</v>
      </c>
      <c r="AI13" s="12">
        <v>2000000000</v>
      </c>
      <c r="AJ13" s="3" t="s">
        <v>55</v>
      </c>
      <c r="AK13" s="12">
        <v>20000</v>
      </c>
      <c r="AL13" s="3" t="s">
        <v>65</v>
      </c>
      <c r="AM13" s="12">
        <v>50000</v>
      </c>
      <c r="AN13" s="3" t="s">
        <v>50</v>
      </c>
      <c r="AO13" s="12">
        <v>15000</v>
      </c>
      <c r="AP13" s="3"/>
      <c r="AQ13" s="3"/>
    </row>
    <row r="14" spans="2:43" ht="15.75" customHeight="1">
      <c r="B14" s="3" t="s">
        <v>140</v>
      </c>
      <c r="C14" s="3" t="s">
        <v>54</v>
      </c>
      <c r="D14" s="3">
        <v>5</v>
      </c>
      <c r="E14" s="3">
        <v>750</v>
      </c>
      <c r="H14" s="3" t="s">
        <v>116</v>
      </c>
      <c r="I14" s="3" t="s">
        <v>749</v>
      </c>
      <c r="J14" s="3">
        <v>150</v>
      </c>
      <c r="M14" s="12" t="s">
        <v>113</v>
      </c>
      <c r="N14" s="12" t="s">
        <v>44</v>
      </c>
      <c r="O14" s="12">
        <v>500</v>
      </c>
      <c r="R14" s="3" t="s">
        <v>119</v>
      </c>
      <c r="S14" s="3" t="s">
        <v>31</v>
      </c>
      <c r="T14" s="3">
        <v>20</v>
      </c>
      <c r="U14" s="53">
        <v>280.5</v>
      </c>
      <c r="V14" s="160">
        <v>0.42</v>
      </c>
      <c r="W14" s="12">
        <v>1000000000</v>
      </c>
      <c r="X14" s="3">
        <v>0</v>
      </c>
      <c r="Y14" s="3">
        <v>0</v>
      </c>
      <c r="AB14">
        <v>13</v>
      </c>
      <c r="AC14" t="s">
        <v>1172</v>
      </c>
      <c r="AD14" t="s">
        <v>123</v>
      </c>
      <c r="AE14" s="3" t="s">
        <v>11</v>
      </c>
      <c r="AF14" s="3"/>
      <c r="AG14" s="3"/>
      <c r="AH14" s="3" t="s">
        <v>141</v>
      </c>
      <c r="AI14" s="12">
        <v>2000000000</v>
      </c>
      <c r="AJ14" s="3" t="s">
        <v>1000</v>
      </c>
      <c r="AK14" s="12">
        <v>500</v>
      </c>
      <c r="AL14" s="3" t="s">
        <v>61</v>
      </c>
      <c r="AM14" s="12">
        <v>50000</v>
      </c>
      <c r="AN14" s="3" t="s">
        <v>50</v>
      </c>
      <c r="AO14" s="12">
        <v>50000</v>
      </c>
      <c r="AP14" s="3"/>
      <c r="AQ14" s="3"/>
    </row>
    <row r="15" spans="2:43" ht="15.75" customHeight="1">
      <c r="B15" s="3" t="s">
        <v>143</v>
      </c>
      <c r="C15" s="3" t="s">
        <v>55</v>
      </c>
      <c r="D15" s="3">
        <v>10</v>
      </c>
      <c r="E15" s="3">
        <v>600</v>
      </c>
      <c r="H15" s="3" t="s">
        <v>116</v>
      </c>
      <c r="I15" s="3" t="s">
        <v>26</v>
      </c>
      <c r="J15" s="3">
        <v>4</v>
      </c>
      <c r="M15" s="12" t="s">
        <v>113</v>
      </c>
      <c r="N15" s="12" t="s">
        <v>45</v>
      </c>
      <c r="O15" s="12">
        <v>9000</v>
      </c>
      <c r="R15" s="3" t="s">
        <v>136</v>
      </c>
      <c r="S15" s="3" t="s">
        <v>32</v>
      </c>
      <c r="T15" s="3">
        <v>33</v>
      </c>
      <c r="U15" s="53">
        <v>637.5</v>
      </c>
      <c r="V15" s="160">
        <v>0.17</v>
      </c>
      <c r="W15" s="12">
        <v>1250000000</v>
      </c>
      <c r="X15" s="3">
        <v>0</v>
      </c>
      <c r="Y15" s="3">
        <v>0</v>
      </c>
      <c r="AB15">
        <v>66</v>
      </c>
      <c r="AC15" t="s">
        <v>1173</v>
      </c>
      <c r="AD15" t="s">
        <v>61</v>
      </c>
      <c r="AE15" s="3" t="s">
        <v>17</v>
      </c>
      <c r="AF15" s="3"/>
      <c r="AG15" s="3"/>
      <c r="AH15" s="12" t="s">
        <v>858</v>
      </c>
      <c r="AI15" s="12">
        <v>2000000000</v>
      </c>
      <c r="AJ15" s="12" t="s">
        <v>35</v>
      </c>
      <c r="AK15" s="12">
        <v>20000</v>
      </c>
      <c r="AL15" s="12" t="s">
        <v>48</v>
      </c>
      <c r="AM15" s="12">
        <v>500000</v>
      </c>
      <c r="AN15" s="12" t="s">
        <v>65</v>
      </c>
      <c r="AO15" s="12">
        <v>2000000</v>
      </c>
      <c r="AP15" s="3"/>
      <c r="AQ15" s="3"/>
    </row>
    <row r="16" spans="2:43" ht="15.75" customHeight="1">
      <c r="B16" s="3" t="s">
        <v>146</v>
      </c>
      <c r="C16" s="3" t="s">
        <v>56</v>
      </c>
      <c r="D16" s="3">
        <v>25</v>
      </c>
      <c r="E16" s="3">
        <v>125</v>
      </c>
      <c r="H16" s="3" t="s">
        <v>120</v>
      </c>
      <c r="I16" s="3" t="s">
        <v>749</v>
      </c>
      <c r="J16" s="3">
        <v>3000</v>
      </c>
      <c r="M16" s="12" t="s">
        <v>113</v>
      </c>
      <c r="N16" s="12" t="s">
        <v>22</v>
      </c>
      <c r="O16" s="12">
        <v>3000</v>
      </c>
      <c r="R16" s="3" t="s">
        <v>145</v>
      </c>
      <c r="S16" s="3" t="s">
        <v>33</v>
      </c>
      <c r="T16" s="3">
        <v>38</v>
      </c>
      <c r="U16" s="53">
        <v>2040</v>
      </c>
      <c r="V16" s="160">
        <v>0.05</v>
      </c>
      <c r="W16" s="12">
        <v>1500000000</v>
      </c>
      <c r="X16" s="3">
        <v>0</v>
      </c>
      <c r="Y16" s="3">
        <v>0</v>
      </c>
      <c r="AB16">
        <v>78</v>
      </c>
      <c r="AC16" t="s">
        <v>1174</v>
      </c>
      <c r="AD16" t="s">
        <v>839</v>
      </c>
      <c r="AE16" s="3" t="s">
        <v>1028</v>
      </c>
      <c r="AF16" s="3"/>
      <c r="AG16" s="3"/>
      <c r="AH16" t="s">
        <v>147</v>
      </c>
      <c r="AI16" s="163">
        <v>5000000000</v>
      </c>
      <c r="AJ16" t="s">
        <v>35</v>
      </c>
      <c r="AK16" s="163">
        <v>15000</v>
      </c>
      <c r="AL16" t="s">
        <v>68</v>
      </c>
      <c r="AM16">
        <v>150</v>
      </c>
      <c r="AN16" t="s">
        <v>1175</v>
      </c>
      <c r="AO16" s="163">
        <v>5000</v>
      </c>
    </row>
    <row r="17" spans="2:43" ht="15.75" customHeight="1">
      <c r="B17" s="3" t="s">
        <v>149</v>
      </c>
      <c r="C17" s="3" t="s">
        <v>57</v>
      </c>
      <c r="D17" s="3">
        <v>2</v>
      </c>
      <c r="E17" s="3">
        <v>120</v>
      </c>
      <c r="H17" s="3" t="s">
        <v>120</v>
      </c>
      <c r="I17" s="3" t="s">
        <v>131</v>
      </c>
      <c r="J17" s="3">
        <v>6</v>
      </c>
      <c r="M17" s="12" t="s">
        <v>113</v>
      </c>
      <c r="N17" s="12" t="s">
        <v>749</v>
      </c>
      <c r="O17" s="12">
        <v>10000000</v>
      </c>
      <c r="R17" s="3" t="s">
        <v>112</v>
      </c>
      <c r="S17" s="3" t="s">
        <v>34</v>
      </c>
      <c r="T17" s="3">
        <v>48</v>
      </c>
      <c r="U17" s="53">
        <v>1275</v>
      </c>
      <c r="V17" s="160">
        <v>0.03</v>
      </c>
      <c r="W17" s="12">
        <v>2000000000</v>
      </c>
      <c r="X17" s="3">
        <v>0</v>
      </c>
      <c r="Y17" s="3">
        <v>0</v>
      </c>
      <c r="AB17">
        <v>99</v>
      </c>
      <c r="AC17" t="s">
        <v>1176</v>
      </c>
      <c r="AD17" t="s">
        <v>1000</v>
      </c>
      <c r="AE17" s="3" t="s">
        <v>1043</v>
      </c>
      <c r="AF17" s="3"/>
      <c r="AG17" s="3"/>
      <c r="AH17" t="s">
        <v>151</v>
      </c>
      <c r="AI17" s="163">
        <v>10000000000</v>
      </c>
      <c r="AJ17" t="s">
        <v>61</v>
      </c>
      <c r="AK17" s="163">
        <v>100000</v>
      </c>
      <c r="AL17" t="s">
        <v>55</v>
      </c>
      <c r="AM17" s="163">
        <v>80000</v>
      </c>
      <c r="AN17" t="s">
        <v>66</v>
      </c>
      <c r="AO17" s="163">
        <v>50000</v>
      </c>
    </row>
    <row r="18" spans="2:43" ht="15.75" customHeight="1">
      <c r="B18" s="3" t="s">
        <v>152</v>
      </c>
      <c r="C18" s="3" t="s">
        <v>61</v>
      </c>
      <c r="D18" s="3">
        <v>8</v>
      </c>
      <c r="E18">
        <v>480</v>
      </c>
      <c r="H18" s="3" t="s">
        <v>120</v>
      </c>
      <c r="I18" s="3" t="s">
        <v>48</v>
      </c>
      <c r="J18" s="3">
        <v>8</v>
      </c>
      <c r="M18" s="12" t="s">
        <v>756</v>
      </c>
      <c r="N18" s="12" t="s">
        <v>47</v>
      </c>
      <c r="O18" s="12">
        <v>500</v>
      </c>
      <c r="AB18">
        <v>38</v>
      </c>
      <c r="AC18" t="s">
        <v>1177</v>
      </c>
      <c r="AD18" t="s">
        <v>48</v>
      </c>
      <c r="AE18" s="3" t="s">
        <v>17</v>
      </c>
      <c r="AF18" s="3"/>
      <c r="AG18" s="3"/>
    </row>
    <row r="19" spans="2:43" ht="15.75" customHeight="1">
      <c r="B19" s="3" t="s">
        <v>154</v>
      </c>
      <c r="C19" s="3" t="s">
        <v>63</v>
      </c>
      <c r="D19" s="3">
        <v>4</v>
      </c>
      <c r="E19">
        <v>320</v>
      </c>
      <c r="H19" s="3" t="s">
        <v>120</v>
      </c>
      <c r="I19" s="3" t="s">
        <v>22</v>
      </c>
      <c r="J19" s="3">
        <v>4</v>
      </c>
      <c r="M19" s="12" t="s">
        <v>756</v>
      </c>
      <c r="N19" s="12" t="s">
        <v>45</v>
      </c>
      <c r="O19" s="12">
        <v>16000</v>
      </c>
      <c r="U19" s="3"/>
      <c r="AB19">
        <v>41</v>
      </c>
      <c r="AC19" t="s">
        <v>1178</v>
      </c>
      <c r="AD19" t="s">
        <v>840</v>
      </c>
      <c r="AE19" s="3" t="s">
        <v>1028</v>
      </c>
      <c r="AF19" s="3"/>
      <c r="AG19" s="3"/>
    </row>
    <row r="20" spans="2:43" ht="15.75" customHeight="1">
      <c r="B20" s="3" t="s">
        <v>155</v>
      </c>
      <c r="C20" s="3" t="s">
        <v>64</v>
      </c>
      <c r="D20" s="3">
        <v>10</v>
      </c>
      <c r="E20" s="3">
        <v>400</v>
      </c>
      <c r="H20" s="3" t="s">
        <v>125</v>
      </c>
      <c r="I20" s="3" t="s">
        <v>749</v>
      </c>
      <c r="J20" s="3">
        <v>2500</v>
      </c>
      <c r="M20" s="12" t="s">
        <v>756</v>
      </c>
      <c r="N20" s="12" t="s">
        <v>23</v>
      </c>
      <c r="O20" s="12">
        <v>500</v>
      </c>
      <c r="U20" s="3"/>
      <c r="AB20">
        <v>103</v>
      </c>
      <c r="AC20" t="s">
        <v>818</v>
      </c>
      <c r="AD20" t="s">
        <v>818</v>
      </c>
      <c r="AE20" s="3" t="s">
        <v>1043</v>
      </c>
      <c r="AF20" s="3"/>
      <c r="AG20" s="3"/>
      <c r="AH20" s="164" t="s">
        <v>1179</v>
      </c>
      <c r="AI20" s="94"/>
      <c r="AJ20" s="94"/>
      <c r="AK20" s="94"/>
      <c r="AL20" s="94"/>
      <c r="AM20" s="94"/>
      <c r="AN20" s="94"/>
      <c r="AO20" s="94"/>
      <c r="AP20" s="94"/>
      <c r="AQ20" s="94"/>
    </row>
    <row r="21" spans="2:43" ht="15.75" customHeight="1">
      <c r="B21" s="3" t="s">
        <v>157</v>
      </c>
      <c r="C21" s="3" t="s">
        <v>65</v>
      </c>
      <c r="D21" s="3">
        <v>50</v>
      </c>
      <c r="E21" s="3">
        <v>3000</v>
      </c>
      <c r="H21" s="3" t="s">
        <v>125</v>
      </c>
      <c r="I21" s="3" t="s">
        <v>28</v>
      </c>
      <c r="J21" s="3">
        <v>9</v>
      </c>
      <c r="M21" s="12" t="s">
        <v>756</v>
      </c>
      <c r="N21" s="12" t="s">
        <v>749</v>
      </c>
      <c r="O21" s="12">
        <v>20000000</v>
      </c>
      <c r="R21" s="3"/>
      <c r="AB21">
        <v>60</v>
      </c>
      <c r="AC21" t="s">
        <v>1180</v>
      </c>
      <c r="AD21" t="s">
        <v>49</v>
      </c>
      <c r="AE21" s="3" t="s">
        <v>17</v>
      </c>
      <c r="AF21" s="3"/>
      <c r="AG21" s="3"/>
      <c r="AH21" s="165" t="s">
        <v>1028</v>
      </c>
      <c r="AI21" s="165" t="s">
        <v>1181</v>
      </c>
      <c r="AJ21" s="165" t="s">
        <v>1182</v>
      </c>
      <c r="AK21" s="165" t="s">
        <v>1183</v>
      </c>
      <c r="AL21" s="165" t="s">
        <v>1184</v>
      </c>
      <c r="AM21" s="165" t="s">
        <v>1185</v>
      </c>
      <c r="AN21" s="165" t="s">
        <v>1186</v>
      </c>
      <c r="AO21" s="165" t="s">
        <v>1187</v>
      </c>
      <c r="AP21" s="165" t="s">
        <v>1188</v>
      </c>
      <c r="AQ21" s="165" t="s">
        <v>1189</v>
      </c>
    </row>
    <row r="22" spans="2:43" ht="15.75" customHeight="1">
      <c r="B22" s="3" t="s">
        <v>162</v>
      </c>
      <c r="C22" s="3" t="s">
        <v>66</v>
      </c>
      <c r="D22" s="3">
        <v>3</v>
      </c>
      <c r="E22" s="3">
        <v>240</v>
      </c>
      <c r="H22" s="3" t="s">
        <v>129</v>
      </c>
      <c r="I22" s="3" t="s">
        <v>749</v>
      </c>
      <c r="J22" s="3">
        <v>2400</v>
      </c>
      <c r="M22" s="12" t="s">
        <v>1190</v>
      </c>
      <c r="N22" s="12" t="s">
        <v>44</v>
      </c>
      <c r="O22" s="12">
        <v>3000</v>
      </c>
      <c r="AB22">
        <v>79</v>
      </c>
      <c r="AC22" t="s">
        <v>66</v>
      </c>
      <c r="AD22" t="s">
        <v>66</v>
      </c>
      <c r="AE22" s="3" t="s">
        <v>17</v>
      </c>
      <c r="AF22" s="3"/>
      <c r="AG22" s="3"/>
      <c r="AH22" s="49" t="s">
        <v>833</v>
      </c>
      <c r="AI22" s="98">
        <v>50000</v>
      </c>
      <c r="AJ22" s="49" t="s">
        <v>710</v>
      </c>
      <c r="AK22" s="98">
        <v>10</v>
      </c>
      <c r="AL22" s="49" t="s">
        <v>753</v>
      </c>
      <c r="AM22" s="98">
        <v>0</v>
      </c>
      <c r="AN22" s="49" t="s">
        <v>753</v>
      </c>
      <c r="AO22" s="98">
        <v>0</v>
      </c>
      <c r="AP22" s="49" t="s">
        <v>753</v>
      </c>
      <c r="AQ22" s="98">
        <v>0</v>
      </c>
    </row>
    <row r="23" spans="2:43" ht="15.75" customHeight="1">
      <c r="B23" s="3" t="s">
        <v>163</v>
      </c>
      <c r="C23" s="3" t="s">
        <v>67</v>
      </c>
      <c r="D23" s="3">
        <v>2</v>
      </c>
      <c r="E23" s="3">
        <v>100</v>
      </c>
      <c r="H23" s="3" t="s">
        <v>129</v>
      </c>
      <c r="I23" s="3" t="s">
        <v>50</v>
      </c>
      <c r="J23" s="3">
        <v>1</v>
      </c>
      <c r="M23" s="12" t="s">
        <v>1190</v>
      </c>
      <c r="N23" s="12" t="s">
        <v>45</v>
      </c>
      <c r="O23" s="12">
        <v>25000</v>
      </c>
      <c r="AB23">
        <v>14</v>
      </c>
      <c r="AC23" t="s">
        <v>1191</v>
      </c>
      <c r="AD23" t="s">
        <v>122</v>
      </c>
      <c r="AE23" s="3" t="s">
        <v>11</v>
      </c>
      <c r="AF23" s="3"/>
      <c r="AG23" s="3"/>
      <c r="AH23" s="49" t="s">
        <v>835</v>
      </c>
      <c r="AI23" s="98">
        <v>1</v>
      </c>
      <c r="AJ23" s="49" t="s">
        <v>843</v>
      </c>
      <c r="AK23" s="98">
        <v>100</v>
      </c>
      <c r="AL23" s="49" t="s">
        <v>839</v>
      </c>
      <c r="AM23" s="98">
        <v>40</v>
      </c>
      <c r="AN23" s="49" t="s">
        <v>834</v>
      </c>
      <c r="AO23" s="98">
        <v>50</v>
      </c>
      <c r="AP23" s="49" t="s">
        <v>848</v>
      </c>
      <c r="AQ23" s="98">
        <v>30</v>
      </c>
    </row>
    <row r="24" spans="2:43" ht="15.75" customHeight="1">
      <c r="B24" s="3" t="s">
        <v>165</v>
      </c>
      <c r="C24" s="3" t="s">
        <v>68</v>
      </c>
      <c r="D24" s="3">
        <v>1</v>
      </c>
      <c r="E24" s="3">
        <v>1</v>
      </c>
      <c r="H24" s="3" t="s">
        <v>129</v>
      </c>
      <c r="I24" s="3" t="s">
        <v>22</v>
      </c>
      <c r="J24" s="3">
        <v>3</v>
      </c>
      <c r="M24" s="12" t="s">
        <v>1190</v>
      </c>
      <c r="N24" s="12" t="s">
        <v>22</v>
      </c>
      <c r="O24" s="12">
        <v>150</v>
      </c>
      <c r="AB24">
        <v>49</v>
      </c>
      <c r="AC24" t="s">
        <v>1192</v>
      </c>
      <c r="AD24" t="s">
        <v>31</v>
      </c>
      <c r="AE24" s="3" t="s">
        <v>11</v>
      </c>
      <c r="AF24" s="3"/>
      <c r="AG24" s="3"/>
      <c r="AH24" s="49" t="s">
        <v>839</v>
      </c>
      <c r="AI24" s="98">
        <v>500</v>
      </c>
      <c r="AJ24" s="49" t="s">
        <v>53</v>
      </c>
      <c r="AK24" s="98">
        <v>200</v>
      </c>
      <c r="AL24" s="49" t="s">
        <v>50</v>
      </c>
      <c r="AM24" s="98">
        <v>600</v>
      </c>
      <c r="AN24" s="49" t="s">
        <v>57</v>
      </c>
      <c r="AO24" s="98">
        <v>100</v>
      </c>
      <c r="AP24" s="49" t="s">
        <v>65</v>
      </c>
      <c r="AQ24" s="98">
        <v>5000</v>
      </c>
    </row>
    <row r="25" spans="2:43" ht="15.75" customHeight="1">
      <c r="B25" s="3" t="s">
        <v>167</v>
      </c>
      <c r="C25" s="3" t="s">
        <v>35</v>
      </c>
      <c r="D25" s="3">
        <v>50</v>
      </c>
      <c r="E25" s="3">
        <v>100</v>
      </c>
      <c r="H25" s="3" t="s">
        <v>133</v>
      </c>
      <c r="I25" s="3" t="s">
        <v>749</v>
      </c>
      <c r="J25" s="3">
        <v>5000</v>
      </c>
      <c r="M25" s="12" t="s">
        <v>1190</v>
      </c>
      <c r="N25" s="12" t="s">
        <v>749</v>
      </c>
      <c r="O25" s="12">
        <v>20000000</v>
      </c>
      <c r="AB25">
        <v>28</v>
      </c>
      <c r="AC25" t="s">
        <v>1193</v>
      </c>
      <c r="AD25" t="s">
        <v>51</v>
      </c>
      <c r="AE25" s="3" t="s">
        <v>17</v>
      </c>
      <c r="AF25" s="3"/>
      <c r="AG25" s="3"/>
      <c r="AH25" s="49" t="s">
        <v>840</v>
      </c>
      <c r="AI25" s="98">
        <v>200</v>
      </c>
      <c r="AJ25" s="49" t="s">
        <v>22</v>
      </c>
      <c r="AK25" s="98">
        <v>100</v>
      </c>
      <c r="AL25" s="49" t="s">
        <v>21</v>
      </c>
      <c r="AM25" s="98">
        <v>30</v>
      </c>
      <c r="AN25" s="49" t="s">
        <v>23</v>
      </c>
      <c r="AO25" s="98">
        <v>50</v>
      </c>
      <c r="AP25" s="49" t="s">
        <v>131</v>
      </c>
      <c r="AQ25" s="98">
        <v>10</v>
      </c>
    </row>
    <row r="26" spans="2:43" ht="15.75" customHeight="1">
      <c r="H26" s="3" t="s">
        <v>133</v>
      </c>
      <c r="I26" s="3" t="s">
        <v>29</v>
      </c>
      <c r="J26" s="3">
        <v>24</v>
      </c>
      <c r="M26" s="12" t="s">
        <v>758</v>
      </c>
      <c r="N26" s="12" t="s">
        <v>47</v>
      </c>
      <c r="O26" s="12">
        <v>1000</v>
      </c>
      <c r="AB26">
        <v>20</v>
      </c>
      <c r="AC26" t="s">
        <v>1194</v>
      </c>
      <c r="AD26" t="s">
        <v>22</v>
      </c>
      <c r="AE26" s="3" t="s">
        <v>11</v>
      </c>
      <c r="AF26" s="3"/>
      <c r="AG26" s="3"/>
      <c r="AH26" s="49" t="s">
        <v>842</v>
      </c>
      <c r="AI26" s="98">
        <v>100</v>
      </c>
      <c r="AJ26" s="49" t="s">
        <v>53</v>
      </c>
      <c r="AK26" s="98">
        <v>40</v>
      </c>
      <c r="AL26" s="49" t="s">
        <v>47</v>
      </c>
      <c r="AM26" s="98">
        <v>10</v>
      </c>
      <c r="AN26" s="49" t="s">
        <v>753</v>
      </c>
      <c r="AO26" s="98">
        <v>0</v>
      </c>
      <c r="AP26" s="49" t="s">
        <v>753</v>
      </c>
      <c r="AQ26" s="98">
        <v>0</v>
      </c>
    </row>
    <row r="27" spans="2:43" ht="15.75" customHeight="1">
      <c r="H27" s="3" t="s">
        <v>137</v>
      </c>
      <c r="I27" s="3" t="s">
        <v>749</v>
      </c>
      <c r="J27" s="3">
        <v>400</v>
      </c>
      <c r="M27" s="12" t="s">
        <v>758</v>
      </c>
      <c r="N27" s="12" t="s">
        <v>45</v>
      </c>
      <c r="O27" s="12">
        <v>25000</v>
      </c>
      <c r="AB27">
        <v>102</v>
      </c>
      <c r="AC27" t="s">
        <v>1195</v>
      </c>
      <c r="AD27" t="s">
        <v>816</v>
      </c>
      <c r="AE27" s="3" t="s">
        <v>1043</v>
      </c>
      <c r="AF27" s="3"/>
      <c r="AG27" s="3"/>
      <c r="AH27" s="49" t="s">
        <v>843</v>
      </c>
      <c r="AI27" s="98">
        <v>500</v>
      </c>
      <c r="AJ27" s="49" t="s">
        <v>53</v>
      </c>
      <c r="AK27" s="98">
        <v>500</v>
      </c>
      <c r="AL27" s="49" t="s">
        <v>52</v>
      </c>
      <c r="AM27" s="98">
        <v>10</v>
      </c>
      <c r="AN27" s="49" t="s">
        <v>848</v>
      </c>
      <c r="AO27" s="98">
        <v>20</v>
      </c>
      <c r="AP27" s="49" t="s">
        <v>753</v>
      </c>
      <c r="AQ27" s="98">
        <v>0</v>
      </c>
    </row>
    <row r="28" spans="2:43" ht="15.75" customHeight="1">
      <c r="H28" s="3" t="s">
        <v>137</v>
      </c>
      <c r="I28" s="3" t="s">
        <v>26</v>
      </c>
      <c r="J28" s="3">
        <v>1</v>
      </c>
      <c r="M28" s="12" t="s">
        <v>758</v>
      </c>
      <c r="N28" s="12" t="s">
        <v>49</v>
      </c>
      <c r="O28" s="12">
        <v>500</v>
      </c>
      <c r="AB28">
        <v>3</v>
      </c>
      <c r="AC28" t="s">
        <v>1196</v>
      </c>
      <c r="AD28" t="s">
        <v>23</v>
      </c>
      <c r="AE28" s="3" t="s">
        <v>11</v>
      </c>
      <c r="AF28" s="3"/>
      <c r="AG28" s="3"/>
      <c r="AH28" s="49" t="s">
        <v>845</v>
      </c>
      <c r="AI28" s="98">
        <v>50000</v>
      </c>
      <c r="AJ28" s="49" t="s">
        <v>711</v>
      </c>
      <c r="AK28" s="98">
        <v>10</v>
      </c>
      <c r="AL28" s="49" t="s">
        <v>753</v>
      </c>
      <c r="AM28" s="98">
        <v>0</v>
      </c>
      <c r="AN28" s="49" t="s">
        <v>753</v>
      </c>
      <c r="AO28" s="98">
        <v>0</v>
      </c>
      <c r="AP28" s="49" t="s">
        <v>753</v>
      </c>
      <c r="AQ28" s="98">
        <v>0</v>
      </c>
    </row>
    <row r="29" spans="2:43" ht="15.75" customHeight="1">
      <c r="H29" s="3" t="s">
        <v>140</v>
      </c>
      <c r="I29" s="3" t="s">
        <v>749</v>
      </c>
      <c r="J29" s="3">
        <v>5000</v>
      </c>
      <c r="K29" s="3"/>
      <c r="M29" s="12" t="s">
        <v>758</v>
      </c>
      <c r="N29" s="12" t="s">
        <v>749</v>
      </c>
      <c r="O29" s="12">
        <v>40000000</v>
      </c>
      <c r="AB29">
        <v>8</v>
      </c>
      <c r="AC29" t="s">
        <v>1197</v>
      </c>
      <c r="AD29" t="s">
        <v>24</v>
      </c>
      <c r="AE29" s="3" t="s">
        <v>11</v>
      </c>
      <c r="AF29" s="3"/>
      <c r="AG29" s="3"/>
      <c r="AH29" s="49" t="s">
        <v>834</v>
      </c>
      <c r="AI29" s="98">
        <v>1000</v>
      </c>
      <c r="AJ29" s="49" t="s">
        <v>52</v>
      </c>
      <c r="AK29" s="98">
        <v>30</v>
      </c>
      <c r="AL29" s="49" t="s">
        <v>50</v>
      </c>
      <c r="AM29" s="98">
        <v>20</v>
      </c>
      <c r="AN29" s="49" t="s">
        <v>47</v>
      </c>
      <c r="AO29" s="98">
        <v>200</v>
      </c>
      <c r="AP29" s="49" t="s">
        <v>753</v>
      </c>
      <c r="AQ29" s="98">
        <v>0</v>
      </c>
    </row>
    <row r="30" spans="2:43" ht="15.75" customHeight="1">
      <c r="H30" s="3" t="s">
        <v>140</v>
      </c>
      <c r="I30" s="3" t="s">
        <v>127</v>
      </c>
      <c r="J30" s="3">
        <v>115</v>
      </c>
      <c r="K30" s="3"/>
      <c r="M30" s="12" t="s">
        <v>759</v>
      </c>
      <c r="N30" s="12" t="s">
        <v>47</v>
      </c>
      <c r="O30" s="12">
        <v>2000</v>
      </c>
      <c r="AB30">
        <v>58</v>
      </c>
      <c r="AC30" t="s">
        <v>1198</v>
      </c>
      <c r="AD30" t="s">
        <v>53</v>
      </c>
      <c r="AE30" s="3" t="s">
        <v>17</v>
      </c>
      <c r="AF30" s="3"/>
      <c r="AG30" s="3"/>
      <c r="AH30" s="49" t="s">
        <v>848</v>
      </c>
      <c r="AI30" s="98">
        <v>250</v>
      </c>
      <c r="AJ30" s="49" t="s">
        <v>118</v>
      </c>
      <c r="AK30" s="98">
        <v>20</v>
      </c>
      <c r="AL30" s="49" t="s">
        <v>834</v>
      </c>
      <c r="AM30" s="98">
        <v>20</v>
      </c>
      <c r="AN30" s="49" t="s">
        <v>48</v>
      </c>
      <c r="AO30" s="98">
        <v>40</v>
      </c>
      <c r="AP30" s="49" t="s">
        <v>753</v>
      </c>
      <c r="AQ30" s="98">
        <v>0</v>
      </c>
    </row>
    <row r="31" spans="2:43" ht="15.75" customHeight="1">
      <c r="H31" s="3" t="s">
        <v>143</v>
      </c>
      <c r="I31" s="3" t="s">
        <v>749</v>
      </c>
      <c r="J31" s="3">
        <v>75000</v>
      </c>
      <c r="K31" s="3"/>
      <c r="M31" s="12" t="s">
        <v>759</v>
      </c>
      <c r="N31" s="12" t="s">
        <v>45</v>
      </c>
      <c r="O31" s="12">
        <v>25000</v>
      </c>
      <c r="AB31">
        <v>77</v>
      </c>
      <c r="AC31" t="s">
        <v>1199</v>
      </c>
      <c r="AD31" t="s">
        <v>843</v>
      </c>
      <c r="AE31" s="3" t="s">
        <v>1028</v>
      </c>
      <c r="AF31" s="3"/>
      <c r="AG31" s="3"/>
      <c r="AH31" s="49" t="s">
        <v>849</v>
      </c>
      <c r="AI31" s="98">
        <v>900</v>
      </c>
      <c r="AJ31" s="49" t="s">
        <v>49</v>
      </c>
      <c r="AK31" s="98">
        <v>600</v>
      </c>
      <c r="AL31" s="49" t="s">
        <v>843</v>
      </c>
      <c r="AM31" s="98">
        <v>50</v>
      </c>
      <c r="AN31" s="49" t="s">
        <v>834</v>
      </c>
      <c r="AO31" s="98">
        <v>50</v>
      </c>
      <c r="AP31" s="49" t="s">
        <v>753</v>
      </c>
      <c r="AQ31" s="98">
        <v>0</v>
      </c>
    </row>
    <row r="32" spans="2:43" ht="15.75" customHeight="1">
      <c r="H32" s="3" t="s">
        <v>143</v>
      </c>
      <c r="I32" s="3" t="s">
        <v>54</v>
      </c>
      <c r="J32" s="3">
        <v>20</v>
      </c>
      <c r="M32" s="12" t="s">
        <v>759</v>
      </c>
      <c r="N32" s="12" t="s">
        <v>50</v>
      </c>
      <c r="O32" s="12">
        <v>500</v>
      </c>
      <c r="AB32">
        <v>36</v>
      </c>
      <c r="AC32" t="s">
        <v>1200</v>
      </c>
      <c r="AD32" t="s">
        <v>50</v>
      </c>
      <c r="AE32" s="3" t="s">
        <v>17</v>
      </c>
      <c r="AF32" s="3"/>
      <c r="AG32" s="3"/>
      <c r="AH32" s="49" t="s">
        <v>841</v>
      </c>
      <c r="AI32" s="98">
        <v>5</v>
      </c>
      <c r="AJ32" s="49" t="s">
        <v>63</v>
      </c>
      <c r="AK32" s="98">
        <v>500</v>
      </c>
      <c r="AL32" s="49" t="s">
        <v>61</v>
      </c>
      <c r="AM32" s="98">
        <v>100</v>
      </c>
      <c r="AN32" s="49" t="s">
        <v>48</v>
      </c>
      <c r="AO32" s="98">
        <v>100</v>
      </c>
      <c r="AP32" s="49" t="s">
        <v>843</v>
      </c>
      <c r="AQ32" s="98">
        <v>600</v>
      </c>
    </row>
    <row r="33" spans="8:43" ht="15.75" customHeight="1">
      <c r="H33" s="3" t="s">
        <v>143</v>
      </c>
      <c r="I33" s="3" t="s">
        <v>53</v>
      </c>
      <c r="J33" s="3">
        <v>40</v>
      </c>
      <c r="M33" s="12" t="s">
        <v>759</v>
      </c>
      <c r="N33" s="12" t="s">
        <v>749</v>
      </c>
      <c r="O33" s="12">
        <v>30000000</v>
      </c>
      <c r="AB33">
        <v>26</v>
      </c>
      <c r="AC33" t="s">
        <v>1201</v>
      </c>
      <c r="AD33" t="s">
        <v>28</v>
      </c>
      <c r="AE33" s="3" t="s">
        <v>11</v>
      </c>
      <c r="AF33" s="3"/>
      <c r="AG33" s="3"/>
      <c r="AH33" s="3"/>
      <c r="AI33" s="3"/>
      <c r="AJ33" s="3"/>
      <c r="AK33" s="3"/>
      <c r="AL33" s="3"/>
      <c r="AM33" s="3"/>
      <c r="AN33" s="3"/>
      <c r="AO33" s="3"/>
      <c r="AP33" s="3"/>
      <c r="AQ33" s="3"/>
    </row>
    <row r="34" spans="8:43" ht="15.75" customHeight="1">
      <c r="H34" s="3" t="s">
        <v>143</v>
      </c>
      <c r="I34" s="3" t="s">
        <v>52</v>
      </c>
      <c r="J34" s="3">
        <v>10</v>
      </c>
      <c r="M34" s="12" t="s">
        <v>760</v>
      </c>
      <c r="N34" s="12" t="s">
        <v>47</v>
      </c>
      <c r="O34" s="12">
        <v>2500</v>
      </c>
      <c r="AB34">
        <v>55</v>
      </c>
      <c r="AC34" t="s">
        <v>1202</v>
      </c>
      <c r="AD34" t="s">
        <v>833</v>
      </c>
      <c r="AE34" s="3" t="s">
        <v>1028</v>
      </c>
      <c r="AF34" s="3"/>
      <c r="AG34" s="3"/>
      <c r="AH34" s="3"/>
      <c r="AI34" s="3"/>
      <c r="AJ34" s="3"/>
      <c r="AK34" s="3"/>
      <c r="AL34" s="3"/>
      <c r="AM34" s="3"/>
      <c r="AN34" s="3"/>
      <c r="AO34" s="3"/>
      <c r="AP34" s="3"/>
      <c r="AQ34" s="3"/>
    </row>
    <row r="35" spans="8:43" ht="15.75" customHeight="1">
      <c r="H35" s="3" t="s">
        <v>146</v>
      </c>
      <c r="I35" s="3" t="s">
        <v>749</v>
      </c>
      <c r="J35" s="3">
        <v>250000</v>
      </c>
      <c r="M35" s="12" t="s">
        <v>760</v>
      </c>
      <c r="N35" s="12" t="s">
        <v>45</v>
      </c>
      <c r="O35" s="12">
        <v>25000</v>
      </c>
      <c r="AB35">
        <v>2</v>
      </c>
      <c r="AC35" t="s">
        <v>1203</v>
      </c>
      <c r="AD35" t="s">
        <v>21</v>
      </c>
      <c r="AE35" s="3" t="s">
        <v>11</v>
      </c>
      <c r="AF35" s="3"/>
      <c r="AG35" s="3"/>
      <c r="AH35" s="3"/>
      <c r="AI35" s="3"/>
      <c r="AJ35" s="3"/>
      <c r="AK35" s="3"/>
      <c r="AL35" s="3"/>
      <c r="AM35" s="3"/>
      <c r="AN35" s="3"/>
      <c r="AO35" s="3"/>
      <c r="AP35" s="3"/>
      <c r="AQ35" s="3"/>
    </row>
    <row r="36" spans="8:43" ht="15.75" customHeight="1">
      <c r="H36" s="3" t="s">
        <v>146</v>
      </c>
      <c r="I36" s="3" t="s">
        <v>47</v>
      </c>
      <c r="J36" s="3">
        <v>1</v>
      </c>
      <c r="M36" s="12" t="s">
        <v>760</v>
      </c>
      <c r="N36" s="12" t="s">
        <v>49</v>
      </c>
      <c r="O36" s="12">
        <v>1500</v>
      </c>
      <c r="AB36">
        <v>92</v>
      </c>
      <c r="AC36" t="s">
        <v>54</v>
      </c>
      <c r="AD36" t="s">
        <v>54</v>
      </c>
      <c r="AE36" s="3" t="s">
        <v>17</v>
      </c>
      <c r="AF36" s="3"/>
      <c r="AG36" s="3"/>
      <c r="AH36" s="3"/>
      <c r="AI36" s="3"/>
      <c r="AJ36" s="3"/>
      <c r="AK36" s="3"/>
      <c r="AL36" s="3"/>
      <c r="AM36" s="3"/>
      <c r="AN36" s="3"/>
      <c r="AO36" s="3"/>
      <c r="AP36" s="3"/>
      <c r="AQ36" s="3"/>
    </row>
    <row r="37" spans="8:43" ht="15.75" customHeight="1">
      <c r="H37" s="3" t="s">
        <v>146</v>
      </c>
      <c r="I37" s="3" t="s">
        <v>52</v>
      </c>
      <c r="J37" s="3">
        <v>1</v>
      </c>
      <c r="M37" s="12" t="s">
        <v>760</v>
      </c>
      <c r="N37" s="12" t="s">
        <v>749</v>
      </c>
      <c r="O37" s="12">
        <v>40000000</v>
      </c>
      <c r="AB37">
        <v>90</v>
      </c>
      <c r="AC37" t="s">
        <v>1204</v>
      </c>
      <c r="AD37" t="s">
        <v>127</v>
      </c>
      <c r="AE37" s="3" t="s">
        <v>11</v>
      </c>
      <c r="AF37" s="3"/>
      <c r="AG37" s="3"/>
      <c r="AH37" s="3"/>
      <c r="AI37" s="3"/>
      <c r="AJ37" s="3"/>
      <c r="AK37" s="3"/>
      <c r="AL37" s="3"/>
      <c r="AM37" s="3"/>
      <c r="AN37" s="3"/>
      <c r="AO37" s="3"/>
      <c r="AP37" s="3"/>
      <c r="AQ37" s="3"/>
    </row>
    <row r="38" spans="8:43" ht="15.75" customHeight="1">
      <c r="H38" s="3" t="s">
        <v>146</v>
      </c>
      <c r="I38" s="3" t="s">
        <v>55</v>
      </c>
      <c r="J38" s="3">
        <v>1</v>
      </c>
      <c r="M38" s="12" t="s">
        <v>761</v>
      </c>
      <c r="N38" s="12" t="s">
        <v>47</v>
      </c>
      <c r="O38" s="12">
        <v>1000</v>
      </c>
      <c r="AB38">
        <v>75</v>
      </c>
      <c r="AC38" t="s">
        <v>1205</v>
      </c>
      <c r="AD38" s="3" t="s">
        <v>64</v>
      </c>
      <c r="AE38" s="3" t="s">
        <v>17</v>
      </c>
      <c r="AF38" s="3"/>
      <c r="AG38" s="3"/>
      <c r="AH38" s="3"/>
      <c r="AI38" s="3"/>
      <c r="AJ38" s="3"/>
      <c r="AK38" s="3"/>
      <c r="AL38" s="3"/>
      <c r="AM38" s="3"/>
      <c r="AN38" s="3"/>
      <c r="AO38" s="3"/>
      <c r="AP38" s="3"/>
      <c r="AQ38" s="3"/>
    </row>
    <row r="39" spans="8:43" ht="15.75" customHeight="1">
      <c r="H39" s="3" t="s">
        <v>149</v>
      </c>
      <c r="I39" s="3" t="s">
        <v>749</v>
      </c>
      <c r="J39" s="3">
        <v>49500</v>
      </c>
      <c r="M39" s="12" t="s">
        <v>761</v>
      </c>
      <c r="N39" s="12" t="s">
        <v>45</v>
      </c>
      <c r="O39" s="12">
        <v>16000</v>
      </c>
      <c r="AB39">
        <v>104</v>
      </c>
      <c r="AC39" t="s">
        <v>1206</v>
      </c>
      <c r="AD39" t="s">
        <v>819</v>
      </c>
      <c r="AE39" s="3" t="s">
        <v>1043</v>
      </c>
      <c r="AF39" s="3"/>
      <c r="AG39" s="3"/>
      <c r="AH39" s="3"/>
      <c r="AI39" s="3"/>
      <c r="AJ39" s="3"/>
      <c r="AK39" s="3"/>
      <c r="AL39" s="3"/>
      <c r="AM39" s="3"/>
      <c r="AN39" s="3"/>
      <c r="AO39" s="3"/>
      <c r="AP39" s="3"/>
      <c r="AQ39" s="3"/>
    </row>
    <row r="40" spans="8:43" ht="15.75" customHeight="1">
      <c r="H40" s="3" t="s">
        <v>149</v>
      </c>
      <c r="I40" s="3" t="s">
        <v>131</v>
      </c>
      <c r="J40" s="3">
        <v>20</v>
      </c>
      <c r="M40" s="12" t="s">
        <v>761</v>
      </c>
      <c r="N40" s="12" t="s">
        <v>52</v>
      </c>
      <c r="O40" s="12">
        <v>500</v>
      </c>
      <c r="AB40">
        <v>53</v>
      </c>
      <c r="AC40" t="s">
        <v>1207</v>
      </c>
      <c r="AD40" t="s">
        <v>131</v>
      </c>
      <c r="AE40" s="3" t="s">
        <v>11</v>
      </c>
      <c r="AF40" s="3"/>
      <c r="AG40" s="3"/>
      <c r="AH40" s="3"/>
      <c r="AI40" s="3"/>
      <c r="AJ40" s="3"/>
      <c r="AK40" s="3"/>
      <c r="AL40" s="3"/>
      <c r="AM40" s="3"/>
      <c r="AN40" s="3"/>
      <c r="AO40" s="3"/>
      <c r="AP40" s="3"/>
      <c r="AQ40" s="3"/>
    </row>
    <row r="41" spans="8:43" ht="15.75" customHeight="1">
      <c r="H41" s="3" t="s">
        <v>149</v>
      </c>
      <c r="I41" s="3" t="s">
        <v>21</v>
      </c>
      <c r="J41" s="3">
        <v>1</v>
      </c>
      <c r="M41" s="12" t="s">
        <v>761</v>
      </c>
      <c r="N41" s="12" t="s">
        <v>749</v>
      </c>
      <c r="O41" s="12">
        <v>50000000</v>
      </c>
      <c r="AB41">
        <v>42</v>
      </c>
      <c r="AC41" t="s">
        <v>1208</v>
      </c>
      <c r="AD41" t="s">
        <v>1209</v>
      </c>
      <c r="AE41" s="3" t="s">
        <v>1028</v>
      </c>
      <c r="AF41" s="3"/>
      <c r="AG41" s="3"/>
      <c r="AH41" s="3"/>
      <c r="AI41" s="3"/>
      <c r="AJ41" s="3"/>
      <c r="AK41" s="3"/>
      <c r="AL41" s="3"/>
      <c r="AM41" s="3"/>
      <c r="AN41" s="3"/>
      <c r="AO41" s="3"/>
      <c r="AP41" s="3"/>
      <c r="AQ41" s="3"/>
    </row>
    <row r="42" spans="8:43" ht="15.75" customHeight="1">
      <c r="H42" s="3" t="s">
        <v>149</v>
      </c>
      <c r="I42" s="3" t="s">
        <v>48</v>
      </c>
      <c r="J42" s="3">
        <v>5</v>
      </c>
      <c r="M42" s="12" t="s">
        <v>762</v>
      </c>
      <c r="N42" s="12" t="s">
        <v>47</v>
      </c>
      <c r="O42" s="12">
        <v>10000</v>
      </c>
      <c r="AB42">
        <v>81</v>
      </c>
      <c r="AC42" t="s">
        <v>1210</v>
      </c>
      <c r="AD42" t="s">
        <v>111</v>
      </c>
      <c r="AE42" s="3" t="s">
        <v>11</v>
      </c>
      <c r="AF42" s="3"/>
      <c r="AG42" s="3"/>
      <c r="AH42" s="3"/>
      <c r="AI42" s="3"/>
      <c r="AJ42" s="3"/>
      <c r="AK42" s="3"/>
      <c r="AL42" s="3"/>
      <c r="AM42" s="3"/>
      <c r="AN42" s="3"/>
      <c r="AO42" s="3"/>
      <c r="AP42" s="3"/>
      <c r="AQ42" s="3"/>
    </row>
    <row r="43" spans="8:43" ht="15.75" customHeight="1">
      <c r="H43" s="3" t="s">
        <v>152</v>
      </c>
      <c r="I43" s="3" t="s">
        <v>749</v>
      </c>
      <c r="J43" s="3">
        <v>5000</v>
      </c>
      <c r="M43" s="12" t="s">
        <v>762</v>
      </c>
      <c r="N43" s="12" t="s">
        <v>45</v>
      </c>
      <c r="O43" s="12">
        <v>25000</v>
      </c>
      <c r="AB43">
        <v>10</v>
      </c>
      <c r="AC43" t="s">
        <v>1211</v>
      </c>
      <c r="AD43" t="s">
        <v>118</v>
      </c>
      <c r="AE43" s="3" t="s">
        <v>11</v>
      </c>
      <c r="AF43" s="3"/>
      <c r="AG43" s="3"/>
      <c r="AH43" s="3"/>
      <c r="AI43" s="3"/>
      <c r="AJ43" s="3"/>
      <c r="AK43" s="3"/>
      <c r="AL43" s="3"/>
      <c r="AM43" s="3"/>
      <c r="AN43" s="3"/>
      <c r="AO43" s="3"/>
      <c r="AP43" s="3"/>
      <c r="AQ43" s="3"/>
    </row>
    <row r="44" spans="8:43" ht="15.75" customHeight="1">
      <c r="H44" s="3" t="s">
        <v>152</v>
      </c>
      <c r="I44" s="3" t="s">
        <v>53</v>
      </c>
      <c r="J44" s="3">
        <v>4</v>
      </c>
      <c r="M44" s="12" t="s">
        <v>762</v>
      </c>
      <c r="N44" s="12" t="s">
        <v>49</v>
      </c>
      <c r="O44" s="12">
        <v>1000</v>
      </c>
      <c r="AB44">
        <v>40</v>
      </c>
      <c r="AC44" t="s">
        <v>1212</v>
      </c>
      <c r="AD44" t="s">
        <v>845</v>
      </c>
      <c r="AE44" s="3" t="s">
        <v>1028</v>
      </c>
      <c r="AF44" s="3"/>
      <c r="AG44" s="3"/>
      <c r="AH44" s="3"/>
      <c r="AI44" s="3"/>
      <c r="AJ44" s="3"/>
      <c r="AK44" s="3"/>
      <c r="AL44" s="3"/>
      <c r="AM44" s="3"/>
      <c r="AN44" s="3"/>
      <c r="AO44" s="3"/>
      <c r="AP44" s="3"/>
      <c r="AQ44" s="3"/>
    </row>
    <row r="45" spans="8:43" ht="15.75" customHeight="1">
      <c r="H45" s="3" t="s">
        <v>152</v>
      </c>
      <c r="I45" s="3" t="s">
        <v>50</v>
      </c>
      <c r="J45" s="3">
        <v>3</v>
      </c>
      <c r="M45" s="12" t="s">
        <v>762</v>
      </c>
      <c r="N45" s="12" t="s">
        <v>749</v>
      </c>
      <c r="O45" s="12">
        <v>60000000</v>
      </c>
      <c r="AB45">
        <v>117</v>
      </c>
      <c r="AC45" t="s">
        <v>1213</v>
      </c>
      <c r="AD45" t="s">
        <v>68</v>
      </c>
      <c r="AE45" s="3" t="s">
        <v>17</v>
      </c>
      <c r="AF45" s="3"/>
      <c r="AG45" s="3"/>
      <c r="AH45" s="3"/>
      <c r="AI45" s="3"/>
      <c r="AJ45" s="3"/>
      <c r="AK45" s="3"/>
      <c r="AL45" s="3"/>
      <c r="AM45" s="3"/>
      <c r="AN45" s="3"/>
      <c r="AO45" s="3"/>
      <c r="AP45" s="3"/>
      <c r="AQ45" s="3"/>
    </row>
    <row r="46" spans="8:43" ht="15.75" customHeight="1">
      <c r="H46" s="3" t="s">
        <v>152</v>
      </c>
      <c r="I46" s="3" t="s">
        <v>57</v>
      </c>
      <c r="J46" s="3">
        <v>1</v>
      </c>
      <c r="M46" s="12" t="s">
        <v>763</v>
      </c>
      <c r="N46" s="12" t="s">
        <v>52</v>
      </c>
      <c r="O46" s="12">
        <v>10000</v>
      </c>
      <c r="AB46">
        <v>84</v>
      </c>
      <c r="AC46" t="s">
        <v>1214</v>
      </c>
      <c r="AD46" t="s">
        <v>67</v>
      </c>
      <c r="AE46" s="3" t="s">
        <v>17</v>
      </c>
      <c r="AF46" s="3"/>
      <c r="AG46" s="3"/>
      <c r="AH46" s="3"/>
      <c r="AI46" s="3"/>
      <c r="AJ46" s="3"/>
      <c r="AK46" s="3"/>
      <c r="AL46" s="3"/>
      <c r="AM46" s="3"/>
      <c r="AN46" s="3"/>
      <c r="AO46" s="3"/>
      <c r="AP46" s="3"/>
      <c r="AQ46" s="3"/>
    </row>
    <row r="47" spans="8:43" ht="15.75" customHeight="1">
      <c r="H47" s="3" t="s">
        <v>154</v>
      </c>
      <c r="I47" s="3" t="s">
        <v>749</v>
      </c>
      <c r="J47" s="3">
        <v>10000</v>
      </c>
      <c r="M47" s="12" t="s">
        <v>763</v>
      </c>
      <c r="N47" s="12" t="s">
        <v>45</v>
      </c>
      <c r="O47" s="12">
        <v>20000</v>
      </c>
      <c r="AB47">
        <v>35</v>
      </c>
      <c r="AC47" t="s">
        <v>1215</v>
      </c>
      <c r="AD47" t="s">
        <v>65</v>
      </c>
      <c r="AE47" s="3" t="s">
        <v>17</v>
      </c>
      <c r="AF47" s="3"/>
      <c r="AG47" s="3"/>
      <c r="AH47" s="3"/>
      <c r="AI47" s="3"/>
      <c r="AJ47" s="3"/>
      <c r="AK47" s="3"/>
      <c r="AL47" s="3"/>
      <c r="AM47" s="3"/>
      <c r="AN47" s="3"/>
      <c r="AO47" s="3"/>
      <c r="AP47" s="3"/>
      <c r="AQ47" s="3"/>
    </row>
    <row r="48" spans="8:43" ht="15.75" customHeight="1">
      <c r="H48" s="3" t="s">
        <v>154</v>
      </c>
      <c r="I48" s="3" t="s">
        <v>31</v>
      </c>
      <c r="J48" s="3">
        <v>8</v>
      </c>
      <c r="M48" s="12" t="s">
        <v>763</v>
      </c>
      <c r="N48" s="12" t="s">
        <v>49</v>
      </c>
      <c r="O48" s="12">
        <v>6000</v>
      </c>
      <c r="AB48">
        <v>15</v>
      </c>
      <c r="AC48" t="s">
        <v>1216</v>
      </c>
      <c r="AD48" t="s">
        <v>135</v>
      </c>
      <c r="AE48" s="3" t="s">
        <v>11</v>
      </c>
      <c r="AF48" s="3"/>
      <c r="AG48" s="3"/>
      <c r="AH48" s="3"/>
      <c r="AI48" s="3"/>
      <c r="AJ48" s="3"/>
      <c r="AK48" s="3"/>
      <c r="AL48" s="3"/>
      <c r="AM48" s="3"/>
      <c r="AN48" s="3"/>
      <c r="AO48" s="3"/>
      <c r="AP48" s="3"/>
      <c r="AQ48" s="3"/>
    </row>
    <row r="49" spans="8:43" ht="15.75" customHeight="1">
      <c r="H49" s="3" t="s">
        <v>155</v>
      </c>
      <c r="I49" s="3" t="s">
        <v>749</v>
      </c>
      <c r="J49" s="3">
        <v>90000</v>
      </c>
      <c r="M49" s="12" t="s">
        <v>763</v>
      </c>
      <c r="N49" s="12" t="s">
        <v>749</v>
      </c>
      <c r="O49" s="12">
        <v>100000000</v>
      </c>
      <c r="AB49">
        <v>67</v>
      </c>
      <c r="AC49" t="s">
        <v>1217</v>
      </c>
      <c r="AD49" t="s">
        <v>57</v>
      </c>
      <c r="AE49" s="3" t="s">
        <v>17</v>
      </c>
      <c r="AF49" s="3"/>
      <c r="AG49" s="3"/>
      <c r="AH49" s="3"/>
      <c r="AI49" s="3"/>
      <c r="AJ49" s="3"/>
      <c r="AK49" s="3"/>
      <c r="AL49" s="3"/>
      <c r="AM49" s="3"/>
      <c r="AN49" s="3"/>
      <c r="AO49" s="3"/>
      <c r="AP49" s="3"/>
      <c r="AQ49" s="3"/>
    </row>
    <row r="50" spans="8:43" ht="15.75" customHeight="1">
      <c r="H50" s="3" t="s">
        <v>155</v>
      </c>
      <c r="I50" s="3" t="s">
        <v>63</v>
      </c>
      <c r="J50" s="3">
        <v>4</v>
      </c>
      <c r="M50" s="12" t="s">
        <v>764</v>
      </c>
      <c r="N50" s="12" t="s">
        <v>44</v>
      </c>
      <c r="O50" s="12">
        <v>500000</v>
      </c>
      <c r="AB50">
        <v>30</v>
      </c>
      <c r="AC50" t="s">
        <v>1218</v>
      </c>
      <c r="AD50" t="s">
        <v>47</v>
      </c>
      <c r="AE50" s="3" t="s">
        <v>17</v>
      </c>
      <c r="AF50" s="3"/>
      <c r="AG50" s="3"/>
      <c r="AH50" s="3"/>
      <c r="AI50" s="3"/>
      <c r="AJ50" s="3"/>
      <c r="AK50" s="3"/>
      <c r="AL50" s="3"/>
      <c r="AM50" s="3"/>
      <c r="AN50" s="3"/>
      <c r="AO50" s="3"/>
      <c r="AP50" s="3"/>
      <c r="AQ50" s="3"/>
    </row>
    <row r="51" spans="8:43" ht="15.75" customHeight="1">
      <c r="H51" s="3" t="s">
        <v>155</v>
      </c>
      <c r="I51" s="3" t="s">
        <v>53</v>
      </c>
      <c r="J51" s="3">
        <v>2</v>
      </c>
      <c r="M51" s="12" t="s">
        <v>764</v>
      </c>
      <c r="N51" s="12" t="s">
        <v>45</v>
      </c>
      <c r="O51" s="12">
        <v>50000</v>
      </c>
      <c r="AB51">
        <v>44</v>
      </c>
      <c r="AC51" t="s">
        <v>718</v>
      </c>
      <c r="AD51" t="s">
        <v>718</v>
      </c>
      <c r="AE51" s="3" t="s">
        <v>1028</v>
      </c>
      <c r="AF51" s="3"/>
      <c r="AG51" s="3"/>
      <c r="AH51" s="3"/>
      <c r="AI51" s="3"/>
      <c r="AJ51" s="3"/>
      <c r="AK51" s="3"/>
      <c r="AL51" s="3"/>
      <c r="AM51" s="3"/>
      <c r="AN51" s="3"/>
      <c r="AO51" s="3"/>
      <c r="AP51" s="3"/>
      <c r="AQ51" s="3"/>
    </row>
    <row r="52" spans="8:43" ht="15.75" customHeight="1">
      <c r="H52" s="3" t="s">
        <v>155</v>
      </c>
      <c r="I52" s="3" t="s">
        <v>61</v>
      </c>
      <c r="J52" s="3">
        <v>2</v>
      </c>
      <c r="M52" s="12" t="s">
        <v>764</v>
      </c>
      <c r="N52" s="12" t="s">
        <v>49</v>
      </c>
      <c r="O52" s="12">
        <v>10000</v>
      </c>
      <c r="AB52">
        <v>45</v>
      </c>
      <c r="AC52" t="s">
        <v>719</v>
      </c>
      <c r="AD52" t="s">
        <v>719</v>
      </c>
      <c r="AE52" s="3" t="s">
        <v>1028</v>
      </c>
      <c r="AF52" s="3"/>
      <c r="AG52" s="3"/>
      <c r="AH52" s="3"/>
      <c r="AI52" s="3"/>
      <c r="AJ52" s="3"/>
      <c r="AK52" s="3"/>
      <c r="AL52" s="3"/>
      <c r="AM52" s="3"/>
      <c r="AN52" s="3"/>
      <c r="AO52" s="3"/>
      <c r="AP52" s="3"/>
      <c r="AQ52" s="3"/>
    </row>
    <row r="53" spans="8:43" ht="15.75" customHeight="1">
      <c r="H53" s="3" t="s">
        <v>157</v>
      </c>
      <c r="I53" s="3" t="s">
        <v>749</v>
      </c>
      <c r="J53" s="3">
        <v>10000</v>
      </c>
      <c r="M53" s="12" t="s">
        <v>764</v>
      </c>
      <c r="N53" s="12" t="s">
        <v>749</v>
      </c>
      <c r="O53" s="12">
        <v>200000000</v>
      </c>
      <c r="AB53">
        <v>46</v>
      </c>
      <c r="AC53" t="s">
        <v>720</v>
      </c>
      <c r="AD53" t="s">
        <v>720</v>
      </c>
      <c r="AE53" s="3" t="s">
        <v>1028</v>
      </c>
      <c r="AF53" s="3"/>
      <c r="AG53" s="3"/>
      <c r="AH53" s="3"/>
      <c r="AI53" s="3"/>
      <c r="AJ53" s="3"/>
      <c r="AK53" s="3"/>
      <c r="AL53" s="3"/>
      <c r="AM53" s="3"/>
      <c r="AN53" s="3"/>
      <c r="AO53" s="3"/>
      <c r="AP53" s="3"/>
      <c r="AQ53" s="3"/>
    </row>
    <row r="54" spans="8:43" ht="15.75" customHeight="1">
      <c r="H54" s="3" t="s">
        <v>157</v>
      </c>
      <c r="I54" s="3" t="s">
        <v>135</v>
      </c>
      <c r="J54" s="3">
        <v>8</v>
      </c>
      <c r="M54" s="12" t="s">
        <v>765</v>
      </c>
      <c r="N54" s="12" t="s">
        <v>1219</v>
      </c>
      <c r="O54" s="12">
        <v>1200</v>
      </c>
      <c r="AB54">
        <v>48</v>
      </c>
      <c r="AC54" t="s">
        <v>721</v>
      </c>
      <c r="AD54" t="s">
        <v>721</v>
      </c>
      <c r="AE54" s="3" t="s">
        <v>1028</v>
      </c>
      <c r="AF54" s="3"/>
      <c r="AG54" s="3"/>
      <c r="AH54" s="3"/>
      <c r="AI54" s="3"/>
      <c r="AJ54" s="3"/>
      <c r="AK54" s="3"/>
      <c r="AL54" s="3"/>
      <c r="AM54" s="3"/>
      <c r="AN54" s="3"/>
      <c r="AO54" s="3"/>
      <c r="AP54" s="3"/>
      <c r="AQ54" s="3"/>
    </row>
    <row r="55" spans="8:43" ht="15.75" customHeight="1">
      <c r="H55" s="3" t="s">
        <v>162</v>
      </c>
      <c r="I55" s="3" t="s">
        <v>749</v>
      </c>
      <c r="J55" s="3">
        <v>20000</v>
      </c>
      <c r="M55" s="12" t="s">
        <v>765</v>
      </c>
      <c r="N55" s="12" t="s">
        <v>1168</v>
      </c>
      <c r="O55" s="12">
        <v>20000</v>
      </c>
      <c r="AB55">
        <v>51</v>
      </c>
      <c r="AC55" t="s">
        <v>1220</v>
      </c>
      <c r="AD55" t="s">
        <v>63</v>
      </c>
      <c r="AE55" s="3" t="s">
        <v>17</v>
      </c>
      <c r="AF55" s="3"/>
      <c r="AG55" s="3"/>
      <c r="AH55" s="3"/>
      <c r="AI55" s="3"/>
      <c r="AJ55" s="3"/>
      <c r="AK55" s="3"/>
      <c r="AL55" s="3"/>
      <c r="AM55" s="3"/>
      <c r="AN55" s="3"/>
      <c r="AO55" s="3"/>
      <c r="AP55" s="3"/>
      <c r="AQ55" s="3"/>
    </row>
    <row r="56" spans="8:43" ht="15.75" customHeight="1">
      <c r="H56" s="3" t="s">
        <v>162</v>
      </c>
      <c r="I56" s="3" t="s">
        <v>122</v>
      </c>
      <c r="J56" s="3">
        <v>20</v>
      </c>
      <c r="M56" s="12" t="s">
        <v>765</v>
      </c>
      <c r="N56" s="12" t="s">
        <v>1221</v>
      </c>
      <c r="O56" s="12">
        <v>1500</v>
      </c>
      <c r="AB56">
        <v>96</v>
      </c>
      <c r="AC56" t="s">
        <v>1222</v>
      </c>
      <c r="AD56" t="s">
        <v>821</v>
      </c>
      <c r="AE56" s="3" t="s">
        <v>1043</v>
      </c>
      <c r="AF56" s="3"/>
      <c r="AG56" s="3"/>
      <c r="AH56" s="3"/>
      <c r="AI56" s="3"/>
      <c r="AJ56" s="3"/>
      <c r="AK56" s="3"/>
      <c r="AL56" s="3"/>
      <c r="AM56" s="3"/>
      <c r="AN56" s="3"/>
      <c r="AO56" s="3"/>
      <c r="AP56" s="3"/>
      <c r="AQ56" s="3"/>
    </row>
    <row r="57" spans="8:43" ht="15.75" customHeight="1">
      <c r="H57" s="3" t="s">
        <v>163</v>
      </c>
      <c r="I57" s="3" t="s">
        <v>749</v>
      </c>
      <c r="J57" s="3">
        <v>50000</v>
      </c>
      <c r="M57" s="12" t="s">
        <v>765</v>
      </c>
      <c r="N57" s="12" t="s">
        <v>1165</v>
      </c>
      <c r="O57" s="12">
        <v>220000000</v>
      </c>
      <c r="AB57">
        <v>98</v>
      </c>
      <c r="AC57" t="s">
        <v>1223</v>
      </c>
      <c r="AD57" t="s">
        <v>820</v>
      </c>
      <c r="AE57" s="3" t="s">
        <v>1043</v>
      </c>
      <c r="AF57" s="3"/>
      <c r="AG57" s="3"/>
      <c r="AH57" s="3"/>
      <c r="AI57" s="3"/>
      <c r="AJ57" s="3"/>
      <c r="AK57" s="3"/>
      <c r="AL57" s="3"/>
      <c r="AM57" s="3"/>
      <c r="AN57" s="3"/>
      <c r="AO57" s="3"/>
      <c r="AP57" s="3"/>
      <c r="AQ57" s="3"/>
    </row>
    <row r="58" spans="8:43" ht="15.75" customHeight="1">
      <c r="H58" s="3" t="s">
        <v>163</v>
      </c>
      <c r="I58" s="3" t="s">
        <v>111</v>
      </c>
      <c r="J58" s="3">
        <v>1000</v>
      </c>
      <c r="M58" s="12" t="s">
        <v>766</v>
      </c>
      <c r="N58" s="12" t="s">
        <v>1224</v>
      </c>
      <c r="O58" s="12">
        <v>1000</v>
      </c>
      <c r="AB58">
        <v>87</v>
      </c>
      <c r="AC58" t="s">
        <v>1225</v>
      </c>
      <c r="AD58" t="s">
        <v>56</v>
      </c>
      <c r="AE58" s="3" t="s">
        <v>17</v>
      </c>
      <c r="AF58" s="3"/>
      <c r="AG58" s="3"/>
      <c r="AH58" s="3"/>
      <c r="AI58" s="3"/>
      <c r="AJ58" s="3"/>
      <c r="AK58" s="3"/>
      <c r="AL58" s="3"/>
      <c r="AM58" s="3"/>
      <c r="AN58" s="3"/>
      <c r="AO58" s="3"/>
      <c r="AP58" s="3"/>
      <c r="AQ58" s="3"/>
    </row>
    <row r="59" spans="8:43" ht="15.75" customHeight="1">
      <c r="H59" s="3" t="s">
        <v>163</v>
      </c>
      <c r="I59" s="3" t="s">
        <v>66</v>
      </c>
      <c r="J59" s="3">
        <v>1</v>
      </c>
      <c r="M59" s="12" t="s">
        <v>766</v>
      </c>
      <c r="N59" s="12" t="s">
        <v>1168</v>
      </c>
      <c r="O59" s="12">
        <v>20000</v>
      </c>
      <c r="AB59">
        <v>43</v>
      </c>
      <c r="AC59" t="s">
        <v>1226</v>
      </c>
      <c r="AD59" t="s">
        <v>841</v>
      </c>
      <c r="AE59" s="3" t="s">
        <v>1028</v>
      </c>
      <c r="AF59" s="3"/>
      <c r="AG59" s="3"/>
      <c r="AH59" s="3"/>
      <c r="AI59" s="3"/>
      <c r="AJ59" s="3"/>
      <c r="AK59" s="3"/>
      <c r="AL59" s="3"/>
      <c r="AM59" s="3"/>
      <c r="AN59" s="3"/>
      <c r="AO59" s="3"/>
      <c r="AP59" s="3"/>
      <c r="AQ59" s="3"/>
    </row>
    <row r="60" spans="8:43" ht="15.75" customHeight="1">
      <c r="H60" s="3" t="s">
        <v>163</v>
      </c>
      <c r="I60" s="3" t="s">
        <v>65</v>
      </c>
      <c r="J60" s="3">
        <v>1</v>
      </c>
      <c r="M60" s="12" t="s">
        <v>766</v>
      </c>
      <c r="N60" s="12" t="s">
        <v>1221</v>
      </c>
      <c r="O60" s="12">
        <v>8000</v>
      </c>
      <c r="AB60">
        <v>24</v>
      </c>
      <c r="AC60" t="s">
        <v>1227</v>
      </c>
      <c r="AD60" t="s">
        <v>44</v>
      </c>
      <c r="AE60" s="3" t="s">
        <v>17</v>
      </c>
    </row>
    <row r="61" spans="8:43" ht="15.75" customHeight="1">
      <c r="H61" s="3" t="s">
        <v>165</v>
      </c>
      <c r="I61" s="3" t="s">
        <v>749</v>
      </c>
      <c r="J61" s="3">
        <v>25000000</v>
      </c>
      <c r="M61" s="12" t="s">
        <v>766</v>
      </c>
      <c r="N61" s="12" t="s">
        <v>1165</v>
      </c>
      <c r="O61" s="12">
        <v>300000000</v>
      </c>
    </row>
    <row r="62" spans="8:43" ht="15.75" customHeight="1">
      <c r="H62" s="3" t="s">
        <v>165</v>
      </c>
      <c r="I62" s="3" t="s">
        <v>61</v>
      </c>
      <c r="J62" s="3">
        <v>25</v>
      </c>
      <c r="M62" s="12" t="s">
        <v>767</v>
      </c>
      <c r="N62" s="12" t="s">
        <v>1219</v>
      </c>
      <c r="O62" s="12">
        <v>10000</v>
      </c>
    </row>
    <row r="63" spans="8:43" ht="15.75" customHeight="1">
      <c r="H63" s="3" t="s">
        <v>165</v>
      </c>
      <c r="I63" s="3" t="s">
        <v>63</v>
      </c>
      <c r="J63" s="3">
        <v>50</v>
      </c>
      <c r="M63" s="12" t="s">
        <v>767</v>
      </c>
      <c r="N63" s="12" t="s">
        <v>1168</v>
      </c>
      <c r="O63" s="12">
        <v>30000</v>
      </c>
    </row>
    <row r="64" spans="8:43" ht="15.75" customHeight="1">
      <c r="H64" s="3" t="s">
        <v>165</v>
      </c>
      <c r="I64" s="3" t="s">
        <v>55</v>
      </c>
      <c r="J64" s="3">
        <v>250</v>
      </c>
      <c r="M64" s="12" t="s">
        <v>767</v>
      </c>
      <c r="N64" s="12" t="s">
        <v>1221</v>
      </c>
      <c r="O64" s="12">
        <v>2500</v>
      </c>
    </row>
    <row r="65" spans="2:15" ht="15.75" customHeight="1">
      <c r="H65" s="3" t="s">
        <v>167</v>
      </c>
      <c r="I65" s="3" t="s">
        <v>749</v>
      </c>
      <c r="J65" s="3">
        <v>2500000</v>
      </c>
      <c r="M65" s="12" t="s">
        <v>767</v>
      </c>
      <c r="N65" s="12" t="s">
        <v>1165</v>
      </c>
      <c r="O65" s="12">
        <v>350000000</v>
      </c>
    </row>
    <row r="66" spans="2:15" ht="15.75" customHeight="1">
      <c r="H66" s="3" t="s">
        <v>167</v>
      </c>
      <c r="I66" s="3" t="s">
        <v>47</v>
      </c>
      <c r="J66" s="3">
        <v>100</v>
      </c>
      <c r="M66" s="12" t="s">
        <v>768</v>
      </c>
      <c r="N66" s="12" t="s">
        <v>1219</v>
      </c>
      <c r="O66" s="12">
        <v>9500</v>
      </c>
    </row>
    <row r="67" spans="2:15" ht="15.75" customHeight="1">
      <c r="B67" s="12"/>
      <c r="C67" s="12"/>
      <c r="D67" s="12"/>
      <c r="G67" s="12"/>
      <c r="H67" s="3" t="s">
        <v>167</v>
      </c>
      <c r="I67" s="3" t="s">
        <v>55</v>
      </c>
      <c r="J67" s="3">
        <v>25</v>
      </c>
      <c r="M67" s="12" t="s">
        <v>768</v>
      </c>
      <c r="N67" s="12" t="s">
        <v>1168</v>
      </c>
      <c r="O67" s="12">
        <v>40000</v>
      </c>
    </row>
    <row r="68" spans="2:15" ht="15.75" customHeight="1">
      <c r="B68" s="12"/>
      <c r="C68" s="12"/>
      <c r="D68" s="12"/>
      <c r="G68" s="12"/>
      <c r="H68" s="3" t="s">
        <v>167</v>
      </c>
      <c r="I68" s="3" t="s">
        <v>65</v>
      </c>
      <c r="J68" s="3">
        <v>50</v>
      </c>
      <c r="M68" s="12" t="s">
        <v>768</v>
      </c>
      <c r="N68" s="12" t="s">
        <v>1228</v>
      </c>
      <c r="O68" s="12">
        <v>16000</v>
      </c>
    </row>
    <row r="69" spans="2:15" ht="15.75" customHeight="1">
      <c r="B69" s="12"/>
      <c r="C69" s="12"/>
      <c r="D69" s="12"/>
      <c r="G69" s="12"/>
      <c r="M69" s="12" t="s">
        <v>768</v>
      </c>
      <c r="N69" s="12" t="s">
        <v>1165</v>
      </c>
      <c r="O69" s="12">
        <v>500000000</v>
      </c>
    </row>
    <row r="70" spans="2:15" ht="15.75" customHeight="1">
      <c r="B70" s="12"/>
      <c r="C70" s="12"/>
      <c r="D70" s="12"/>
      <c r="G70" s="12"/>
      <c r="M70" s="12" t="s">
        <v>769</v>
      </c>
      <c r="N70" s="12" t="s">
        <v>1219</v>
      </c>
      <c r="O70" s="12">
        <v>15000</v>
      </c>
    </row>
    <row r="71" spans="2:15" ht="15.75" customHeight="1">
      <c r="B71" s="12"/>
      <c r="C71" s="12"/>
      <c r="D71" s="12"/>
      <c r="G71" s="12"/>
      <c r="M71" s="12" t="s">
        <v>769</v>
      </c>
      <c r="N71" s="12" t="s">
        <v>1168</v>
      </c>
      <c r="O71" s="12">
        <v>35000</v>
      </c>
    </row>
    <row r="72" spans="2:15" ht="15.75" customHeight="1">
      <c r="M72" s="12" t="s">
        <v>769</v>
      </c>
      <c r="N72" s="12" t="s">
        <v>1221</v>
      </c>
      <c r="O72" s="12">
        <v>1500</v>
      </c>
    </row>
    <row r="73" spans="2:15" ht="15.75" customHeight="1">
      <c r="M73" s="12" t="s">
        <v>769</v>
      </c>
      <c r="N73" s="12" t="s">
        <v>1165</v>
      </c>
      <c r="O73" s="12">
        <v>750000000</v>
      </c>
    </row>
    <row r="74" spans="2:15" ht="15.75" customHeight="1">
      <c r="D74" s="12"/>
      <c r="M74" s="12" t="s">
        <v>770</v>
      </c>
      <c r="N74" s="12" t="s">
        <v>1219</v>
      </c>
      <c r="O74" s="12">
        <v>20000</v>
      </c>
    </row>
    <row r="75" spans="2:15" ht="15.75" customHeight="1">
      <c r="D75" s="12"/>
      <c r="M75" s="12" t="s">
        <v>770</v>
      </c>
      <c r="N75" s="12" t="s">
        <v>1168</v>
      </c>
      <c r="O75" s="12">
        <v>20000</v>
      </c>
    </row>
    <row r="76" spans="2:15" ht="15.75" customHeight="1">
      <c r="D76" s="12"/>
      <c r="M76" s="12" t="s">
        <v>770</v>
      </c>
      <c r="N76" s="12" t="s">
        <v>1221</v>
      </c>
      <c r="O76" s="12">
        <v>20000</v>
      </c>
    </row>
    <row r="77" spans="2:15" ht="15.75" customHeight="1">
      <c r="D77" s="12"/>
      <c r="M77" s="12" t="s">
        <v>770</v>
      </c>
      <c r="N77" s="12" t="s">
        <v>1165</v>
      </c>
      <c r="O77" s="12">
        <v>1000000000</v>
      </c>
    </row>
    <row r="78" spans="2:15" ht="15.75" customHeight="1">
      <c r="D78" s="12"/>
      <c r="M78" s="12" t="s">
        <v>163</v>
      </c>
      <c r="N78" s="12" t="s">
        <v>1160</v>
      </c>
      <c r="O78" s="12">
        <v>90000</v>
      </c>
    </row>
    <row r="79" spans="2:15" ht="15.75" customHeight="1">
      <c r="M79" s="12" t="s">
        <v>163</v>
      </c>
      <c r="N79" s="12" t="s">
        <v>1168</v>
      </c>
      <c r="O79" s="12">
        <v>20000</v>
      </c>
    </row>
    <row r="80" spans="2:15" ht="15.75" customHeight="1">
      <c r="D80" s="12"/>
      <c r="G80" s="12"/>
      <c r="J80" s="12"/>
      <c r="M80" s="12" t="s">
        <v>163</v>
      </c>
      <c r="N80" s="12" t="s">
        <v>1221</v>
      </c>
      <c r="O80" s="12">
        <v>20000</v>
      </c>
    </row>
    <row r="81" spans="2:15" ht="15.75" customHeight="1">
      <c r="D81" s="12"/>
      <c r="G81" s="12"/>
      <c r="J81" s="12"/>
      <c r="M81" s="12" t="s">
        <v>163</v>
      </c>
      <c r="N81" s="12" t="s">
        <v>1165</v>
      </c>
      <c r="O81" s="12">
        <v>500000000</v>
      </c>
    </row>
    <row r="82" spans="2:15" ht="15.75" customHeight="1">
      <c r="D82" s="12"/>
      <c r="G82" s="12"/>
      <c r="J82" s="12"/>
      <c r="M82" s="12" t="s">
        <v>771</v>
      </c>
      <c r="N82" s="12" t="s">
        <v>1228</v>
      </c>
      <c r="O82" s="12">
        <v>120000</v>
      </c>
    </row>
    <row r="83" spans="2:15" ht="15.75" customHeight="1">
      <c r="D83" s="12"/>
      <c r="G83" s="12"/>
      <c r="J83" s="12"/>
      <c r="M83" s="12" t="s">
        <v>771</v>
      </c>
      <c r="N83" s="12" t="s">
        <v>1168</v>
      </c>
      <c r="O83" s="12">
        <v>80000</v>
      </c>
    </row>
    <row r="84" spans="2:15" ht="15.75" customHeight="1">
      <c r="D84" s="12"/>
      <c r="G84" s="12"/>
      <c r="J84" s="12"/>
      <c r="M84" s="12" t="s">
        <v>771</v>
      </c>
      <c r="N84" s="12" t="s">
        <v>1221</v>
      </c>
      <c r="O84" s="12">
        <v>40000</v>
      </c>
    </row>
    <row r="85" spans="2:15" ht="15.75" customHeight="1">
      <c r="M85" s="12" t="s">
        <v>771</v>
      </c>
      <c r="N85" s="12" t="s">
        <v>1165</v>
      </c>
      <c r="O85" s="12">
        <v>2000000000</v>
      </c>
    </row>
    <row r="86" spans="2:15" ht="15.75" customHeight="1">
      <c r="M86" s="3" t="s">
        <v>167</v>
      </c>
      <c r="N86" s="12" t="s">
        <v>1160</v>
      </c>
      <c r="O86" s="12">
        <v>500000</v>
      </c>
    </row>
    <row r="87" spans="2:15" ht="15.75" customHeight="1">
      <c r="M87" s="3" t="s">
        <v>167</v>
      </c>
      <c r="N87" s="12" t="s">
        <v>1229</v>
      </c>
      <c r="O87" s="12">
        <v>50000</v>
      </c>
    </row>
    <row r="88" spans="2:15" ht="15.75" customHeight="1">
      <c r="M88" s="3" t="s">
        <v>167</v>
      </c>
      <c r="N88" s="12" t="s">
        <v>1230</v>
      </c>
      <c r="O88" s="12">
        <v>90000</v>
      </c>
    </row>
    <row r="89" spans="2:15" ht="15.75" customHeight="1">
      <c r="M89" s="3" t="s">
        <v>167</v>
      </c>
      <c r="N89" s="12" t="s">
        <v>1165</v>
      </c>
      <c r="O89" s="12">
        <v>2000000000</v>
      </c>
    </row>
    <row r="90" spans="2:15" ht="15.75" customHeight="1">
      <c r="B90" s="12"/>
      <c r="C90" s="12"/>
      <c r="D90" s="12"/>
    </row>
    <row r="91" spans="2:15" ht="15.75" customHeight="1">
      <c r="B91" s="12"/>
      <c r="C91" s="12"/>
      <c r="D91" s="12"/>
      <c r="E91" s="12"/>
      <c r="F91" s="12"/>
    </row>
    <row r="92" spans="2:15" ht="15.75" customHeight="1">
      <c r="B92" s="12"/>
      <c r="C92" s="12"/>
      <c r="D92" s="12"/>
      <c r="E92" s="12"/>
      <c r="F92" s="12"/>
    </row>
    <row r="93" spans="2:15" ht="15.75" customHeight="1"/>
    <row r="94" spans="2:15" ht="15.75" customHeight="1"/>
    <row r="95" spans="2:15" ht="15.75" customHeight="1"/>
    <row r="96" spans="2:15"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24AFCB7-F2C4-4FBC-9CE5-AD9AAE7FE05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Listy</vt:lpstr>
      </vt:variant>
      <vt:variant>
        <vt:i4>19</vt:i4>
      </vt:variant>
      <vt:variant>
        <vt:lpstr>Pojmenované oblasti</vt:lpstr>
      </vt:variant>
      <vt:variant>
        <vt:i4>16</vt:i4>
      </vt:variant>
    </vt:vector>
  </HeadingPairs>
  <TitlesOfParts>
    <vt:vector size="35" baseType="lpstr">
      <vt:lpstr>Supply Chain</vt:lpstr>
      <vt:lpstr>UserBuildings</vt:lpstr>
      <vt:lpstr>API INPUTS</vt:lpstr>
      <vt:lpstr>STATIC DATA</vt:lpstr>
      <vt:lpstr>README</vt:lpstr>
      <vt:lpstr>Mine ROI</vt:lpstr>
      <vt:lpstr>README-PT-BR</vt:lpstr>
      <vt:lpstr>TU5.05</vt:lpstr>
      <vt:lpstr>API Raw</vt:lpstr>
      <vt:lpstr>Factory ROI</vt:lpstr>
      <vt:lpstr>API Mine Detail</vt:lpstr>
      <vt:lpstr>Headquarters</vt:lpstr>
      <vt:lpstr>RecyclingUnits</vt:lpstr>
      <vt:lpstr>SpecialBuildings</vt:lpstr>
      <vt:lpstr>GD ROI</vt:lpstr>
      <vt:lpstr>User_Calcs</vt:lpstr>
      <vt:lpstr>Markets</vt:lpstr>
      <vt:lpstr>Calc</vt:lpstr>
      <vt:lpstr>Static</vt:lpstr>
      <vt:lpstr>TblAPIFactory</vt:lpstr>
      <vt:lpstr>TblAPIHQ</vt:lpstr>
      <vt:lpstr>TblAPIMines</vt:lpstr>
      <vt:lpstr>TblAPISpecial</vt:lpstr>
      <vt:lpstr>TblAPIWarehouse</vt:lpstr>
      <vt:lpstr>TblFactoryBasics</vt:lpstr>
      <vt:lpstr>TblFactoryInput</vt:lpstr>
      <vt:lpstr>TblFactoryUpgrades</vt:lpstr>
      <vt:lpstr>TblMarket</vt:lpstr>
      <vt:lpstr>TblMineBasics</vt:lpstr>
      <vt:lpstr>TblRecycleBasics</vt:lpstr>
      <vt:lpstr>TblResourcesType</vt:lpstr>
      <vt:lpstr>TblSpecialBasics</vt:lpstr>
      <vt:lpstr>TblUserFactories</vt:lpstr>
      <vt:lpstr>TblUserMines</vt:lpstr>
      <vt:lpstr>TblUserWarehouse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Kai Marek</dc:creator>
  <cp:lastModifiedBy>Marek Jan Kai (270002)</cp:lastModifiedBy>
  <dcterms:modified xsi:type="dcterms:W3CDTF">2026-02-27T16:06:01Z</dcterms:modified>
</cp:coreProperties>
</file>